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84" tabRatio="968" firstSheet="1" activeTab="30"/>
  </bookViews>
  <sheets>
    <sheet name="Z_ALAPADATOK" sheetId="1" r:id="rId1"/>
    <sheet name="Z_ÖSSZEFÜGGÉSEK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Z_ELLENŐRZÉS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Z_TARTALOMJEGYZÉK" sheetId="38" r:id="rId38"/>
  </sheets>
  <externalReferences>
    <externalReference r:id="rId41"/>
    <externalReference r:id="rId42"/>
  </externalReferences>
  <definedNames>
    <definedName name="_ftn1" localSheetId="34">'32'!#REF!</definedName>
    <definedName name="_ftnref1" localSheetId="34">'32'!$A$23</definedName>
    <definedName name="_xlfn.IFERROR" hidden="1">#NAME?</definedName>
    <definedName name="_xlnm.Print_Titles" localSheetId="12">'10'!$1:$6</definedName>
    <definedName name="_xlnm.Print_Titles" localSheetId="13">'11'!$1:$6</definedName>
    <definedName name="_xlnm.Print_Titles" localSheetId="14">'12'!$1:$6</definedName>
    <definedName name="_xlnm.Print_Titles" localSheetId="15">'13'!$1:$6</definedName>
    <definedName name="_xlnm.Print_Titles" localSheetId="16">'14'!$1:$6</definedName>
    <definedName name="_xlnm.Print_Titles" localSheetId="17">'15'!$1:$6</definedName>
    <definedName name="_xlnm.Print_Titles" localSheetId="18">'16'!$1:$6</definedName>
    <definedName name="_xlnm.Print_Titles" localSheetId="19">'17'!$1:$6</definedName>
    <definedName name="_xlnm.Print_Titles" localSheetId="20">'18'!$1:$6</definedName>
    <definedName name="_xlnm.Print_Titles" localSheetId="21">'19'!$1:$6</definedName>
    <definedName name="_xlnm.Print_Titles" localSheetId="22">'20'!$1:$6</definedName>
    <definedName name="_xlnm.Print_Titles" localSheetId="23">'21'!$1:$6</definedName>
    <definedName name="_xlnm.Print_Titles" localSheetId="32">'30'!$5:$9</definedName>
    <definedName name="_xlnm.Print_Area" localSheetId="2">'1'!$A$1:$E$168</definedName>
    <definedName name="_xlnm.Print_Area" localSheetId="3">'2'!$A$1:$E$168</definedName>
    <definedName name="_xlnm.Print_Area" localSheetId="26">'24'!$A$1:$F$153</definedName>
    <definedName name="_xlnm.Print_Area" localSheetId="4">'3'!$A$1:$E$168</definedName>
    <definedName name="_xlnm.Print_Area" localSheetId="5">'4'!$A$1:$E$166</definedName>
  </definedNames>
  <calcPr fullCalcOnLoad="1"/>
</workbook>
</file>

<file path=xl/sharedStrings.xml><?xml version="1.0" encoding="utf-8"?>
<sst xmlns="http://schemas.openxmlformats.org/spreadsheetml/2006/main" count="5030" uniqueCount="1270">
  <si>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</si>
  <si>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</si>
  <si>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</si>
  <si>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</si>
  <si>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</si>
  <si>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</si>
  <si>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</si>
  <si>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</si>
  <si>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</si>
  <si>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</si>
  <si>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</si>
  <si>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</si>
  <si>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</si>
  <si>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</si>
  <si>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</si>
  <si>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</si>
  <si>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</si>
  <si>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</si>
  <si>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</si>
  <si>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</si>
  <si>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</si>
  <si>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</si>
  <si>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</si>
  <si>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</si>
  <si>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</si>
  <si>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</si>
  <si>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</si>
  <si>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</si>
  <si>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</si>
  <si>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</si>
  <si>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</si>
  <si>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</si>
  <si>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</si>
  <si>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</si>
  <si>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</si>
  <si>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</si>
  <si>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</si>
  <si>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</si>
  <si>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</si>
  <si>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</si>
  <si>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</si>
  <si>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</si>
  <si>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</si>
  <si>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</si>
  <si>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</si>
  <si>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</si>
  <si>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</si>
  <si>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</si>
  <si>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</si>
  <si>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</si>
  <si>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</si>
  <si>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</si>
  <si>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</si>
  <si>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</si>
  <si>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</si>
  <si>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</si>
  <si>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</si>
  <si>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</si>
  <si>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</si>
  <si>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</si>
  <si>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</si>
  <si>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</si>
  <si>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</si>
  <si>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</si>
  <si>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</si>
  <si>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</si>
  <si>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</si>
  <si>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</si>
  <si>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</si>
  <si>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</si>
  <si>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</si>
  <si>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</si>
  <si>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</si>
  <si>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</si>
  <si>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</si>
  <si>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</si>
  <si>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</si>
  <si>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</si>
  <si>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</si>
  <si>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</si>
  <si>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</si>
  <si>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</si>
  <si>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</si>
  <si>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</si>
  <si>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</si>
  <si>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</si>
  <si>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</si>
  <si>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</si>
  <si>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</si>
  <si>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</si>
  <si>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</si>
  <si>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</si>
  <si>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</si>
  <si>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</si>
  <si>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</si>
  <si>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</si>
  <si>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</si>
  <si>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</si>
  <si>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</si>
  <si>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</si>
  <si>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</si>
  <si>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</si>
  <si>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</si>
  <si>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</si>
  <si>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</si>
  <si>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</si>
  <si>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</si>
  <si>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</si>
  <si>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</si>
  <si>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</si>
  <si>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</si>
  <si>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</si>
  <si>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</si>
  <si>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</si>
  <si>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</si>
  <si>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</si>
  <si>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</si>
  <si>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</si>
  <si>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</si>
  <si>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</si>
  <si>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</si>
  <si>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</si>
  <si>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</si>
  <si>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</si>
  <si>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</si>
  <si>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</si>
  <si>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</si>
  <si>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</si>
  <si>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</si>
  <si>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</si>
  <si>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</si>
  <si>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</si>
  <si>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</si>
  <si>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</si>
  <si>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</si>
  <si>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</si>
  <si>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</si>
  <si>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</si>
  <si>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</si>
  <si>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</si>
  <si>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</si>
  <si>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</si>
  <si>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</si>
  <si>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</si>
  <si>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</si>
  <si>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</si>
  <si>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</si>
  <si>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</si>
  <si>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</si>
  <si>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</si>
  <si>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</si>
  <si>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</si>
  <si>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</si>
  <si>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</si>
  <si>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</si>
  <si>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</si>
  <si>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</si>
  <si>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</si>
  <si>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</si>
  <si>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</si>
  <si>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</si>
  <si>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</si>
  <si>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</si>
  <si>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</si>
  <si>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</si>
  <si>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</si>
  <si>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</si>
  <si>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</si>
  <si>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</si>
  <si>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</si>
  <si>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</si>
  <si>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</si>
  <si>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</si>
  <si>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</si>
  <si>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</si>
  <si>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</si>
  <si>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</si>
  <si>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</si>
  <si>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</si>
  <si>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</si>
  <si>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</si>
  <si>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</si>
  <si>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</si>
  <si>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</si>
  <si>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</si>
  <si>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</si>
  <si>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</si>
  <si>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</si>
  <si>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</si>
  <si>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</si>
  <si>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</si>
  <si>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</si>
  <si>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</si>
  <si>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</si>
  <si>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</si>
  <si>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</si>
  <si>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</si>
  <si>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</si>
  <si>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</si>
  <si>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</si>
  <si>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</si>
  <si>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</si>
  <si>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</si>
  <si>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</si>
  <si>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</si>
  <si>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</si>
  <si>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</si>
  <si>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</si>
  <si>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</si>
  <si>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</si>
  <si>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</si>
  <si>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</si>
  <si>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</si>
  <si>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</si>
  <si>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</si>
  <si>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</si>
  <si>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</si>
  <si>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</si>
  <si>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</si>
  <si>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</si>
  <si>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</si>
  <si>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</si>
  <si>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</si>
  <si>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</si>
  <si>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</si>
  <si>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</si>
  <si>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</si>
  <si>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</si>
  <si>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</si>
  <si>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</si>
  <si>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</si>
  <si>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</si>
  <si>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</si>
  <si>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</si>
  <si>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</si>
  <si>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</si>
  <si>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</si>
  <si>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</si>
  <si>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</si>
  <si>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</si>
  <si>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</si>
  <si>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</si>
  <si>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</si>
  <si>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</si>
  <si>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</si>
  <si>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</si>
  <si>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</si>
  <si>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</si>
  <si>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</si>
  <si>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</si>
  <si>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</si>
  <si>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</si>
  <si>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</si>
  <si>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</si>
  <si>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</si>
  <si>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</si>
  <si>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</si>
  <si>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</si>
  <si>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</si>
  <si>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</si>
  <si>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</si>
  <si>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</si>
  <si>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</si>
  <si>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</si>
  <si>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</si>
  <si>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</si>
  <si>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</si>
  <si>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</si>
  <si>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</si>
  <si>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</si>
  <si>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</si>
  <si>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</si>
  <si>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</si>
  <si>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</si>
  <si>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</si>
  <si>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</si>
  <si>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</si>
  <si>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</si>
  <si>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</si>
  <si>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</si>
  <si>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</si>
  <si>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</si>
  <si>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</si>
  <si>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</si>
  <si>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</si>
  <si>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</si>
  <si>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</si>
  <si>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</si>
  <si>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</si>
  <si>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</si>
  <si>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</si>
  <si>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</si>
  <si>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</si>
  <si>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</si>
  <si>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</si>
  <si>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</si>
  <si>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</si>
  <si>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</si>
  <si>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</si>
  <si>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</si>
  <si>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</si>
  <si>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</si>
  <si>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</si>
  <si>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</si>
  <si>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</si>
  <si>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</si>
  <si>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</si>
  <si>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</si>
  <si>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</si>
  <si>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</si>
  <si>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</si>
  <si>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</si>
  <si>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</si>
  <si>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</si>
  <si>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</si>
  <si>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</si>
  <si>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</si>
  <si>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</si>
  <si>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</si>
  <si>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</si>
  <si>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</si>
  <si>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</si>
  <si>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</si>
  <si>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</si>
  <si>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</si>
  <si>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</si>
  <si>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</si>
  <si>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</si>
  <si>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</si>
  <si>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</si>
  <si>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</si>
  <si>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</si>
  <si>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</si>
  <si>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</si>
  <si>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</si>
  <si>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</si>
  <si>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</si>
  <si>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</si>
  <si>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</si>
  <si>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</si>
  <si>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</si>
  <si>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</si>
  <si>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</si>
  <si>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</si>
  <si>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</si>
  <si>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</si>
  <si>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</si>
  <si>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</si>
  <si>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</si>
  <si>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</si>
  <si>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</si>
  <si>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</si>
  <si>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</si>
  <si>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</si>
  <si>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</si>
  <si>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</si>
  <si>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</si>
  <si>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</si>
  <si>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</si>
  <si>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</si>
  <si>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</si>
  <si>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</si>
  <si>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</si>
  <si>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</si>
  <si>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</si>
  <si>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</si>
  <si>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</si>
  <si>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</si>
  <si>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</si>
  <si>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</si>
  <si>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</si>
  <si>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</si>
  <si>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</si>
  <si>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</si>
  <si>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</si>
  <si>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</si>
  <si>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</si>
  <si>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</si>
  <si>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</si>
  <si>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</si>
  <si>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</si>
  <si>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</si>
  <si>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</si>
  <si>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</si>
  <si>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</si>
  <si>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</si>
  <si>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</si>
  <si>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</si>
  <si>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</si>
  <si>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</si>
  <si>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</si>
  <si>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</si>
  <si>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</si>
  <si>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</si>
  <si>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</si>
  <si>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</si>
  <si>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</si>
  <si>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</si>
  <si>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</si>
  <si>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</si>
  <si>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</si>
  <si>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</si>
  <si>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</si>
  <si>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</si>
  <si>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</si>
  <si>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</si>
  <si>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</si>
  <si>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</si>
  <si>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</si>
  <si>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</si>
  <si>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</si>
  <si>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</si>
  <si>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</si>
  <si>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</si>
  <si>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</si>
  <si>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</si>
  <si>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</si>
  <si>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</si>
  <si>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</si>
  <si>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</si>
  <si>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</si>
  <si>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</si>
  <si>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</si>
  <si>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</si>
  <si>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</si>
  <si>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</si>
  <si>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</si>
  <si>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</si>
  <si>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</si>
  <si>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</si>
  <si>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</si>
  <si>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</si>
  <si>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</si>
  <si>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</si>
  <si>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</si>
  <si>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</si>
  <si>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</si>
  <si>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</si>
  <si>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</si>
  <si>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</si>
  <si>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</si>
  <si>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</si>
  <si>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</si>
  <si>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</si>
  <si>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</si>
  <si>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</si>
  <si>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</si>
  <si>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</si>
  <si>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</si>
  <si>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</si>
  <si>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</si>
  <si>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</si>
  <si>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</si>
  <si>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</si>
  <si>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</si>
  <si>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</si>
  <si>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</si>
  <si>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</si>
  <si>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</si>
  <si>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</si>
  <si>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</si>
  <si>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</si>
  <si>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</si>
  <si>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</si>
  <si>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</si>
  <si>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</si>
  <si>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</si>
  <si>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</si>
  <si>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</si>
  <si>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</si>
  <si>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</si>
  <si>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</si>
  <si>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</si>
  <si>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</si>
  <si>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</si>
  <si>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</si>
  <si>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</si>
  <si>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</si>
  <si>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</si>
  <si>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</si>
  <si>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</si>
  <si>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</si>
  <si>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</si>
  <si>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</si>
  <si>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</si>
  <si>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</si>
  <si>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</si>
  <si>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</si>
  <si>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</si>
  <si>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</si>
  <si>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</si>
  <si>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</si>
  <si>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</si>
  <si>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</si>
  <si>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</si>
  <si>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</si>
  <si>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</si>
  <si>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</si>
  <si>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</si>
  <si>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</si>
  <si>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</si>
  <si>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</si>
  <si>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</si>
  <si>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</si>
  <si>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</si>
  <si>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</si>
  <si>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</si>
  <si>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</si>
  <si>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</si>
  <si>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</si>
  <si>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</si>
  <si>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Közhatalmi bevételek (4.1.+...+4.7.)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</si>
  <si>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</si>
  <si>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</si>
  <si>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</si>
  <si>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</si>
  <si>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</si>
  <si>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</si>
  <si>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</si>
  <si>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</si>
  <si>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</si>
  <si>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</si>
  <si>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</si>
  <si>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</si>
  <si>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</si>
  <si>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</si>
  <si>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</si>
  <si>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</si>
  <si>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</si>
  <si>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</si>
  <si>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</si>
  <si>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</si>
  <si>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</si>
  <si>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</si>
  <si>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</si>
  <si>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</si>
  <si>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</si>
  <si>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</si>
  <si>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</si>
  <si>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</si>
  <si>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</si>
  <si>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</si>
  <si>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</si>
  <si>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</si>
  <si>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</si>
  <si>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</si>
  <si>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</si>
  <si>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</si>
  <si>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</si>
  <si>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</si>
  <si>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</si>
  <si>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</si>
  <si>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</si>
  <si>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</si>
  <si>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</si>
  <si>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</si>
  <si>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</si>
  <si>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</si>
  <si>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</si>
  <si>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</si>
  <si>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</si>
  <si>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</si>
  <si>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</si>
  <si>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</si>
  <si>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</si>
  <si>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</si>
  <si>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</si>
  <si>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</si>
  <si>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</si>
  <si>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</si>
  <si>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</si>
  <si>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</si>
  <si>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</si>
  <si>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</si>
  <si>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</si>
  <si>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</si>
  <si>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</si>
  <si>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</si>
  <si>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</si>
  <si>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</si>
  <si>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</si>
  <si>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</si>
  <si>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</si>
  <si>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</si>
  <si>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</si>
  <si>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</si>
  <si>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</si>
  <si>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</si>
  <si>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</si>
  <si>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</si>
  <si>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</si>
  <si>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</si>
  <si>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</si>
  <si>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</si>
  <si>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</si>
  <si>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</si>
  <si>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</si>
  <si>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</si>
  <si>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</si>
  <si>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</si>
  <si>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</si>
  <si>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</si>
  <si>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Sorszám</t>
  </si>
  <si>
    <t>FORRÁSOK</t>
  </si>
  <si>
    <t>állományi 
érték</t>
  </si>
  <si>
    <t>I) KINCSTÁRI SZÁMLAVEZETÉSSEL KAPCSOLATOS ELSZÁMOLÁSOK</t>
  </si>
  <si>
    <t>Értéke
(Ft)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</si>
  <si>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</si>
  <si>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</si>
  <si>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</si>
  <si>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</si>
  <si>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</si>
  <si>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</si>
  <si>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</si>
  <si>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</si>
  <si>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</si>
  <si>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</si>
  <si>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</si>
  <si>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</si>
  <si>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</si>
  <si>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</si>
  <si>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</si>
  <si>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</si>
  <si>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</si>
  <si>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</si>
  <si>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</si>
  <si>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</si>
  <si>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</si>
  <si>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</si>
  <si>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</si>
  <si>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</si>
  <si>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</si>
  <si>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</si>
  <si>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</si>
  <si>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</si>
  <si>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</si>
  <si>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Többéves kihatással járó döntésekből származó kötzelezettségek célok szerinti, évenkénti bontásban</t>
  </si>
  <si>
    <t>Az önkormányzat által adott közvetett támogatások</t>
  </si>
  <si>
    <t>(kedvezménye)</t>
  </si>
  <si>
    <t>K I M U T A T Á S</t>
  </si>
  <si>
    <t>VAGYONKIMUTATÁS</t>
  </si>
  <si>
    <t>az érték nélkül nyilvántartott eszkzözkről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</si>
  <si>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</si>
  <si>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</si>
  <si>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</si>
  <si>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</si>
  <si>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</si>
  <si>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</si>
  <si>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Működési célú bevételek, kiadások mérlege</t>
  </si>
  <si>
    <t>Felhalmozási célú bevételek, kiadások mérlege</t>
  </si>
  <si>
    <t>Ellenőrzés az 1-es és 2.1., 2.2. mellékletek adati esetében</t>
  </si>
  <si>
    <t>Beruházási (felhalmozási) kiadások előirányzata beruházásonként</t>
  </si>
  <si>
    <t>Felújítási kiadások előirányzata felújításonként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</si>
  <si>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</si>
  <si>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</si>
  <si>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</si>
  <si>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</si>
  <si>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</si>
  <si>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</si>
  <si>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</si>
  <si>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</si>
  <si>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</si>
  <si>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</si>
  <si>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</si>
  <si>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</si>
  <si>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</si>
  <si>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</si>
  <si>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</si>
  <si>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</si>
  <si>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</si>
  <si>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</si>
  <si>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</si>
  <si>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</si>
  <si>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</si>
  <si>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</si>
  <si>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</si>
  <si>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</si>
  <si>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</si>
  <si>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</si>
  <si>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</si>
  <si>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</si>
  <si>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</si>
  <si>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</si>
  <si>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</si>
  <si>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</si>
  <si>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2022. évi ZÁRSZÁMADÁSÁNAK PÉNZÜGYI MÉRLEGE</t>
  </si>
  <si>
    <t>2022. ÉVI ZÁRSZÁMADSÁS</t>
  </si>
  <si>
    <t>2023.</t>
  </si>
  <si>
    <t>2022. évi eredeti előirányzat BEVÉTELEK</t>
  </si>
  <si>
    <t>Balatonvilágos Község Önkormányzata</t>
  </si>
  <si>
    <t>Jóváhagyás után</t>
  </si>
  <si>
    <t>V…...</t>
  </si>
  <si>
    <t>Balatonvilágos Község Önkormányzat Gazdasági Ellátó és Vagyongazdálkodó Szervezete</t>
  </si>
  <si>
    <t>Balatonvilágosi Szivárvány Óvoda</t>
  </si>
  <si>
    <t>Balatonvilágosi Szivárvány óvoda</t>
  </si>
  <si>
    <t>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</si>
  <si>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</si>
  <si>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</si>
  <si>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</si>
  <si>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</si>
  <si>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bevétel, kiadás</t>
  </si>
  <si>
    <t>Balatonvilágos Község Önkormányzat Gazdasági Ellátó és Vagyongazdálkodó Szervezete Kötelező feladatok bevétel, kiadás</t>
  </si>
  <si>
    <t>Balatonvilágos Község Önkormányzat Gazdasági Ellátó és Vagyongazdálkodó Szervezete Önként vállalt feladatok bevétel, kiadás</t>
  </si>
  <si>
    <t>Balatonvilágos Község Önkormányzat Gazdasági Ellátó és Vagyongazdálkodó Szervezete Államigazgatási feladatok bevétel, kiadás</t>
  </si>
  <si>
    <t>Balatonvilágosi Szivárvány Óvoda Összes bevétel, kiadás</t>
  </si>
  <si>
    <t>Balatonvilágosi Szivárvány Óvoda Kötelező feladatok bevétel, kiadás</t>
  </si>
  <si>
    <t>Balatonvilágosi Szivárvány Óvoda Önként vállalt feladatok bevétel, kiadás</t>
  </si>
  <si>
    <t>Balatonvilágosi Szivárvány Óvoda Államigazgatási feladatok bevétel, kiadás</t>
  </si>
  <si>
    <t>Adósság állomány alakulása lejárat, eszközök, bel- és külföldi hitelezők szerinti bontásban
2022. december 31-én</t>
  </si>
  <si>
    <t>Adósság állomány alakulása lejárat, eszközök, bel- és külföldi hitelezők szerinti bontásban</t>
  </si>
  <si>
    <t>2022. évi Zárszámadás pénzügyi mérlege</t>
  </si>
  <si>
    <t>2022. évi általános működés és ágazati feladatok támogatásának alakulása jogcímenként</t>
  </si>
  <si>
    <t>2022. ÉVI ZÁRSZÁMADÁSÁNAK PÉNZÜGYI MÉRLEGE</t>
  </si>
  <si>
    <t>2022. évi teljesítés</t>
  </si>
  <si>
    <t>2024.</t>
  </si>
  <si>
    <t>2025.</t>
  </si>
  <si>
    <t>2025. után</t>
  </si>
  <si>
    <t>2022. évi</t>
  </si>
  <si>
    <t>2021. évi tény</t>
  </si>
  <si>
    <t>Hitel, kölcsön állomány 2022. dec.31-én</t>
  </si>
  <si>
    <t>2024. után</t>
  </si>
  <si>
    <t>A 2022. évi céljelleggel juttatott támogatások felhasználásáról</t>
  </si>
  <si>
    <t>2022. év</t>
  </si>
  <si>
    <t>kötelezettségek és részesedések alakulása 2022-ban</t>
  </si>
  <si>
    <t>Pénzkészlet 2022. január 1-jén
Ebből:</t>
  </si>
  <si>
    <t>Záró pénzkészlet 2022. december 31-én
Ebből:</t>
  </si>
  <si>
    <t>Önkormányzatok gyermekétkeztetési feladatainak támogatása</t>
  </si>
  <si>
    <t xml:space="preserve">   Elszámolásból származó bevételek</t>
  </si>
  <si>
    <t>Kommunálisadó</t>
  </si>
  <si>
    <t>Telekadó</t>
  </si>
  <si>
    <t>Egyéb közhatalmi bevétel</t>
  </si>
  <si>
    <t>Tartózkodás után fizetett idegenforgalmi adó</t>
  </si>
  <si>
    <t>4.8.</t>
  </si>
  <si>
    <t>Adópótlék, bírság</t>
  </si>
  <si>
    <t>Mobiltelefon vásárlás</t>
  </si>
  <si>
    <t>2022</t>
  </si>
  <si>
    <t>Külterületi közutak fejlesztése pályázat önerő</t>
  </si>
  <si>
    <t>MFP/OJKJF/2021 Óvodai játszóudvar és játszótér fejlesztése</t>
  </si>
  <si>
    <t>MFP/KOEB/2021 Kommunális eszközbeszerzés</t>
  </si>
  <si>
    <t>Dobó István utcai telkek közmű terve</t>
  </si>
  <si>
    <t>MFP-BJA/2022 Járda felújítás terv</t>
  </si>
  <si>
    <t>MFP-TFB/2022 Tanya és Falugondnoki buszok beszerzése</t>
  </si>
  <si>
    <t>MFP-UHK/2022 Út felújítás Terv</t>
  </si>
  <si>
    <t>MFP-OJKJF/2022 Óvodai játszóudvar és játszótér fejlesztése Terv</t>
  </si>
  <si>
    <t>MFP-ÖTIF/2022 Temető felújítás Terv</t>
  </si>
  <si>
    <t>Erdődi utca kamera rendszer</t>
  </si>
  <si>
    <t>Sorompó 295/1 hrsz</t>
  </si>
  <si>
    <t>NKA Iskolánk 40 éves - sátor beszerzés</t>
  </si>
  <si>
    <t>093, 01/31 hrsz ingatlan vásárlás</t>
  </si>
  <si>
    <t>Kistelepülési önk. Rendezvények eszköz beszerzés</t>
  </si>
  <si>
    <t>Óvoda 3 db. Tablet</t>
  </si>
  <si>
    <t>2022.</t>
  </si>
  <si>
    <t>Óvoda gyermek öltözőszekrények</t>
  </si>
  <si>
    <t>Járda építése</t>
  </si>
  <si>
    <t>Konyha kisértékű tárgyi eszközbeszerzés</t>
  </si>
  <si>
    <t>Szerszámok, kisértékű tárgyi eszközbeszerzés</t>
  </si>
  <si>
    <t>Sportpálya kerítés</t>
  </si>
  <si>
    <t>Tuskómarógép beszerzés</t>
  </si>
  <si>
    <t>1 db. Számítógép</t>
  </si>
  <si>
    <t>Közmű kialakítás</t>
  </si>
  <si>
    <t>3 db klíma beszerzése</t>
  </si>
  <si>
    <t>Informatikai eszközök beszerzése</t>
  </si>
  <si>
    <t>Kisértékű tárgyi eszköz beszerzések (trezor)</t>
  </si>
  <si>
    <t>Közvilágítás, 2 db napelemes kandeláber</t>
  </si>
  <si>
    <t>Iskola működtetés, kisértékű tárgyi eszköz beszerzése</t>
  </si>
  <si>
    <t>Háziorvosi szolgálat kisértékű tárgyi eszköz beszerzése</t>
  </si>
  <si>
    <t>Könyvtár, könyvbeszerzés</t>
  </si>
  <si>
    <t>Könyvtár, klima</t>
  </si>
  <si>
    <t>Művelődési ház (tourinform) kazáncsere</t>
  </si>
  <si>
    <t>Művelődési ház szennyvízrendszer leválasztása</t>
  </si>
  <si>
    <t>Kisértékű tárgyi eszköz beszerzések (anyakönyv)</t>
  </si>
  <si>
    <t>H=(D+G)</t>
  </si>
  <si>
    <t>SZIP Tecnotel Balatonvilágos tervezés- kivitelezés kompenzác</t>
  </si>
  <si>
    <t>Településüzemeltetés - zöldterület-gazdálkodás támogatása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</si>
  <si>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</si>
  <si>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</si>
  <si>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</si>
  <si>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</si>
  <si>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</si>
  <si>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>Óvodaműködtetési támogatás 8/12</t>
  </si>
  <si>
    <t>Óvodaműködtetési támogatás 4/12</t>
  </si>
  <si>
    <t>Óvoda bértámogatás 8/12</t>
  </si>
  <si>
    <t>Óvoda bértámogatás 4/12</t>
  </si>
  <si>
    <t>Települési önkormányzatok szociális és gyermekjólléti feladatainak egyéb támogatása</t>
  </si>
  <si>
    <t>Szociális étkezés</t>
  </si>
  <si>
    <t>Falugondnoki vagy Tanyagondnoki támogatás</t>
  </si>
  <si>
    <t>Intézményi gyermekétkeztetés bértámogatása</t>
  </si>
  <si>
    <t>Intézményi gyermekétkeztetés üzemeltetési támogatás</t>
  </si>
  <si>
    <t>Települési önkormányzatok egyes kulturális feladatainak támogatása</t>
  </si>
  <si>
    <t>Adópótlék,bírság</t>
  </si>
  <si>
    <t xml:space="preserve">Talajterhelési díj </t>
  </si>
  <si>
    <t>Kommunális adó</t>
  </si>
  <si>
    <t xml:space="preserve">    - Előző évi elszámolásokból származó bevételek</t>
  </si>
  <si>
    <t>Lakásépítési kölcsön</t>
  </si>
  <si>
    <t>Nyugdíjasklub</t>
  </si>
  <si>
    <t>Polgárőrség</t>
  </si>
  <si>
    <t>Nők szervezete</t>
  </si>
  <si>
    <t>Dalkör</t>
  </si>
  <si>
    <t xml:space="preserve">Karate Egyesület </t>
  </si>
  <si>
    <t>Rákóczi Szövetség</t>
  </si>
  <si>
    <t>Mozdulj Balaton</t>
  </si>
  <si>
    <t>Mozdulj Világos Sportegyesület</t>
  </si>
  <si>
    <t>Balatoni futár</t>
  </si>
  <si>
    <t>Vidám Oroszlán - Jótékonysági sárkányhajó verseny</t>
  </si>
  <si>
    <t>Kick-Box SE</t>
  </si>
  <si>
    <t>Balatoni Hírportál</t>
  </si>
  <si>
    <t>Aligai Fürdő Egyesület</t>
  </si>
  <si>
    <t>Működési hozzájárulás</t>
  </si>
  <si>
    <t>Mérleg szerinti érték</t>
  </si>
  <si>
    <t>Előző időszak</t>
  </si>
  <si>
    <t>Tárgy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</si>
  <si>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</si>
  <si>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</si>
  <si>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</si>
  <si>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</si>
  <si>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</si>
  <si>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</si>
  <si>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</si>
  <si>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</si>
  <si>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</si>
  <si>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</si>
  <si>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</si>
  <si>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</si>
  <si>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</si>
  <si>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</si>
  <si>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</si>
  <si>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</si>
  <si>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</si>
  <si>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(=A/III/1a+…+A/III/1f)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</si>
  <si>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</si>
  <si>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</si>
  <si>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</si>
  <si>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</si>
  <si>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</si>
  <si>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</si>
  <si>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</si>
  <si>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</si>
  <si>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</si>
  <si>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 (kivéve befektetési jegyek)</t>
  </si>
  <si>
    <t>17</t>
  </si>
  <si>
    <t>A/III/1f - ebből: tartós befektetési jegyek</t>
  </si>
  <si>
    <t>18</t>
  </si>
  <si>
    <t>A/III/2 Tartós hitelviszonyt megtestesítő értékpapírok (&gt;=A/III/2a+A/III/2/b)</t>
  </si>
  <si>
    <t>19</t>
  </si>
  <si>
    <t>A/III/2a - ebből: államkötvények</t>
  </si>
  <si>
    <t>20</t>
  </si>
  <si>
    <t>A/III/2b - ebből: helyi önkormányzatok kötvényei</t>
  </si>
  <si>
    <t>21</t>
  </si>
  <si>
    <t>A/III/3 Befektetett pénzügyi eszközök értékhelyesbítése</t>
  </si>
  <si>
    <t>22</t>
  </si>
  <si>
    <t>A/III Befektetett pénzügyi eszközök (=A/III/1+A/III/2+A/III/3)</t>
  </si>
  <si>
    <t>23</t>
  </si>
  <si>
    <t>A/IV/1 Koncesszióba, vagyonkezelésbe adott eszközök (=A/IV/1a+A/IV/1b+A/IV/1c)</t>
  </si>
  <si>
    <t>24</t>
  </si>
  <si>
    <t>A/IV/1a - ebből: immateriális javak</t>
  </si>
  <si>
    <t>25</t>
  </si>
  <si>
    <t>A/IV/1b - ebből: tárgyi eszközök</t>
  </si>
  <si>
    <t>26</t>
  </si>
  <si>
    <t>A/IV/1c - ebből: tartós részesedések, tartós hitelviszonyt megtestesítő értékpapírok</t>
  </si>
  <si>
    <t>27</t>
  </si>
  <si>
    <t>A/IV/2 Koncesszióba, vagyonkezelésbe adott eszközök értékhelyesbítése</t>
  </si>
  <si>
    <t>28</t>
  </si>
  <si>
    <t>A/IV Koncesszióba, vagyonkezelésbe adott eszközök (=A/IV/1+A/IV/2)</t>
  </si>
  <si>
    <t>29</t>
  </si>
  <si>
    <t>A) NEMZETI VAGYONBA TARTOZÓ BEFEKTETETT ESZKÖZÖK (=A/I+A/II+A/III+A/IV)</t>
  </si>
  <si>
    <t>30</t>
  </si>
  <si>
    <t>B/I/1 Vásárolt készletek</t>
  </si>
  <si>
    <t>31</t>
  </si>
  <si>
    <t>B/I/2 Átsorolt, követelés fejében átvett készletek</t>
  </si>
  <si>
    <t>32</t>
  </si>
  <si>
    <t>B/I/3 Egyéb készletek</t>
  </si>
  <si>
    <t>33</t>
  </si>
  <si>
    <t>B/I/4  Befejezetlen termelés, félkész termékek, késztermékek</t>
  </si>
  <si>
    <t>34</t>
  </si>
  <si>
    <t>B/I/5 Növendék-, hízó és egyéb állatok</t>
  </si>
  <si>
    <t>35</t>
  </si>
  <si>
    <t>B/I Készletek (=B/I/1+…+B/I/5)</t>
  </si>
  <si>
    <t>36</t>
  </si>
  <si>
    <t>B/II/1 Nem tartós részesedések (=B/II/1a+B/II/1b)</t>
  </si>
  <si>
    <t>37</t>
  </si>
  <si>
    <t>B/II/1a - ebből: részesedések</t>
  </si>
  <si>
    <t>38</t>
  </si>
  <si>
    <t>B/II/1b - ebből: nem tartós befektetési jegyek</t>
  </si>
  <si>
    <t>39</t>
  </si>
  <si>
    <t>40</t>
  </si>
  <si>
    <t>B/II/2a - ebből: kárpótlási jegyek</t>
  </si>
  <si>
    <t>41</t>
  </si>
  <si>
    <t>B/II/2b - ebből: kincstárjegyek</t>
  </si>
  <si>
    <t>42</t>
  </si>
  <si>
    <t>B/II/2c - ebből: államkötvények</t>
  </si>
  <si>
    <t>43</t>
  </si>
  <si>
    <t>B/II/2d - ebből: helyi önkormányzatok kötvényei</t>
  </si>
  <si>
    <t>44</t>
  </si>
  <si>
    <t>45</t>
  </si>
  <si>
    <t>B/II Értékpapírok (=B/II/1+B/II/2)</t>
  </si>
  <si>
    <t>46</t>
  </si>
  <si>
    <t>B) NEMZETI VAGYONBA TARTOZÓ FORGÓESZKÖZÖK (= B/I+B/II)</t>
  </si>
  <si>
    <t>47</t>
  </si>
  <si>
    <t>C/I/1 Éven túli lejáratú forint lekötött bankbetétek</t>
  </si>
  <si>
    <t>48</t>
  </si>
  <si>
    <t>C/I/2 Éven túli lejáratú deviza lekötött bankbetétek</t>
  </si>
  <si>
    <t>49</t>
  </si>
  <si>
    <t>C/I Lekötött bankbetétek (=C/I/1+…+C/I/2)</t>
  </si>
  <si>
    <t>50</t>
  </si>
  <si>
    <t>C/II/1 Forintpénztár</t>
  </si>
  <si>
    <t>51</t>
  </si>
  <si>
    <t>C/II/2 Valutapénztár</t>
  </si>
  <si>
    <t>52</t>
  </si>
  <si>
    <t>C/II/3 Betétkönyvek, csekkek, elektronikus pénzeszközök</t>
  </si>
  <si>
    <t>53</t>
  </si>
  <si>
    <t>C/II Pénztárak, csekkek, betétkönyvek (=C/II/1+C/II/2+C/II/3)</t>
  </si>
  <si>
    <t>54</t>
  </si>
  <si>
    <t>C/III/1 Kincstáron kívüli forintszámlák</t>
  </si>
  <si>
    <t>55</t>
  </si>
  <si>
    <t>C/III/2 Kincstárban vezetett forintszámlák</t>
  </si>
  <si>
    <t>56</t>
  </si>
  <si>
    <t>C/III Forintszámlák (=C/III/1+C/III/2)</t>
  </si>
  <si>
    <t>57</t>
  </si>
  <si>
    <t>C/IV/1 Kincstáron kívüli devizaszámlák</t>
  </si>
  <si>
    <t>58</t>
  </si>
  <si>
    <t>C/IV/2 Kincstárban vezetett devizaszámlák</t>
  </si>
  <si>
    <t>59</t>
  </si>
  <si>
    <t>C/IV Devizaszámlák (=CIV/1+C/IV/2)</t>
  </si>
  <si>
    <t>60</t>
  </si>
  <si>
    <t>C) PÉNZESZKÖZÖK (=C/I+…+C/IV)</t>
  </si>
  <si>
    <t>61</t>
  </si>
  <si>
    <t>D/I/1 Költségvetési évben esedékes követelések működési célú támogatások bevételeire államháztartáson belülről (&gt;=D/I/1a)</t>
  </si>
  <si>
    <t>62</t>
  </si>
  <si>
    <t>D/I/1a - ebből: költségvetési évben esedékes követelések működési célú visszatérítendő támogatások, kölcsönök visszatérülésére államháztartáson belülről</t>
  </si>
  <si>
    <t>63</t>
  </si>
  <si>
    <t>D/I/2 Költségvetési évben esedékes követelések felhalmozási célú támogatások bevételeire államháztartáson belülről (&gt;=D/I/2a)</t>
  </si>
  <si>
    <t>64</t>
  </si>
  <si>
    <t>D/I/2a - ebből: költségvetési évben esedékes követelések felhalmozási célú visszatérítendő támogatások, kölcsönök visszatérülésére államháztartáson belülről</t>
  </si>
  <si>
    <t>65</t>
  </si>
  <si>
    <t>D/I/3 Költségvetési évben esedékes követelések közhatalmi bevételre (=D/I/3a+…+D/I/3f)</t>
  </si>
  <si>
    <t>66</t>
  </si>
  <si>
    <t>D/I/3a  - ebből: költségvetési évben esedékes követelések jövedelemadókra</t>
  </si>
  <si>
    <t>67</t>
  </si>
  <si>
    <t>D/I/3b - ebből: költségvetési évben esedékes követelések szociális hozzájárulási adóra és járulékokra</t>
  </si>
  <si>
    <t>68</t>
  </si>
  <si>
    <t>D/I/3c - ebből: költségvetési évben esedékes követelések bérhez és foglalkoztatáshoz kapcsolódó adókra</t>
  </si>
  <si>
    <t>69</t>
  </si>
  <si>
    <t>D/I/3d - ebből: költségvetési évben esedékes követelések vagyoni típusú adókra</t>
  </si>
  <si>
    <t>70</t>
  </si>
  <si>
    <t>D/I/3e - ebből: költségvetési évben esedékes követelések termékek és szolgáltatások adóira</t>
  </si>
  <si>
    <t>71</t>
  </si>
  <si>
    <t>D/I/3f - ebből: költségvetési évben esedékes követelések egyéb közhatalmi bevételekre</t>
  </si>
  <si>
    <t>72</t>
  </si>
  <si>
    <t>D/I/4 Költségvetési évben esedékes követelések működési bevételre (=D/I/4a+…+D/I/4i)</t>
  </si>
  <si>
    <t>73</t>
  </si>
  <si>
    <t>D/I/4a - ebből: költségvetési évben esedékes követelések készletértékesítés ellenértékére, szolgáltatások ellenértékére, közvetített szolgáltatások ellenértékére</t>
  </si>
  <si>
    <t>74</t>
  </si>
  <si>
    <t>D/I/4b - ebből: költségvetési évben esedékes követelések tulajdonosi bevételekre</t>
  </si>
  <si>
    <t>75</t>
  </si>
  <si>
    <t>D/I/4c - ebből: költségvetési évben esedékes követelések ellátási díjakra</t>
  </si>
  <si>
    <t>76</t>
  </si>
  <si>
    <t>D/I/4d - ebből: költségvetési évben esedékes követelések kiszámlázott általános forgalmi adóra</t>
  </si>
  <si>
    <t>77</t>
  </si>
  <si>
    <t>D/I/4e - ebből: költségvetési évben esedékes követelések általános forgalmi adó visszatérítésére</t>
  </si>
  <si>
    <t>78</t>
  </si>
  <si>
    <t>D/I/4f - ebből: költségvetési évben esedékes követelések kamatbevételekre és más nyereségjellegű bevételekre</t>
  </si>
  <si>
    <t>79</t>
  </si>
  <si>
    <t>D/I/4g - ebből: költségvetési évben esedékes követelések egyéb pénzügyi műveletek bevételeire</t>
  </si>
  <si>
    <t>80</t>
  </si>
  <si>
    <t>D/I/4h - ebből: költségvetési évben esedékes követelések biztosító által fizetett kártérítésre</t>
  </si>
  <si>
    <t>81</t>
  </si>
  <si>
    <t>D/I/4i - ebből: költségvetési évben esedékes követelések egyéb működési bevételekre</t>
  </si>
  <si>
    <t>82</t>
  </si>
  <si>
    <t>D/I/5 Költségvetési évben esedékes követelések felhalmozási bevételre (=D/I/5a+…+D/I/5e)</t>
  </si>
  <si>
    <t>83</t>
  </si>
  <si>
    <t>D/I/5a - ebből: költségvetési évben esedékes követelések immateriális javak értékesítésére</t>
  </si>
  <si>
    <t>84</t>
  </si>
  <si>
    <t>D/I/5b - ebből: költségvetési évben esedékes követelések ingatlanok értékesítésére</t>
  </si>
  <si>
    <t>85</t>
  </si>
  <si>
    <t>D/I/5c - ebből: költségvetési évben esedékes követelések egyéb tárgyi eszközök értékesítésére</t>
  </si>
  <si>
    <t>86</t>
  </si>
  <si>
    <t>D/I/5d - ebből: költségvetési évben esedékes követelések részesedések értékesítésére</t>
  </si>
  <si>
    <t>87</t>
  </si>
  <si>
    <t>D/I/5e - ebből: költségvetési évben esedékes követelések részesedések megszűnéséhez kapcsolódó bevételekre</t>
  </si>
  <si>
    <t>88</t>
  </si>
  <si>
    <t>D/I/6 Költségvetési évben esedékes követelések működési célú átvett pénzeszközre (&gt;=D/I/6a+D/I/6b+D/I/6c)</t>
  </si>
  <si>
    <t>89</t>
  </si>
  <si>
    <t>D/I/6a - ebből: költségvetési évben esedékes követelések működési célú visszatérítendő támogatások, kölcsönök visszatérülése az Európai Uniótól</t>
  </si>
  <si>
    <t>90</t>
  </si>
  <si>
    <t>D/I/6b - ebből: költségvetési évben esedékes követelések működési célú visszatérítendő támogatások, kölcsönök visszatérülése kormányoktól és más nemzetközi szervezetektől</t>
  </si>
  <si>
    <t>91</t>
  </si>
  <si>
    <t>D/I/6c - ebből: költségvetési évben esedékes követelések működési célú visszatérítendő támogatások, kölcsönök visszatérülésére államháztartáson kívülről</t>
  </si>
  <si>
    <t>92</t>
  </si>
  <si>
    <t>D/I/7 Költségvetési évben esedékes követelések felhalmozási célú átvett pénzeszközre (&gt;=D/I/7a+D/I/7b+D/I/7c)</t>
  </si>
  <si>
    <t>93</t>
  </si>
  <si>
    <t>D/I/7a - ebből: költségvetési évben esedékes követelések felhalmozási célú visszatérítendő támogatások, kölcsönök visszatérülése az Európai Uniótól</t>
  </si>
  <si>
    <t>94</t>
  </si>
  <si>
    <t>D/I/7b - ebből: költségvetési évben esedékes követelések felhalmozási célú visszatérítendő támogatások, kölcsönök visszatérülése kormányoktól és más nemzetközi szervezetektől</t>
  </si>
  <si>
    <t>95</t>
  </si>
  <si>
    <t>D/I/7c - ebből: költségvetési évben esedékes követelések felhalmozási célú visszatérítendő támogatások, kölcsönök visszatérülésére államháztartáson kívülről</t>
  </si>
  <si>
    <t>96</t>
  </si>
  <si>
    <t>D/I/8 Költségvetési évben esedékes követelések finanszírozási bevételekre (&gt;=D/I/8a+…+D/I/8g)</t>
  </si>
  <si>
    <t>97</t>
  </si>
  <si>
    <t>D/I/8a - ebből: költségvetési évben esedékes követelések forgatási célú belföldi értékpapírok beváltásából, értékesítéséből</t>
  </si>
  <si>
    <t>98</t>
  </si>
  <si>
    <t>D/I/8b - ebből: költségvetési évben esedékes követelések befektetési célú belföldi értékpapírok beváltásából, értékesítéséből</t>
  </si>
  <si>
    <t>99</t>
  </si>
  <si>
    <t>D/I/8c - ebből: költségvetési évben esedékes követelések államháztartáson belüli megelőlegezések törlesztésére</t>
  </si>
  <si>
    <t>100</t>
  </si>
  <si>
    <t>D/I/8d - ebből: költségvetési évben esedékes követelések hosszú lejáratú tulajdonosi kölcsönök bevételeire</t>
  </si>
  <si>
    <t>101</t>
  </si>
  <si>
    <t>D/I/8e - ebből: költségvetési évben esedékes követelések rövid lejáratú tulajdonosi kölcsönök bevételeire</t>
  </si>
  <si>
    <t>102</t>
  </si>
  <si>
    <t>D/I/8f - ebből: költségvetési évben esedékes követelések forgatási célú külföldi értékpapírok beváltásából, értékesítéséből</t>
  </si>
  <si>
    <t>103</t>
  </si>
  <si>
    <t>D/I/8g - ebből: költségvetési évben esedékes követelések befektetési célú külföldi értékpapírok beváltásából, értékesítéséből</t>
  </si>
  <si>
    <t>104</t>
  </si>
  <si>
    <t>D/I Költségvetési évben esedékes követelések (=D/I/1+…+D/I/8)</t>
  </si>
  <si>
    <t>105</t>
  </si>
  <si>
    <t>D/II/1 Költségvetési évet követően esedékes követelések működési célú támogatások bevételeire államháztartáson belülről (&gt;=D/II/1a)</t>
  </si>
  <si>
    <t>106</t>
  </si>
  <si>
    <t>D/II/1a - ebből: költségvetési évet követően esedékes követelések működési célú visszatérítendő támogatások, kölcsönök visszatérülésére államháztartáson belülről</t>
  </si>
  <si>
    <t>107</t>
  </si>
  <si>
    <t>D/II/2 Költségvetési évet követően esedékes követelések felhalmozási célú támogatások bevételeire államháztartáson belülről (&gt;=D/II/2a)</t>
  </si>
  <si>
    <t>108</t>
  </si>
  <si>
    <t>D/II/2a - ebből: költségvetési évet követően esedékes követelések felhalmozási célú visszatérítendő támogatások, kölcsönök visszatérülésére államháztartáson belülről</t>
  </si>
  <si>
    <t>109</t>
  </si>
  <si>
    <t>D/II/3 Költségvetési évet követően esedékes követelések közhatalmi bevételre (=D/II/3a+…+D/II/3f)</t>
  </si>
  <si>
    <t>110</t>
  </si>
  <si>
    <t>D/II/3a - ebből: költségvetési évet követően esedékes követelések jövedelemadókra</t>
  </si>
  <si>
    <t>111</t>
  </si>
  <si>
    <t>D/II/3b - ebből: költségvetési évet követően esedékes követelések szociális hozzájárulási adóra és járulékokra</t>
  </si>
  <si>
    <t>112</t>
  </si>
  <si>
    <t>D/II/3c - ebből: költségvetési évet követően esedékes követelések bérhez és foglalkoztatáshoz kapcsolódó adókra</t>
  </si>
  <si>
    <t>113</t>
  </si>
  <si>
    <t>D/II/3d - ebből: költségvetési évet követően esedékes követelések vagyoni típusú adókra</t>
  </si>
  <si>
    <t>114</t>
  </si>
  <si>
    <t>D/II/3e - ebből: költségvetési évet követően esedékes követelések termékek és szolgáltatások adóira</t>
  </si>
  <si>
    <t>115</t>
  </si>
  <si>
    <t>D/II/3f - ebből: költségvetési évet követően esedékes követelések egyéb közhatalmi bevételekre</t>
  </si>
  <si>
    <t>116</t>
  </si>
  <si>
    <t>D/II/4 Költségvetési évet követően esedékes követelések működési bevételre (=D/II/4a+…+D/II/4i)</t>
  </si>
  <si>
    <t>117</t>
  </si>
  <si>
    <t>D/II/4a - ebből: költségvetési évet követően esedékes követelések készletértékesítés ellenértékére, szolgáltatások ellenértékére, közvetített szolgáltatások ellenértékére</t>
  </si>
  <si>
    <t>118</t>
  </si>
  <si>
    <t>D/II/4b - ebből: költségvetési évet követően esedékes követelések tulajdonosi bevételekre</t>
  </si>
  <si>
    <t>119</t>
  </si>
  <si>
    <t>D/II/4c - ebből: költségvetési évet követően esedékes követelések ellátási díjakra</t>
  </si>
  <si>
    <t>120</t>
  </si>
  <si>
    <t>D/II/4d - ebből: költségvetési évet követően esedékes követelések kiszámlázott általános forgalmi adóra</t>
  </si>
  <si>
    <t>121</t>
  </si>
  <si>
    <t>D/II/4e - ebből: költségvetési évet követően esedékes követelések általános forgalmi adó visszatérítésére</t>
  </si>
  <si>
    <t>122</t>
  </si>
  <si>
    <t>D/II/4f - ebből: költségvetési évet követően esedékes követelések kamatbevételekre és más nyereségjellegű bevételekre</t>
  </si>
  <si>
    <t>123</t>
  </si>
  <si>
    <t>D/II/4g - ebből: költségvetési évet követően esedékes követelések egyéb pénzügyi műveletek bevételeire</t>
  </si>
  <si>
    <t>124</t>
  </si>
  <si>
    <t>D/II/4h - ebből: költségvetési évet követően esedékes követelések biztosító által fizetett kártérítésre</t>
  </si>
  <si>
    <t>125</t>
  </si>
  <si>
    <t>D/II/4i - ebből: költségvetési évet követően esedékes követelések egyéb működési bevételekre</t>
  </si>
  <si>
    <t>126</t>
  </si>
  <si>
    <t>D/II/5 Költségvetési évet követően esedékes követelések felhalmozási bevételre (=D/II/5a+…+D/II/5e)</t>
  </si>
  <si>
    <t>127</t>
  </si>
  <si>
    <t>D/II/5a - ebből: költségvetési évet követően esedékes követelések immateriális javak értékesítésére</t>
  </si>
  <si>
    <t>128</t>
  </si>
  <si>
    <t>D/II/5b - ebből: költségvetési évet követően esedékes követelések ingatlanok értékesítésére</t>
  </si>
  <si>
    <t>129</t>
  </si>
  <si>
    <t>D/II/5c - ebből: költségvetési évet követően esedékes követelések egyéb tárgyi eszközök értékesítésére</t>
  </si>
  <si>
    <t>130</t>
  </si>
  <si>
    <t>D/II/5d - ebből: költségvetési évet követően esedékes követelések részesedések értékesítésére</t>
  </si>
  <si>
    <t>131</t>
  </si>
  <si>
    <t>D/II/5e - ebből: költségvetési évet követően esedékes követelések részesedések megszűnéséhez kapcsolódó bevételekre</t>
  </si>
  <si>
    <t>132</t>
  </si>
  <si>
    <t>D/II/6 Költségvetési évet követően esedékes követelések működési célú átvett pénzeszközre (&gt;=D/II/6a+D/II/6b+D/II/6c)</t>
  </si>
  <si>
    <t>133</t>
  </si>
  <si>
    <t>D/II/6a - ebből: költségvetési évet követően esedékes követelések működési célú visszatérítendő támogatások, kölcsönök visszatérülése az Európai Uniótól</t>
  </si>
  <si>
    <t>134</t>
  </si>
  <si>
    <t>D/II/6b - ebből: költségvetési évet követően esedékes követelések működési célú visszatérítendő támogatások, kölcsönök visszatérülése kormányoktól és más nemzetközi szervezetektől</t>
  </si>
  <si>
    <t>135</t>
  </si>
  <si>
    <t>D/II/6c - ebből: költségvetési évet követően esedékes követelések működési célú visszatérítendő támogatások, kölcsönök visszatérülésére államháztartáson kívülről</t>
  </si>
  <si>
    <t>136</t>
  </si>
  <si>
    <t>D/II/7 Költségvetési évet követően esedékes követelések felhalmozási célú átvett pénzeszközre (&gt;=D/II/7a+D/II/7b+D/II/7c)</t>
  </si>
  <si>
    <t>137</t>
  </si>
  <si>
    <t>D/II/7a - ebből: költségvetési évet követően esedékes követelések felhalmozási célú visszatérítendő támogatások, kölcsönök visszatérülése az Európai Uniótól</t>
  </si>
  <si>
    <t>138</t>
  </si>
  <si>
    <t>D/II/7b - ebből: költségvetési évet követően esedékes követelések felhalmozási célú visszatérítendő támogatások, kölcsönök visszatérülése kormányoktól és más nemzetközi szervezetektől</t>
  </si>
  <si>
    <t>139</t>
  </si>
  <si>
    <t>D/II/7c - ebből: költségvetési évet követően esedékes követelések felhalmozási célú visszatérítendő támogatások, kölcsönök visszatérülésére államháztartáson kívülről</t>
  </si>
  <si>
    <t>140</t>
  </si>
  <si>
    <t>D/II/8 Költségvetési évet követően esedékes követelések finanszírozási bevételekre (=D/II/8a+D/II/8b+D/II/8c+D/II/8d)</t>
  </si>
  <si>
    <t>141</t>
  </si>
  <si>
    <t>D/II8a - ebből: költségvetési évet követően esedékes követelések befektetési célú belföldi értékpapírok beváltásából, értékesítéséből</t>
  </si>
  <si>
    <t>142</t>
  </si>
  <si>
    <t>D/II8b - ebből: költségvetési évet követően esedékes követelések államháztartáson belüli megelőlegezések törlesztésére</t>
  </si>
  <si>
    <t>143</t>
  </si>
  <si>
    <t>D/II8c - ebből: költségvetési évet követően esedékes követelések hosszú lejáratú tulajdonosi kölcsönök bevételeire</t>
  </si>
  <si>
    <t>144</t>
  </si>
  <si>
    <t>D/II8d - ebből: költségvetési évet követően esedékes követelések befektetési célú külföldi értékpapírok beváltásából, értékesítéséből</t>
  </si>
  <si>
    <t>145</t>
  </si>
  <si>
    <t>D/II Költségvetési évet követően esedékes követelések (=D/II/1+…+D/II/8)</t>
  </si>
  <si>
    <t>146</t>
  </si>
  <si>
    <t>D/III/1 Adott előlegek (=D/III/1a+…+D/III/1f)</t>
  </si>
  <si>
    <t>147</t>
  </si>
  <si>
    <t>D/III/1a - ebből: immateriális javakra adott előlegek</t>
  </si>
  <si>
    <t>148</t>
  </si>
  <si>
    <t>D/III/1b - ebből: beruházásokra, felújításokra adott előlegek</t>
  </si>
  <si>
    <t>149</t>
  </si>
  <si>
    <t>D/III/1c - ebből: készletekre adott előlegek</t>
  </si>
  <si>
    <t>150</t>
  </si>
  <si>
    <t>D/III/1d - ebből: igénybe vett szolgáltatásra adott előlegek</t>
  </si>
  <si>
    <t>151</t>
  </si>
  <si>
    <t>D/III/1e - ebből: foglalkoztatottaknak adott előlegek</t>
  </si>
  <si>
    <t>152</t>
  </si>
  <si>
    <t>D/III/1f - ebből: túlfizetések, téves és visszajáró kifizetések</t>
  </si>
  <si>
    <t>153</t>
  </si>
  <si>
    <t>D/III/2 Továbbadási célból folyósított támogatások, ellátások elszámolása</t>
  </si>
  <si>
    <t>154</t>
  </si>
  <si>
    <t>D/III/3 Más által beszedett bevételek elszámolása</t>
  </si>
  <si>
    <t>155</t>
  </si>
  <si>
    <t>D/III/4 Forgótőke elszámolása</t>
  </si>
  <si>
    <t>156</t>
  </si>
  <si>
    <t>D/III/5 Vagyonkezelésbe adott eszközökkel kapcsolatos visszapótlási követelés elszámolása</t>
  </si>
  <si>
    <t>157</t>
  </si>
  <si>
    <t>D/III/6 Nem társadalombiztosítás pénzügyi alapjait terhelő kifizetett ellátások megtérítésének elszámolása</t>
  </si>
  <si>
    <t>158</t>
  </si>
  <si>
    <t>D/III/7 Folyósított, megelőlegezett társadalombiztosítási és családtámogatási ellátások elszámolása</t>
  </si>
  <si>
    <t>159</t>
  </si>
  <si>
    <t>D/III/8 Részesedésszerzés esetén átadott eszközök</t>
  </si>
  <si>
    <t>160</t>
  </si>
  <si>
    <t>D/III/9 Letétre, megőrzésre, fedezetkezelésre átadott pénzeszközök, biztosítékok</t>
  </si>
  <si>
    <t>161</t>
  </si>
  <si>
    <t>D/III Követelés jellegű sajátos elszámolások (=D/III/1+…+D/III/9)</t>
  </si>
  <si>
    <t>162</t>
  </si>
  <si>
    <t>D) KÖVETELÉSEK  (=D/I+D/II+D/III)</t>
  </si>
  <si>
    <t>163</t>
  </si>
  <si>
    <t>E/I/1 Adott előleghez kapcsolódó előzetesen felszámított levonható általános forgalmi adó</t>
  </si>
  <si>
    <t>164</t>
  </si>
  <si>
    <t>E/I/2 Más előzetesen felszámított levonható általános forgalmi adó</t>
  </si>
  <si>
    <t>165</t>
  </si>
  <si>
    <t>E/I/3 Adott előleghez kapcsolódó előzetesen felszámított nem levonható általános forgalmi adó</t>
  </si>
  <si>
    <t>166</t>
  </si>
  <si>
    <t>E/I/4 Más előzetesen felszámított nem levonható általános forgalmi adó</t>
  </si>
  <si>
    <t>167</t>
  </si>
  <si>
    <t>E/I Előzetesen felszámított általános forgalmi adó elszámolása (=E/I/1+…+E/I/4)</t>
  </si>
  <si>
    <t>168</t>
  </si>
  <si>
    <t>E/II/1 Kapott előleghez kapcsolódó fizetendő általános forgalmi adó</t>
  </si>
  <si>
    <t>169</t>
  </si>
  <si>
    <t>E/II/2 Más fizetendő általános forgalmi adó</t>
  </si>
  <si>
    <t>170</t>
  </si>
  <si>
    <t>E/II Fizetendő általános forgalmi adó elszámolása (=E/II/1+E/II/2)</t>
  </si>
  <si>
    <t>171</t>
  </si>
  <si>
    <t>E/III/1 December havi illetmények, munkabérek elszámolása</t>
  </si>
  <si>
    <t>172</t>
  </si>
  <si>
    <t>E/III/2 Utalványok, bérletek és más hasonló, készpénz-helyettesítő fizetési eszköznek nem minősülő eszközök elszámolásai</t>
  </si>
  <si>
    <t>173</t>
  </si>
  <si>
    <t>E/III Egyéb sajátos eszközoldali elszámolások (=E/III/1+E/III/2)</t>
  </si>
  <si>
    <t>174</t>
  </si>
  <si>
    <t>E) EGYÉB SAJÁTOS ELSZÁMOLÁSOK (=E/I+E/II+E/III)</t>
  </si>
  <si>
    <t>175</t>
  </si>
  <si>
    <t>F/1  Eredményszemléletű bevételek aktív időbeli elhatárolása</t>
  </si>
  <si>
    <t>176</t>
  </si>
  <si>
    <t>F/2 Költségek, ráfordítások aktív időbeli elhatárolása</t>
  </si>
  <si>
    <t>177</t>
  </si>
  <si>
    <t>F/3 Halasztott ráfordítások</t>
  </si>
  <si>
    <t>178</t>
  </si>
  <si>
    <t>F) AKTÍV IDŐBELI  ELHATÁROLÁSOK  (=F/1+F/2+F/3)</t>
  </si>
  <si>
    <t>ESZKÖZÖK ÖSSZESEN (=A+B+C+D+E+F)</t>
  </si>
  <si>
    <t>B/II/2 Forgatási célú hitelviszonyt megtestesítő értékpapírok (&gt;=B/II/2a+…+B/II/2d)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</si>
  <si>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</si>
  <si>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</si>
  <si>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</si>
  <si>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</si>
  <si>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</si>
  <si>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</si>
  <si>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</si>
  <si>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</si>
  <si>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</si>
  <si>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</si>
  <si>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</si>
  <si>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</si>
  <si>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</si>
  <si>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</si>
  <si>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</si>
  <si>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</si>
  <si>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</si>
  <si>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</si>
  <si>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</si>
  <si>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</si>
  <si>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</si>
  <si>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</si>
  <si>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</si>
  <si>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</si>
  <si>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</si>
  <si>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</si>
  <si>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</si>
  <si>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</si>
  <si>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</si>
  <si>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</si>
  <si>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</si>
  <si>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</si>
  <si>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</si>
  <si>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</si>
  <si>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</si>
  <si>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</si>
  <si>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</si>
  <si>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</si>
  <si>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</si>
  <si>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</si>
  <si>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</si>
  <si>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</si>
  <si>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</si>
  <si>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</si>
  <si>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</si>
  <si>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</si>
  <si>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</si>
  <si>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</si>
  <si>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</si>
  <si>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</si>
  <si>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</si>
  <si>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</si>
  <si>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</si>
  <si>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</si>
  <si>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</si>
  <si>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</si>
  <si>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</si>
  <si>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</si>
  <si>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</si>
  <si>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</si>
  <si>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</si>
  <si>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</si>
  <si>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</si>
  <si>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Letétre, megőrzésre, fedezetkezelésre átvett pénzeszközök, biztosítékok</t>
  </si>
  <si>
    <t>H/III/8 Nemzetközi támogatási programok pénzeszközei</t>
  </si>
  <si>
    <t>H/III/9 Államadósság Kezelő Központ Zrt.-nél elhelyezett fedezeti betétek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</si>
  <si>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</si>
  <si>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</si>
  <si>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</si>
  <si>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</si>
  <si>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</si>
  <si>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</si>
  <si>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</si>
  <si>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ESZKÖZÖK </t>
  </si>
  <si>
    <t>Immateriális javak</t>
  </si>
  <si>
    <t>Ingatlanok és kapcsolódó vagyoni értékű jogok</t>
  </si>
  <si>
    <t>Gépek, berendezések, felszerelések, járművek</t>
  </si>
  <si>
    <t>„0”-ra leírt eszközök összesen</t>
  </si>
  <si>
    <t>Balatonaligai-Vízhasznosítási Szolgáltató Korlátolt Felelősségű Társaság</t>
  </si>
  <si>
    <t>L</t>
  </si>
  <si>
    <t>M</t>
  </si>
  <si>
    <t>N</t>
  </si>
  <si>
    <t>O</t>
  </si>
  <si>
    <t>P</t>
  </si>
  <si>
    <t>Q</t>
  </si>
  <si>
    <t>R</t>
  </si>
  <si>
    <t>2021.</t>
  </si>
  <si>
    <t>S</t>
  </si>
  <si>
    <t>T=(N+O+P+Q+R+S)</t>
  </si>
  <si>
    <t>U=(T/C)</t>
  </si>
  <si>
    <t>4.7</t>
  </si>
  <si>
    <t>4.8</t>
  </si>
  <si>
    <t>Vagyonkimutatás</t>
  </si>
  <si>
    <t>a könyvviteli mérlegben értékkel szereplő eszközökről</t>
  </si>
  <si>
    <t>2022. évi Zárszámadás Kötelező feladatok pénzügyi mérlege</t>
  </si>
  <si>
    <t>2022. évi Zárszámadás Önként vállalt feladatok pénzügyi mérlege</t>
  </si>
  <si>
    <t>2022. évi Zárszámadás Államigazgatási feladatok pénzügyi mérlege</t>
  </si>
  <si>
    <t>2022. évi általános működési és ágazati feladatok támogatásának alakulása jogcímenként</t>
  </si>
  <si>
    <t>Költségvetési szervek maradványának alakulása</t>
  </si>
  <si>
    <t>Balatonvilágos Község Önkormányzata 2022. évi zárszámadásának pénzügyi mérlege</t>
  </si>
  <si>
    <t>Kimutatás a 2022. évi céljelleggel juttatott támogatások felhasználásáról</t>
  </si>
  <si>
    <t>Vagyonkimutatás a könyvviteli mérlegben értékkel szereplő eszközökről</t>
  </si>
  <si>
    <t>Vagyonkimutatás a könyvviteli mérlegben értékkel szereplő forrásokról</t>
  </si>
  <si>
    <t>Vagyonkimutatás az érték nélkül nyilvántartott eszközökről</t>
  </si>
  <si>
    <t>Balatonvilágos íközség Önkormányzata tulajdonában álló gazdálkodó szervezetek működéséből származó kötelezettségek és részesedések alakulása 2022-ben</t>
  </si>
  <si>
    <t>TOP-2.1.3-16-SO1-2017-00001 Csapadékvíz-elvezető hálózat fejlesztése Balatonvilágoson</t>
  </si>
  <si>
    <t>KIADÁSOK ÖSSZESEN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</si>
</sst>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_-* #,##0\ _F_t_-;\-* #,##0\ _F_t_-;_-* \-??\ _F_t_-;_-@_-"/>
    <numFmt numFmtId="179" formatCode="[$¥€-2]\ #\ ##,000_);[Red]\([$€-2]\ #\ ##,000\)"/>
  </numFmts>
  <fonts count="10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FF0000"/>
      <name val="Times New Roman CE"/>
      <family val="0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8" borderId="7" applyNumberFormat="0" applyFont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7" xfId="0" applyNumberFormat="1" applyFont="1" applyFill="1" applyBorder="1" applyAlignment="1" applyProtection="1">
      <alignment vertical="center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3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Fill="1" applyBorder="1" applyAlignment="1" quotePrefix="1">
      <alignment horizontal="left" vertical="center" indent="1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7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8" xfId="0" applyNumberFormat="1" applyFont="1" applyFill="1" applyBorder="1" applyAlignment="1" applyProtection="1">
      <alignment horizontal="right" vertical="center"/>
      <protection locked="0"/>
    </xf>
    <xf numFmtId="3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9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1" xfId="0" applyNumberFormat="1" applyFont="1" applyFill="1" applyBorder="1" applyAlignment="1">
      <alignment horizontal="right"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2" xfId="0" applyNumberFormat="1" applyFont="1" applyFill="1" applyBorder="1" applyAlignment="1" applyProtection="1">
      <alignment horizontal="right" vertical="center"/>
      <protection locked="0"/>
    </xf>
    <xf numFmtId="3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8" xfId="0" applyNumberFormat="1" applyFont="1" applyFill="1" applyBorder="1" applyAlignment="1" applyProtection="1">
      <alignment horizontal="right" vertical="center"/>
      <protection locked="0"/>
    </xf>
    <xf numFmtId="3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43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9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20" fillId="0" borderId="31" xfId="60" applyNumberFormat="1" applyFont="1" applyFill="1" applyBorder="1" applyAlignment="1" applyProtection="1">
      <alignment/>
      <protection/>
    </xf>
    <xf numFmtId="0" fontId="12" fillId="0" borderId="34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4" fontId="6" fillId="0" borderId="71" xfId="0" applyNumberFormat="1" applyFont="1" applyFill="1" applyBorder="1" applyAlignment="1" applyProtection="1">
      <alignment horizontal="centerContinuous" vertical="center"/>
      <protection/>
    </xf>
    <xf numFmtId="164" fontId="6" fillId="0" borderId="72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73" xfId="0" applyNumberFormat="1" applyFont="1" applyFill="1" applyBorder="1" applyAlignment="1" applyProtection="1">
      <alignment horizontal="center" vertic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Fill="1" applyBorder="1" applyAlignment="1" applyProtection="1">
      <alignment vertical="center" wrapText="1"/>
      <protection/>
    </xf>
    <xf numFmtId="164" fontId="12" fillId="0" borderId="59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3" fillId="0" borderId="74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13" fillId="0" borderId="75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69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7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3" fontId="25" fillId="0" borderId="0" xfId="63" applyNumberFormat="1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7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6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28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176" fontId="12" fillId="0" borderId="27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37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166" fontId="40" fillId="0" borderId="76" xfId="48" applyNumberFormat="1" applyFont="1" applyBorder="1" applyAlignment="1" applyProtection="1">
      <alignment horizontal="center" vertical="top" wrapText="1"/>
      <protection locked="0"/>
    </xf>
    <xf numFmtId="0" fontId="38" fillId="34" borderId="23" xfId="0" applyFont="1" applyFill="1" applyBorder="1" applyAlignment="1" applyProtection="1">
      <alignment horizontal="center" vertical="top" wrapText="1"/>
      <protection/>
    </xf>
    <xf numFmtId="166" fontId="40" fillId="0" borderId="23" xfId="48" applyNumberFormat="1" applyFont="1" applyBorder="1" applyAlignment="1" applyProtection="1">
      <alignment horizontal="center" vertical="center" wrapText="1"/>
      <protection/>
    </xf>
    <xf numFmtId="166" fontId="40" fillId="0" borderId="27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2" fillId="0" borderId="29" xfId="0" applyFont="1" applyFill="1" applyBorder="1" applyAlignment="1">
      <alignment horizontal="left" vertical="center" indent="5"/>
    </xf>
    <xf numFmtId="164" fontId="20" fillId="0" borderId="31" xfId="6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7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/>
      <protection locked="0"/>
    </xf>
    <xf numFmtId="164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35" fillId="0" borderId="0" xfId="63" applyFont="1" applyFill="1" applyProtection="1">
      <alignment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69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77" fontId="0" fillId="0" borderId="26" xfId="0" applyNumberFormat="1" applyFont="1" applyFill="1" applyBorder="1" applyAlignment="1" applyProtection="1">
      <alignment horizontal="right" vertical="center"/>
      <protection locked="0"/>
    </xf>
    <xf numFmtId="177" fontId="0" fillId="0" borderId="28" xfId="0" applyNumberFormat="1" applyFont="1" applyFill="1" applyBorder="1" applyAlignment="1" applyProtection="1">
      <alignment horizontal="right" vertical="center"/>
      <protection locked="0"/>
    </xf>
    <xf numFmtId="177" fontId="0" fillId="0" borderId="69" xfId="0" applyNumberFormat="1" applyFont="1" applyFill="1" applyBorder="1" applyAlignment="1" applyProtection="1">
      <alignment horizontal="right" vertical="center"/>
      <protection locked="0"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0" fontId="96" fillId="0" borderId="0" xfId="0" applyFont="1" applyAlignment="1">
      <alignment/>
    </xf>
    <xf numFmtId="0" fontId="96" fillId="0" borderId="0" xfId="0" applyFont="1" applyAlignment="1">
      <alignment horizontal="justify" vertical="top" wrapText="1"/>
    </xf>
    <xf numFmtId="0" fontId="97" fillId="35" borderId="0" xfId="0" applyFont="1" applyFill="1" applyAlignment="1">
      <alignment horizontal="center" vertical="center"/>
    </xf>
    <xf numFmtId="0" fontId="97" fillId="35" borderId="0" xfId="0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164" fontId="98" fillId="0" borderId="0" xfId="0" applyNumberFormat="1" applyFont="1" applyFill="1" applyAlignment="1" applyProtection="1">
      <alignment horizontal="right" vertical="center" wrapText="1" indent="1"/>
      <protection/>
    </xf>
    <xf numFmtId="164" fontId="99" fillId="0" borderId="0" xfId="60" applyNumberFormat="1" applyFont="1" applyFill="1" applyProtection="1">
      <alignment/>
      <protection/>
    </xf>
    <xf numFmtId="164" fontId="99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64" fontId="16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6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6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>
      <alignment horizontal="left"/>
    </xf>
    <xf numFmtId="0" fontId="7" fillId="0" borderId="64" xfId="0" applyFont="1" applyFill="1" applyBorder="1" applyAlignment="1">
      <alignment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76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3" fillId="0" borderId="66" xfId="0" applyNumberFormat="1" applyFont="1" applyFill="1" applyBorder="1" applyAlignment="1">
      <alignment horizontal="left" vertical="center" wrapText="1" indent="2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3" fillId="0" borderId="66" xfId="0" applyNumberFormat="1" applyFont="1" applyFill="1" applyBorder="1" applyAlignment="1">
      <alignment horizontal="center" vertical="center" wrapText="1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3" fontId="25" fillId="0" borderId="0" xfId="63" applyNumberFormat="1" applyFont="1" applyFill="1" applyAlignment="1">
      <alignment horizontal="center"/>
      <protection/>
    </xf>
    <xf numFmtId="0" fontId="13" fillId="0" borderId="83" xfId="0" applyFont="1" applyFill="1" applyBorder="1" applyAlignment="1" applyProtection="1">
      <alignment horizontal="left" vertical="center" wrapText="1"/>
      <protection locked="0"/>
    </xf>
    <xf numFmtId="0" fontId="16" fillId="0" borderId="84" xfId="0" applyFont="1" applyFill="1" applyBorder="1" applyAlignment="1" applyProtection="1">
      <alignment horizontal="left" vertical="center" wrapText="1"/>
      <protection locked="0"/>
    </xf>
    <xf numFmtId="0" fontId="16" fillId="0" borderId="85" xfId="0" applyFont="1" applyFill="1" applyBorder="1" applyAlignment="1" applyProtection="1">
      <alignment horizontal="left" vertical="center" wrapText="1"/>
      <protection locked="0"/>
    </xf>
    <xf numFmtId="0" fontId="16" fillId="0" borderId="86" xfId="0" applyFont="1" applyFill="1" applyBorder="1" applyAlignment="1" applyProtection="1">
      <alignment horizontal="left" vertical="center" wrapText="1"/>
      <protection locked="0"/>
    </xf>
    <xf numFmtId="3" fontId="16" fillId="0" borderId="83" xfId="61" applyNumberFormat="1" applyFont="1" applyFill="1" applyBorder="1">
      <alignment/>
      <protection/>
    </xf>
    <xf numFmtId="3" fontId="16" fillId="0" borderId="87" xfId="61" applyNumberFormat="1" applyFont="1" applyFill="1" applyBorder="1">
      <alignment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164" fontId="16" fillId="0" borderId="8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9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49" fontId="13" fillId="0" borderId="18" xfId="60" applyNumberFormat="1" applyFont="1" applyFill="1" applyBorder="1" applyAlignment="1" applyProtection="1">
      <alignment horizontal="left" vertical="center" wrapText="1"/>
      <protection/>
    </xf>
    <xf numFmtId="49" fontId="13" fillId="0" borderId="17" xfId="60" applyNumberFormat="1" applyFont="1" applyFill="1" applyBorder="1" applyAlignment="1" applyProtection="1">
      <alignment horizontal="left" vertical="center" wrapText="1"/>
      <protection/>
    </xf>
    <xf numFmtId="49" fontId="13" fillId="0" borderId="11" xfId="60" applyNumberFormat="1" applyFont="1" applyFill="1" applyBorder="1" applyAlignment="1" applyProtection="1">
      <alignment horizontal="left" vertical="center" wrapText="1"/>
      <protection/>
    </xf>
    <xf numFmtId="0" fontId="12" fillId="0" borderId="53" xfId="60" applyFont="1" applyFill="1" applyBorder="1" applyAlignment="1" applyProtection="1">
      <alignment horizontal="left" vertical="center" wrapText="1" indent="1"/>
      <protection/>
    </xf>
    <xf numFmtId="164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64" fontId="13" fillId="37" borderId="54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75" xfId="60" applyNumberFormat="1" applyFont="1" applyFill="1" applyBorder="1" applyAlignment="1" applyProtection="1">
      <alignment horizontal="left" vertical="center" wrapText="1"/>
      <protection/>
    </xf>
    <xf numFmtId="0" fontId="16" fillId="0" borderId="51" xfId="0" applyFont="1" applyBorder="1" applyAlignment="1" applyProtection="1">
      <alignment horizontal="left" inden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3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94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5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49" fillId="38" borderId="96" xfId="0" applyNumberFormat="1" applyFont="1" applyFill="1" applyBorder="1" applyAlignment="1" applyProtection="1">
      <alignment/>
      <protection locked="0"/>
    </xf>
    <xf numFmtId="3" fontId="49" fillId="38" borderId="97" xfId="0" applyNumberFormat="1" applyFont="1" applyFill="1" applyBorder="1" applyAlignment="1" applyProtection="1">
      <alignment/>
      <protection locked="0"/>
    </xf>
    <xf numFmtId="3" fontId="49" fillId="38" borderId="11" xfId="0" applyNumberFormat="1" applyFont="1" applyFill="1" applyBorder="1" applyAlignment="1" applyProtection="1">
      <alignment/>
      <protection locked="0"/>
    </xf>
    <xf numFmtId="3" fontId="49" fillId="38" borderId="11" xfId="0" applyNumberFormat="1" applyFont="1" applyFill="1" applyBorder="1" applyAlignment="1" applyProtection="1">
      <alignment wrapText="1"/>
      <protection locked="0"/>
    </xf>
    <xf numFmtId="3" fontId="49" fillId="38" borderId="98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4" fontId="12" fillId="0" borderId="3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0" fontId="50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 horizontal="right" vertical="top" wrapText="1"/>
    </xf>
    <xf numFmtId="0" fontId="51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3" fontId="51" fillId="0" borderId="0" xfId="0" applyNumberFormat="1" applyFont="1" applyFill="1" applyAlignment="1">
      <alignment horizontal="right" vertical="top" wrapText="1"/>
    </xf>
    <xf numFmtId="49" fontId="0" fillId="0" borderId="65" xfId="62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left" vertical="top" wrapText="1"/>
    </xf>
    <xf numFmtId="3" fontId="50" fillId="0" borderId="11" xfId="0" applyNumberFormat="1" applyFont="1" applyFill="1" applyBorder="1" applyAlignment="1">
      <alignment horizontal="right" vertical="top" wrapText="1"/>
    </xf>
    <xf numFmtId="0" fontId="51" fillId="0" borderId="11" xfId="0" applyFont="1" applyFill="1" applyBorder="1" applyAlignment="1">
      <alignment horizontal="left" vertical="top" wrapText="1"/>
    </xf>
    <xf numFmtId="3" fontId="51" fillId="0" borderId="11" xfId="0" applyNumberFormat="1" applyFont="1" applyFill="1" applyBorder="1" applyAlignment="1">
      <alignment horizontal="right" vertical="top" wrapText="1"/>
    </xf>
    <xf numFmtId="0" fontId="16" fillId="0" borderId="10" xfId="63" applyFont="1" applyFill="1" applyBorder="1" applyAlignment="1">
      <alignment horizontal="right" indent="1"/>
      <protection/>
    </xf>
    <xf numFmtId="0" fontId="16" fillId="0" borderId="43" xfId="63" applyFont="1" applyFill="1" applyBorder="1" applyAlignment="1">
      <alignment horizontal="right" indent="1"/>
      <protection/>
    </xf>
    <xf numFmtId="0" fontId="17" fillId="0" borderId="17" xfId="63" applyFont="1" applyFill="1" applyBorder="1" applyProtection="1">
      <alignment/>
      <protection locked="0"/>
    </xf>
    <xf numFmtId="0" fontId="17" fillId="0" borderId="25" xfId="63" applyFont="1" applyFill="1" applyBorder="1" applyAlignment="1">
      <alignment horizontal="right" indent="1"/>
      <protection/>
    </xf>
    <xf numFmtId="3" fontId="15" fillId="0" borderId="76" xfId="63" applyNumberFormat="1" applyFont="1" applyFill="1" applyBorder="1" applyProtection="1">
      <alignment/>
      <protection locked="0"/>
    </xf>
    <xf numFmtId="0" fontId="40" fillId="0" borderId="99" xfId="0" applyFont="1" applyBorder="1" applyAlignment="1" applyProtection="1">
      <alignment horizontal="left" vertical="top" wrapText="1"/>
      <protection locked="0"/>
    </xf>
    <xf numFmtId="9" fontId="40" fillId="0" borderId="99" xfId="71" applyFont="1" applyFill="1" applyBorder="1" applyAlignment="1" applyProtection="1">
      <alignment horizontal="center" vertical="center" wrapText="1"/>
      <protection locked="0"/>
    </xf>
    <xf numFmtId="178" fontId="40" fillId="0" borderId="99" xfId="48" applyNumberFormat="1" applyFont="1" applyFill="1" applyBorder="1" applyAlignment="1" applyProtection="1">
      <alignment horizontal="center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/>
      <protection/>
    </xf>
    <xf numFmtId="4" fontId="32" fillId="0" borderId="48" xfId="0" applyNumberFormat="1" applyFont="1" applyFill="1" applyBorder="1" applyAlignment="1">
      <alignment horizontal="right" vertical="center" wrapText="1"/>
    </xf>
    <xf numFmtId="3" fontId="3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35" xfId="0" applyNumberFormat="1" applyFont="1" applyFill="1" applyBorder="1" applyAlignment="1">
      <alignment horizontal="right" vertical="center" wrapText="1"/>
    </xf>
    <xf numFmtId="3" fontId="31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49" xfId="0" applyNumberFormat="1" applyFont="1" applyFill="1" applyBorder="1" applyAlignment="1">
      <alignment horizontal="right" vertical="center" wrapText="1"/>
    </xf>
    <xf numFmtId="164" fontId="32" fillId="0" borderId="57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164" fontId="13" fillId="0" borderId="100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0" applyFont="1" applyFill="1" applyBorder="1" applyAlignment="1" applyProtection="1">
      <alignment horizontal="right" vertical="center" indent="1"/>
      <protection/>
    </xf>
    <xf numFmtId="0" fontId="2" fillId="0" borderId="11" xfId="60" applyFill="1" applyBorder="1" applyProtection="1">
      <alignment/>
      <protection/>
    </xf>
    <xf numFmtId="0" fontId="2" fillId="0" borderId="26" xfId="60" applyFill="1" applyBorder="1" applyProtection="1">
      <alignment/>
      <protection/>
    </xf>
    <xf numFmtId="0" fontId="2" fillId="0" borderId="11" xfId="60" applyFont="1" applyFill="1" applyBorder="1" applyAlignment="1" applyProtection="1">
      <alignment horizontal="right" vertical="center" indent="1"/>
      <protection/>
    </xf>
    <xf numFmtId="0" fontId="0" fillId="0" borderId="11" xfId="60" applyFont="1" applyFill="1" applyBorder="1" applyProtection="1">
      <alignment/>
      <protection/>
    </xf>
    <xf numFmtId="0" fontId="0" fillId="0" borderId="26" xfId="60" applyFont="1" applyFill="1" applyBorder="1" applyProtection="1">
      <alignment/>
      <protection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1" xfId="62" applyFill="1" applyBorder="1" applyAlignment="1" applyProtection="1">
      <alignment horizontal="left" vertical="center"/>
      <protection/>
    </xf>
    <xf numFmtId="0" fontId="3" fillId="0" borderId="41" xfId="62" applyFont="1" applyFill="1" applyBorder="1" applyAlignment="1" applyProtection="1">
      <alignment horizontal="left" vertical="center"/>
      <protection/>
    </xf>
    <xf numFmtId="0" fontId="3" fillId="0" borderId="65" xfId="62" applyFont="1" applyFill="1" applyBorder="1" applyAlignment="1" applyProtection="1">
      <alignment horizontal="left" vertical="center"/>
      <protection/>
    </xf>
    <xf numFmtId="0" fontId="50" fillId="0" borderId="17" xfId="0" applyFont="1" applyFill="1" applyBorder="1" applyAlignment="1">
      <alignment horizontal="left" vertical="top" wrapText="1"/>
    </xf>
    <xf numFmtId="3" fontId="50" fillId="0" borderId="26" xfId="0" applyNumberFormat="1" applyFont="1" applyFill="1" applyBorder="1" applyAlignment="1">
      <alignment horizontal="right" vertical="top" wrapText="1"/>
    </xf>
    <xf numFmtId="0" fontId="51" fillId="0" borderId="17" xfId="0" applyFont="1" applyFill="1" applyBorder="1" applyAlignment="1">
      <alignment horizontal="left" vertical="top" wrapText="1"/>
    </xf>
    <xf numFmtId="3" fontId="51" fillId="0" borderId="26" xfId="0" applyNumberFormat="1" applyFont="1" applyFill="1" applyBorder="1" applyAlignment="1">
      <alignment horizontal="right" vertical="top" wrapText="1"/>
    </xf>
    <xf numFmtId="0" fontId="51" fillId="0" borderId="21" xfId="0" applyFont="1" applyFill="1" applyBorder="1" applyAlignment="1">
      <alignment horizontal="left" vertical="top" wrapText="1"/>
    </xf>
    <xf numFmtId="3" fontId="51" fillId="0" borderId="29" xfId="0" applyNumberFormat="1" applyFont="1" applyFill="1" applyBorder="1" applyAlignment="1">
      <alignment horizontal="right" vertical="top" wrapText="1"/>
    </xf>
    <xf numFmtId="3" fontId="51" fillId="0" borderId="69" xfId="0" applyNumberFormat="1" applyFont="1" applyFill="1" applyBorder="1" applyAlignment="1">
      <alignment horizontal="right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left" vertical="top" wrapText="1"/>
    </xf>
    <xf numFmtId="0" fontId="26" fillId="0" borderId="16" xfId="63" applyFont="1" applyFill="1" applyBorder="1" applyAlignment="1" applyProtection="1">
      <alignment horizontal="center" vertical="center" wrapText="1"/>
      <protection locked="0"/>
    </xf>
    <xf numFmtId="0" fontId="26" fillId="0" borderId="10" xfId="63" applyFont="1" applyFill="1" applyBorder="1" applyAlignment="1" applyProtection="1">
      <alignment horizontal="center" vertical="center" wrapText="1"/>
      <protection locked="0"/>
    </xf>
    <xf numFmtId="0" fontId="26" fillId="0" borderId="101" xfId="63" applyFont="1" applyFill="1" applyBorder="1" applyAlignment="1" applyProtection="1">
      <alignment horizontal="center" vertical="center" wrapText="1"/>
      <protection locked="0"/>
    </xf>
    <xf numFmtId="0" fontId="36" fillId="0" borderId="29" xfId="63" applyFont="1" applyFill="1" applyBorder="1" applyAlignment="1" applyProtection="1">
      <alignment wrapText="1"/>
      <protection locked="0"/>
    </xf>
    <xf numFmtId="0" fontId="36" fillId="0" borderId="69" xfId="63" applyFont="1" applyFill="1" applyBorder="1" applyAlignment="1" applyProtection="1">
      <alignment wrapText="1"/>
      <protection locked="0"/>
    </xf>
    <xf numFmtId="0" fontId="0" fillId="0" borderId="40" xfId="62" applyFill="1" applyBorder="1" applyAlignment="1" applyProtection="1">
      <alignment horizontal="left" vertical="center"/>
      <protection/>
    </xf>
    <xf numFmtId="0" fontId="50" fillId="0" borderId="18" xfId="0" applyFont="1" applyFill="1" applyBorder="1" applyAlignment="1">
      <alignment horizontal="left" vertical="top" wrapText="1"/>
    </xf>
    <xf numFmtId="3" fontId="50" fillId="0" borderId="12" xfId="0" applyNumberFormat="1" applyFont="1" applyFill="1" applyBorder="1" applyAlignment="1">
      <alignment horizontal="right" vertical="top" wrapText="1"/>
    </xf>
    <xf numFmtId="3" fontId="50" fillId="0" borderId="7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" fontId="0" fillId="0" borderId="0" xfId="0" applyNumberFormat="1" applyFill="1" applyAlignment="1" applyProtection="1">
      <alignment vertical="center" wrapText="1"/>
      <protection/>
    </xf>
    <xf numFmtId="0" fontId="5" fillId="0" borderId="0" xfId="0" applyFont="1" applyAlignment="1">
      <alignment horizontal="center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0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00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4" fontId="0" fillId="0" borderId="102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3" fillId="0" borderId="63" xfId="0" applyNumberFormat="1" applyFont="1" applyFill="1" applyBorder="1" applyAlignment="1">
      <alignment horizontal="left" vertical="center" wrapText="1" indent="2"/>
    </xf>
    <xf numFmtId="164" fontId="3" fillId="0" borderId="66" xfId="0" applyNumberFormat="1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horizontal="center" textRotation="18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>
      <alignment horizontal="center" vertical="center"/>
    </xf>
    <xf numFmtId="173" fontId="26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1" xfId="0" applyNumberFormat="1" applyFont="1" applyFill="1" applyBorder="1" applyAlignment="1">
      <alignment horizontal="right" vertical="center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3" fillId="0" borderId="63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164" fontId="6" fillId="0" borderId="71" xfId="60" applyNumberFormat="1" applyFont="1" applyFill="1" applyBorder="1" applyAlignment="1" applyProtection="1">
      <alignment horizontal="center" vertical="center"/>
      <protection locked="0"/>
    </xf>
    <xf numFmtId="164" fontId="6" fillId="0" borderId="72" xfId="60" applyNumberFormat="1" applyFont="1" applyFill="1" applyBorder="1" applyAlignment="1" applyProtection="1">
      <alignment horizontal="center" vertical="center"/>
      <protection locked="0"/>
    </xf>
    <xf numFmtId="164" fontId="6" fillId="0" borderId="48" xfId="60" applyNumberFormat="1" applyFont="1" applyFill="1" applyBorder="1" applyAlignment="1" applyProtection="1">
      <alignment horizontal="center" vertical="center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4" fontId="6" fillId="0" borderId="103" xfId="60" applyNumberFormat="1" applyFont="1" applyFill="1" applyBorder="1" applyAlignment="1" applyProtection="1">
      <alignment horizontal="center" vertical="center"/>
      <protection/>
    </xf>
    <xf numFmtId="164" fontId="6" fillId="0" borderId="64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/>
      <protection locked="0"/>
    </xf>
    <xf numFmtId="164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78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6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13" fillId="0" borderId="64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3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/>
      <protection locked="0"/>
    </xf>
    <xf numFmtId="0" fontId="36" fillId="0" borderId="0" xfId="63" applyFont="1" applyFill="1" applyBorder="1" applyAlignment="1" applyProtection="1">
      <alignment horizontal="right"/>
      <protection locked="0"/>
    </xf>
    <xf numFmtId="0" fontId="36" fillId="0" borderId="103" xfId="63" applyFont="1" applyFill="1" applyBorder="1" applyAlignment="1" applyProtection="1">
      <alignment horizontal="center" vertical="center" wrapText="1"/>
      <protection locked="0"/>
    </xf>
    <xf numFmtId="0" fontId="36" fillId="0" borderId="47" xfId="63" applyFont="1" applyFill="1" applyBorder="1" applyAlignment="1" applyProtection="1">
      <alignment horizontal="center" vertical="center" wrapText="1"/>
      <protection locked="0"/>
    </xf>
    <xf numFmtId="0" fontId="36" fillId="0" borderId="80" xfId="63" applyFont="1" applyFill="1" applyBorder="1" applyAlignment="1" applyProtection="1">
      <alignment horizontal="center" vertical="center" wrapText="1"/>
      <protection locked="0"/>
    </xf>
    <xf numFmtId="0" fontId="36" fillId="0" borderId="36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/>
      <protection locked="0"/>
    </xf>
    <xf numFmtId="0" fontId="20" fillId="0" borderId="10" xfId="62" applyFont="1" applyFill="1" applyBorder="1" applyAlignment="1" applyProtection="1">
      <alignment horizontal="center" vertical="center"/>
      <protection locked="0"/>
    </xf>
    <xf numFmtId="0" fontId="20" fillId="0" borderId="32" xfId="62" applyFont="1" applyFill="1" applyBorder="1" applyAlignment="1" applyProtection="1">
      <alignment horizontal="center" vertical="center"/>
      <protection locked="0"/>
    </xf>
    <xf numFmtId="0" fontId="20" fillId="0" borderId="24" xfId="62" applyFont="1" applyFill="1" applyBorder="1" applyAlignment="1" applyProtection="1">
      <alignment horizontal="center" vertical="center" textRotation="90"/>
      <protection locked="0"/>
    </xf>
    <xf numFmtId="0" fontId="20" fillId="0" borderId="16" xfId="62" applyFont="1" applyFill="1" applyBorder="1" applyAlignment="1" applyProtection="1">
      <alignment horizontal="center" vertical="center" textRotation="90"/>
      <protection locked="0"/>
    </xf>
    <xf numFmtId="0" fontId="20" fillId="0" borderId="38" xfId="62" applyFont="1" applyFill="1" applyBorder="1" applyAlignment="1" applyProtection="1">
      <alignment horizontal="center" vertical="center" textRotation="90"/>
      <protection locked="0"/>
    </xf>
    <xf numFmtId="0" fontId="20" fillId="0" borderId="59" xfId="62" applyFont="1" applyFill="1" applyBorder="1" applyAlignment="1" applyProtection="1">
      <alignment horizontal="center" vertical="center" textRotation="90"/>
      <protection locked="0"/>
    </xf>
    <xf numFmtId="0" fontId="20" fillId="0" borderId="41" xfId="62" applyFont="1" applyFill="1" applyBorder="1" applyAlignment="1" applyProtection="1">
      <alignment horizontal="center" vertical="center" textRotation="90"/>
      <protection locked="0"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5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3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8" fillId="0" borderId="22" xfId="0" applyFont="1" applyBorder="1" applyAlignment="1" applyProtection="1">
      <alignment wrapText="1"/>
      <protection/>
    </xf>
    <xf numFmtId="0" fontId="38" fillId="0" borderId="23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0" fontId="101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%20K&#246;lts&#233;gvet&#233;s%20m&#243;dos&#237;t&#225;s%20IV\1_2%20RENDMOD%202022%20IV.%20m&#243;dos&#237;t&#225;s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%20Z&#225;rsz&#225;mad&#225;s\Henit&#337;l%20v&#233;gleges\M&#225;solat%20eredetije2022%20&#246;r%20mell&#233;kletek%202021.%20&#233;vi%20z&#225;rsz&#225;mad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ALAPADATOK"/>
      <sheetName val="RM_TARTALOMJEGYZÉK"/>
      <sheetName val="1.sz.mell."/>
      <sheetName val="2.sz.mell."/>
      <sheetName val="3.sz.mell."/>
      <sheetName val="4.sz.mell."/>
      <sheetName val="5.sz.mell."/>
      <sheetName val="6.sz.mell."/>
      <sheetName val="7.sz.mell."/>
      <sheetName val="8.sz.mell."/>
      <sheetName val="9.sz.mell"/>
      <sheetName val="10.sz.mell"/>
      <sheetName val="11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sz.mell"/>
      <sheetName val="20.sz.mell"/>
      <sheetName val="21.sz.mell"/>
      <sheetName val="RM_ELLENŐRZÉS"/>
      <sheetName val="RM_ÖSSZEFÜGGÉSEK"/>
    </sheetNames>
    <sheetDataSet>
      <sheetData sheetId="24">
        <row r="6">
          <cell r="A6" t="str">
            <v>2022.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1">
        <row r="7">
          <cell r="A7" t="str">
            <v>a</v>
          </cell>
          <cell r="C7" t="str">
            <v>/</v>
          </cell>
          <cell r="D7" t="str">
            <v>2022.</v>
          </cell>
          <cell r="E7" t="str">
            <v>(</v>
          </cell>
          <cell r="F7" t="str">
            <v>V…...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2021. évi eredeti előirányzat BEVÉTELEK</v>
          </cell>
        </row>
      </sheetData>
      <sheetData sheetId="11">
        <row r="4">
          <cell r="G4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zoomScalePageLayoutView="0" workbookViewId="0" topLeftCell="A1">
      <selection activeCell="B31" sqref="B31"/>
    </sheetView>
  </sheetViews>
  <sheetFormatPr defaultColWidth="9.00390625" defaultRowHeight="12.75"/>
  <cols>
    <col min="1" max="1" width="43.375" style="0" customWidth="1"/>
    <col min="2" max="2" width="79.75390625" style="0" customWidth="1"/>
    <col min="3" max="3" width="1.37890625" style="0" bestFit="1" customWidth="1"/>
    <col min="4" max="4" width="6.7539062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2022</v>
      </c>
      <c r="C1" t="s">
        <v>676</v>
      </c>
    </row>
    <row r="2" spans="1:6" ht="15">
      <c r="A2" s="834" t="s">
        <v>501</v>
      </c>
      <c r="B2" s="834"/>
      <c r="C2" s="834"/>
      <c r="D2" s="834"/>
      <c r="E2" s="834"/>
      <c r="F2" s="834"/>
    </row>
    <row r="3" spans="1:7" ht="15">
      <c r="A3" s="837" t="s">
        <v>689</v>
      </c>
      <c r="B3" s="837"/>
      <c r="C3" s="837"/>
      <c r="D3" s="837"/>
      <c r="E3" s="837"/>
      <c r="F3" s="837"/>
      <c r="G3" s="837"/>
    </row>
    <row r="6" ht="13.5">
      <c r="A6" s="369" t="s">
        <v>690</v>
      </c>
    </row>
    <row r="7" spans="1:8" ht="12.75">
      <c r="A7" s="645" t="s">
        <v>656</v>
      </c>
      <c r="B7" s="672"/>
      <c r="C7" t="s">
        <v>657</v>
      </c>
      <c r="D7" t="s">
        <v>687</v>
      </c>
      <c r="E7" t="s">
        <v>658</v>
      </c>
      <c r="F7" s="672" t="s">
        <v>691</v>
      </c>
      <c r="G7" t="s">
        <v>659</v>
      </c>
      <c r="H7" t="s">
        <v>660</v>
      </c>
    </row>
    <row r="8" spans="1:6" ht="12.75">
      <c r="A8" s="645"/>
      <c r="B8" s="422"/>
      <c r="F8" s="422"/>
    </row>
    <row r="9" spans="1:6" ht="12.75">
      <c r="A9" s="645"/>
      <c r="B9" s="422"/>
      <c r="F9" s="422"/>
    </row>
    <row r="11" spans="1:7" ht="15">
      <c r="A11" s="835"/>
      <c r="B11" s="836"/>
      <c r="C11" s="836"/>
      <c r="D11" s="836"/>
      <c r="E11" s="836"/>
      <c r="F11" s="836"/>
      <c r="G11" s="836"/>
    </row>
    <row r="13" spans="1:7" ht="13.5">
      <c r="A13" s="370" t="s">
        <v>502</v>
      </c>
      <c r="B13" s="838" t="s">
        <v>692</v>
      </c>
      <c r="C13" s="839"/>
      <c r="D13" s="839"/>
      <c r="E13" s="839"/>
      <c r="F13" s="839"/>
      <c r="G13" s="839"/>
    </row>
    <row r="14" spans="2:7" ht="13.5">
      <c r="B14" s="673"/>
      <c r="C14" s="631"/>
      <c r="D14" s="631"/>
      <c r="E14" s="631"/>
      <c r="F14" s="631"/>
      <c r="G14" s="631"/>
    </row>
    <row r="15" spans="1:7" ht="13.5">
      <c r="A15" s="370" t="s">
        <v>503</v>
      </c>
      <c r="B15" s="838" t="s">
        <v>693</v>
      </c>
      <c r="C15" s="839"/>
      <c r="D15" s="839"/>
      <c r="E15" s="839"/>
      <c r="F15" s="839"/>
      <c r="G15" s="839"/>
    </row>
    <row r="16" spans="2:7" ht="13.5">
      <c r="B16" s="673"/>
      <c r="C16" s="631"/>
      <c r="D16" s="631"/>
      <c r="E16" s="631"/>
      <c r="F16" s="631"/>
      <c r="G16" s="631"/>
    </row>
  </sheetData>
  <sheetProtection/>
  <mergeCells count="5">
    <mergeCell ref="A2:F2"/>
    <mergeCell ref="A11:G11"/>
    <mergeCell ref="A3:G3"/>
    <mergeCell ref="B13:G13"/>
    <mergeCell ref="B15:G15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43"/>
  <sheetViews>
    <sheetView zoomScale="120" zoomScaleNormal="120" workbookViewId="0" topLeftCell="A16">
      <selection activeCell="J11" sqref="J11"/>
    </sheetView>
  </sheetViews>
  <sheetFormatPr defaultColWidth="9.375" defaultRowHeight="12.75"/>
  <cols>
    <col min="1" max="1" width="47.125" style="28" customWidth="1"/>
    <col min="2" max="2" width="15.625" style="27" customWidth="1"/>
    <col min="3" max="3" width="16.375" style="27" customWidth="1"/>
    <col min="4" max="6" width="18.00390625" style="27" customWidth="1"/>
    <col min="7" max="7" width="16.625" style="27" customWidth="1"/>
    <col min="8" max="8" width="18.75390625" style="33" customWidth="1"/>
    <col min="9" max="10" width="12.75390625" style="27" customWidth="1"/>
    <col min="11" max="11" width="13.75390625" style="27" customWidth="1"/>
    <col min="12" max="16384" width="9.375" style="27" customWidth="1"/>
  </cols>
  <sheetData>
    <row r="1" spans="1:8" ht="13.5">
      <c r="A1" s="395"/>
      <c r="B1" s="864" t="str">
        <f>CONCATENATE("7. melléklet ",Z_ALAPADATOK!A7," ",Z_ALAPADATOK!B7," ",Z_ALAPADATOK!C7," ",Z_ALAPADATOK!D7," ",Z_ALAPADATOK!E7," ",Z_ALAPADATOK!F7," ",Z_ALAPADATOK!G7," ",Z_ALAPADATOK!H7)</f>
        <v>7. melléklet a  / 2023. ( V…... ) önkormányzati rendelethez</v>
      </c>
      <c r="C1" s="865"/>
      <c r="D1" s="865"/>
      <c r="E1" s="865"/>
      <c r="F1" s="865"/>
      <c r="G1" s="865"/>
      <c r="H1" s="865"/>
    </row>
    <row r="2" spans="1:8" ht="12.75">
      <c r="A2" s="395"/>
      <c r="B2" s="396"/>
      <c r="C2" s="396"/>
      <c r="D2" s="396"/>
      <c r="E2" s="396"/>
      <c r="F2" s="396"/>
      <c r="G2" s="396"/>
      <c r="H2" s="396"/>
    </row>
    <row r="3" spans="1:8" ht="25.5" customHeight="1">
      <c r="A3" s="863" t="s">
        <v>507</v>
      </c>
      <c r="B3" s="863"/>
      <c r="C3" s="863"/>
      <c r="D3" s="863"/>
      <c r="E3" s="863"/>
      <c r="F3" s="863"/>
      <c r="G3" s="863"/>
      <c r="H3" s="863"/>
    </row>
    <row r="4" spans="1:8" ht="22.5" customHeight="1" thickBot="1">
      <c r="A4" s="395"/>
      <c r="B4" s="396"/>
      <c r="C4" s="396"/>
      <c r="D4" s="396"/>
      <c r="E4" s="396"/>
      <c r="F4" s="396"/>
      <c r="G4" s="396"/>
      <c r="H4" s="397" t="str">
        <f>6!I2</f>
        <v> Forintban!</v>
      </c>
    </row>
    <row r="5" spans="1:8" s="29" customFormat="1" ht="44.25" customHeight="1" thickBot="1">
      <c r="A5" s="398" t="s">
        <v>48</v>
      </c>
      <c r="B5" s="364" t="s">
        <v>49</v>
      </c>
      <c r="C5" s="364" t="s">
        <v>50</v>
      </c>
      <c r="D5" s="364" t="str">
        <f>+CONCATENATE("Felhasználás   ",LEFT(Z_ÖSSZEFÜGGÉSEK!A6,4)-1,". XII. 31-ig")</f>
        <v>Felhasználás   2021. XII. 31-ig</v>
      </c>
      <c r="E5" s="364" t="str">
        <f>+CONCATENATE(LEFT('[1]RM_ÖSSZEFÜGGÉSEK'!A6,4),". évi",CHAR(10),"eredeti előirányzat")</f>
        <v>2022. évi
eredeti előirányzat</v>
      </c>
      <c r="F5" s="364" t="str">
        <f>+CONCATENATE(LEFT(Z_ÖSSZEFÜGGÉSEK!A6,4),". évi",CHAR(10),"módosított előirányzat")</f>
        <v>2022. évi
módosított előirányzat</v>
      </c>
      <c r="G5" s="364" t="str">
        <f>+CONCATENATE("Teljesítés",CHAR(10),LEFT(Z_ÖSSZEFÜGGÉSEK!A6,4),". XII. 31-ig")</f>
        <v>Teljesítés
2022. XII. 31-ig</v>
      </c>
      <c r="H5" s="365" t="str">
        <f>+CONCATENATE("Összes teljesítés",CHAR(10),LEFT(Z_ÖSSZEFÜGGÉSEK!A6,4),". XII. 31-ig")</f>
        <v>Összes teljesítés
2022. XII. 31-ig</v>
      </c>
    </row>
    <row r="6" spans="1:8" s="33" customFormat="1" ht="12" customHeight="1" thickBot="1">
      <c r="A6" s="399" t="s">
        <v>389</v>
      </c>
      <c r="B6" s="400" t="s">
        <v>390</v>
      </c>
      <c r="C6" s="400" t="s">
        <v>391</v>
      </c>
      <c r="D6" s="400" t="s">
        <v>393</v>
      </c>
      <c r="E6" s="400" t="s">
        <v>392</v>
      </c>
      <c r="F6" s="400" t="s">
        <v>394</v>
      </c>
      <c r="G6" s="400" t="s">
        <v>395</v>
      </c>
      <c r="H6" s="401" t="s">
        <v>771</v>
      </c>
    </row>
    <row r="7" spans="1:8" ht="15.75" customHeight="1">
      <c r="A7" s="226" t="s">
        <v>734</v>
      </c>
      <c r="B7" s="21">
        <v>292100</v>
      </c>
      <c r="C7" s="227" t="s">
        <v>735</v>
      </c>
      <c r="D7" s="21"/>
      <c r="E7" s="21">
        <v>292100</v>
      </c>
      <c r="F7" s="21">
        <v>292100</v>
      </c>
      <c r="G7" s="21">
        <v>0</v>
      </c>
      <c r="H7" s="34">
        <f aca="true" t="shared" si="0" ref="H7:H42">D7+G7</f>
        <v>0</v>
      </c>
    </row>
    <row r="8" spans="1:8" ht="15.75" customHeight="1">
      <c r="A8" s="226" t="s">
        <v>736</v>
      </c>
      <c r="B8" s="21">
        <v>15000000</v>
      </c>
      <c r="C8" s="227" t="s">
        <v>735</v>
      </c>
      <c r="D8" s="21"/>
      <c r="E8" s="21">
        <v>15000000</v>
      </c>
      <c r="F8" s="21">
        <v>15000000</v>
      </c>
      <c r="G8" s="21">
        <v>198500</v>
      </c>
      <c r="H8" s="34">
        <f t="shared" si="0"/>
        <v>198500</v>
      </c>
    </row>
    <row r="9" spans="1:8" ht="15.75" customHeight="1">
      <c r="A9" s="226" t="s">
        <v>737</v>
      </c>
      <c r="B9" s="21">
        <v>4979553</v>
      </c>
      <c r="C9" s="227" t="s">
        <v>735</v>
      </c>
      <c r="D9" s="21"/>
      <c r="E9" s="21">
        <v>4979550</v>
      </c>
      <c r="F9" s="21">
        <v>4979550</v>
      </c>
      <c r="G9" s="21">
        <v>1963316</v>
      </c>
      <c r="H9" s="34">
        <f t="shared" si="0"/>
        <v>1963316</v>
      </c>
    </row>
    <row r="10" spans="1:8" ht="15.75" customHeight="1">
      <c r="A10" s="696" t="s">
        <v>738</v>
      </c>
      <c r="B10" s="21">
        <v>14497050</v>
      </c>
      <c r="C10" s="227" t="s">
        <v>735</v>
      </c>
      <c r="D10" s="21"/>
      <c r="E10" s="21">
        <v>14497050</v>
      </c>
      <c r="F10" s="21">
        <v>14497050</v>
      </c>
      <c r="G10" s="21">
        <v>14497050</v>
      </c>
      <c r="H10" s="34">
        <f t="shared" si="0"/>
        <v>14497050</v>
      </c>
    </row>
    <row r="11" spans="1:8" ht="15.75" customHeight="1">
      <c r="A11" s="226" t="s">
        <v>739</v>
      </c>
      <c r="B11" s="21">
        <v>3000000</v>
      </c>
      <c r="C11" s="227" t="s">
        <v>735</v>
      </c>
      <c r="D11" s="21"/>
      <c r="E11" s="21">
        <v>3000000</v>
      </c>
      <c r="F11" s="21">
        <v>17631700</v>
      </c>
      <c r="G11" s="21">
        <v>6906260</v>
      </c>
      <c r="H11" s="34">
        <f t="shared" si="0"/>
        <v>6906260</v>
      </c>
    </row>
    <row r="12" spans="1:8" ht="15.75" customHeight="1">
      <c r="A12" s="703" t="s">
        <v>740</v>
      </c>
      <c r="B12" s="21">
        <v>180000</v>
      </c>
      <c r="C12" s="227" t="s">
        <v>735</v>
      </c>
      <c r="D12" s="21"/>
      <c r="E12" s="21">
        <v>180000</v>
      </c>
      <c r="F12" s="21">
        <v>8567955</v>
      </c>
      <c r="G12" s="21">
        <v>6700848</v>
      </c>
      <c r="H12" s="34">
        <f t="shared" si="0"/>
        <v>6700848</v>
      </c>
    </row>
    <row r="13" spans="1:8" ht="15.75" customHeight="1">
      <c r="A13" s="703" t="s">
        <v>741</v>
      </c>
      <c r="B13" s="21"/>
      <c r="C13" s="227" t="s">
        <v>735</v>
      </c>
      <c r="D13" s="21"/>
      <c r="E13" s="21"/>
      <c r="F13" s="21">
        <v>12814999</v>
      </c>
      <c r="G13" s="21"/>
      <c r="H13" s="34">
        <f t="shared" si="0"/>
        <v>0</v>
      </c>
    </row>
    <row r="14" spans="1:8" ht="15.75" customHeight="1">
      <c r="A14" s="226" t="s">
        <v>742</v>
      </c>
      <c r="B14" s="21">
        <v>900000</v>
      </c>
      <c r="C14" s="227" t="s">
        <v>735</v>
      </c>
      <c r="D14" s="21"/>
      <c r="E14" s="21">
        <v>900000</v>
      </c>
      <c r="F14" s="21">
        <v>900000</v>
      </c>
      <c r="G14" s="21">
        <v>900000</v>
      </c>
      <c r="H14" s="34">
        <f t="shared" si="0"/>
        <v>900000</v>
      </c>
    </row>
    <row r="15" spans="1:8" ht="15.75" customHeight="1">
      <c r="A15" s="226" t="s">
        <v>743</v>
      </c>
      <c r="B15" s="21">
        <v>91440</v>
      </c>
      <c r="C15" s="227" t="s">
        <v>735</v>
      </c>
      <c r="D15" s="21"/>
      <c r="E15" s="21">
        <v>91440</v>
      </c>
      <c r="F15" s="21">
        <v>91440</v>
      </c>
      <c r="G15" s="21">
        <v>91440</v>
      </c>
      <c r="H15" s="34">
        <f t="shared" si="0"/>
        <v>91440</v>
      </c>
    </row>
    <row r="16" spans="1:8" ht="15.75" customHeight="1">
      <c r="A16" s="226" t="s">
        <v>744</v>
      </c>
      <c r="B16" s="21">
        <v>540000</v>
      </c>
      <c r="C16" s="227" t="s">
        <v>735</v>
      </c>
      <c r="D16" s="21"/>
      <c r="E16" s="21">
        <v>540000</v>
      </c>
      <c r="F16" s="21">
        <v>540000</v>
      </c>
      <c r="G16" s="21">
        <v>540000</v>
      </c>
      <c r="H16" s="34">
        <f t="shared" si="0"/>
        <v>540000</v>
      </c>
    </row>
    <row r="17" spans="1:8" ht="15.75" customHeight="1">
      <c r="A17" s="226" t="s">
        <v>745</v>
      </c>
      <c r="B17" s="21">
        <v>1524000</v>
      </c>
      <c r="C17" s="227" t="s">
        <v>735</v>
      </c>
      <c r="D17" s="21"/>
      <c r="E17" s="21">
        <v>1524000</v>
      </c>
      <c r="F17" s="21">
        <v>1524000</v>
      </c>
      <c r="G17" s="21"/>
      <c r="H17" s="34">
        <f t="shared" si="0"/>
        <v>0</v>
      </c>
    </row>
    <row r="18" spans="1:8" ht="15.75" customHeight="1">
      <c r="A18" s="695" t="s">
        <v>746</v>
      </c>
      <c r="B18" s="22">
        <v>1268650</v>
      </c>
      <c r="C18" s="228" t="s">
        <v>735</v>
      </c>
      <c r="D18" s="21"/>
      <c r="E18" s="22"/>
      <c r="F18" s="21">
        <v>1268650</v>
      </c>
      <c r="G18" s="21">
        <v>1268647</v>
      </c>
      <c r="H18" s="34">
        <f t="shared" si="0"/>
        <v>1268647</v>
      </c>
    </row>
    <row r="19" spans="1:8" ht="15.75" customHeight="1">
      <c r="A19" s="695" t="s">
        <v>747</v>
      </c>
      <c r="B19" s="22">
        <v>500000</v>
      </c>
      <c r="C19" s="228" t="s">
        <v>735</v>
      </c>
      <c r="D19" s="21"/>
      <c r="E19" s="22"/>
      <c r="F19" s="21">
        <v>500000</v>
      </c>
      <c r="G19" s="21">
        <v>464820</v>
      </c>
      <c r="H19" s="34">
        <f t="shared" si="0"/>
        <v>464820</v>
      </c>
    </row>
    <row r="20" spans="1:8" ht="15.75" customHeight="1">
      <c r="A20" s="695" t="s">
        <v>748</v>
      </c>
      <c r="B20" s="22">
        <v>3417000</v>
      </c>
      <c r="C20" s="228" t="s">
        <v>735</v>
      </c>
      <c r="D20" s="21"/>
      <c r="E20" s="22"/>
      <c r="F20" s="21">
        <v>3417000</v>
      </c>
      <c r="G20" s="21"/>
      <c r="H20" s="34">
        <f t="shared" si="0"/>
        <v>0</v>
      </c>
    </row>
    <row r="21" spans="1:8" ht="15.75" customHeight="1">
      <c r="A21" s="695" t="s">
        <v>772</v>
      </c>
      <c r="B21" s="22"/>
      <c r="C21" s="228" t="s">
        <v>735</v>
      </c>
      <c r="D21" s="22"/>
      <c r="E21" s="22"/>
      <c r="F21" s="22"/>
      <c r="G21" s="22">
        <v>1227773</v>
      </c>
      <c r="H21" s="34">
        <f t="shared" si="0"/>
        <v>1227773</v>
      </c>
    </row>
    <row r="22" spans="1:8" ht="15.75" customHeight="1" thickBot="1">
      <c r="A22" s="697" t="s">
        <v>749</v>
      </c>
      <c r="B22" s="698">
        <v>1000000</v>
      </c>
      <c r="C22" s="699" t="s">
        <v>735</v>
      </c>
      <c r="D22" s="698"/>
      <c r="E22" s="698">
        <v>1000000</v>
      </c>
      <c r="F22" s="698">
        <v>1189700</v>
      </c>
      <c r="G22" s="698">
        <v>1199700</v>
      </c>
      <c r="H22" s="705">
        <f t="shared" si="0"/>
        <v>1199700</v>
      </c>
    </row>
    <row r="23" spans="1:8" ht="15.75" customHeight="1">
      <c r="A23" s="700" t="s">
        <v>750</v>
      </c>
      <c r="B23" s="667">
        <v>257000</v>
      </c>
      <c r="C23" s="701" t="s">
        <v>751</v>
      </c>
      <c r="D23" s="667"/>
      <c r="E23" s="667">
        <v>257000</v>
      </c>
      <c r="F23" s="667">
        <v>257000</v>
      </c>
      <c r="G23" s="667">
        <v>90900</v>
      </c>
      <c r="H23" s="704">
        <v>0</v>
      </c>
    </row>
    <row r="24" spans="1:8" ht="15.75" customHeight="1">
      <c r="A24" s="226" t="s">
        <v>752</v>
      </c>
      <c r="B24" s="21">
        <v>406000</v>
      </c>
      <c r="C24" s="227" t="s">
        <v>751</v>
      </c>
      <c r="D24" s="21"/>
      <c r="E24" s="21">
        <v>406000</v>
      </c>
      <c r="F24" s="21">
        <v>680000</v>
      </c>
      <c r="G24" s="21">
        <v>679690</v>
      </c>
      <c r="H24" s="34">
        <v>770590</v>
      </c>
    </row>
    <row r="25" spans="1:8" ht="15.75" customHeight="1">
      <c r="A25" s="226" t="s">
        <v>753</v>
      </c>
      <c r="B25" s="21">
        <v>381000</v>
      </c>
      <c r="C25" s="227" t="s">
        <v>735</v>
      </c>
      <c r="D25" s="22"/>
      <c r="E25" s="21">
        <v>381000</v>
      </c>
      <c r="F25" s="22">
        <v>0</v>
      </c>
      <c r="G25" s="22"/>
      <c r="H25" s="34">
        <f t="shared" si="0"/>
        <v>0</v>
      </c>
    </row>
    <row r="26" spans="1:8" ht="15.75" customHeight="1">
      <c r="A26" s="702" t="s">
        <v>754</v>
      </c>
      <c r="B26" s="21">
        <v>635000</v>
      </c>
      <c r="C26" s="227" t="s">
        <v>751</v>
      </c>
      <c r="D26" s="22"/>
      <c r="E26" s="21">
        <v>635000</v>
      </c>
      <c r="F26" s="22">
        <v>635000</v>
      </c>
      <c r="G26" s="22">
        <v>465437</v>
      </c>
      <c r="H26" s="34">
        <f t="shared" si="0"/>
        <v>465437</v>
      </c>
    </row>
    <row r="27" spans="1:8" ht="15.75" customHeight="1">
      <c r="A27" s="226" t="s">
        <v>755</v>
      </c>
      <c r="B27" s="21">
        <v>1588000</v>
      </c>
      <c r="C27" s="227" t="s">
        <v>735</v>
      </c>
      <c r="D27" s="22"/>
      <c r="E27" s="21">
        <v>1588000</v>
      </c>
      <c r="F27" s="22">
        <v>2921000</v>
      </c>
      <c r="G27" s="22">
        <v>2536361</v>
      </c>
      <c r="H27" s="34">
        <f t="shared" si="0"/>
        <v>2536361</v>
      </c>
    </row>
    <row r="28" spans="1:8" ht="15.75" customHeight="1">
      <c r="A28" s="702" t="s">
        <v>756</v>
      </c>
      <c r="B28" s="21">
        <v>900000</v>
      </c>
      <c r="C28" s="227" t="s">
        <v>751</v>
      </c>
      <c r="D28" s="22"/>
      <c r="E28" s="21">
        <v>900000</v>
      </c>
      <c r="F28" s="22">
        <v>0</v>
      </c>
      <c r="G28" s="22"/>
      <c r="H28" s="34">
        <f t="shared" si="0"/>
        <v>0</v>
      </c>
    </row>
    <row r="29" spans="1:8" ht="15.75" customHeight="1">
      <c r="A29" s="226" t="s">
        <v>757</v>
      </c>
      <c r="B29" s="21">
        <v>2445000</v>
      </c>
      <c r="C29" s="227" t="s">
        <v>751</v>
      </c>
      <c r="D29" s="22"/>
      <c r="E29" s="21">
        <v>2445000</v>
      </c>
      <c r="F29" s="22">
        <v>2445000</v>
      </c>
      <c r="G29" s="22">
        <v>2444750</v>
      </c>
      <c r="H29" s="34">
        <f t="shared" si="0"/>
        <v>2444750</v>
      </c>
    </row>
    <row r="30" spans="1:8" ht="15.75" customHeight="1">
      <c r="A30" s="226" t="s">
        <v>758</v>
      </c>
      <c r="B30" s="21">
        <v>271000</v>
      </c>
      <c r="C30" s="227" t="s">
        <v>751</v>
      </c>
      <c r="D30" s="22"/>
      <c r="E30" s="21">
        <v>271000</v>
      </c>
      <c r="F30" s="22">
        <v>314000</v>
      </c>
      <c r="G30" s="22">
        <v>327440</v>
      </c>
      <c r="H30" s="34">
        <f t="shared" si="0"/>
        <v>327440</v>
      </c>
    </row>
    <row r="31" spans="1:8" ht="15.75" customHeight="1">
      <c r="A31" s="226" t="s">
        <v>759</v>
      </c>
      <c r="B31" s="21"/>
      <c r="C31" s="227"/>
      <c r="D31" s="22"/>
      <c r="E31" s="21"/>
      <c r="F31" s="22">
        <v>570000</v>
      </c>
      <c r="G31" s="22">
        <v>565294</v>
      </c>
      <c r="H31" s="34">
        <f t="shared" si="0"/>
        <v>565294</v>
      </c>
    </row>
    <row r="32" spans="1:8" ht="15.75" customHeight="1">
      <c r="A32" s="226" t="s">
        <v>760</v>
      </c>
      <c r="B32" s="21"/>
      <c r="C32" s="227"/>
      <c r="D32" s="22"/>
      <c r="E32" s="21"/>
      <c r="F32" s="22">
        <v>1600000</v>
      </c>
      <c r="G32" s="22">
        <v>1587500</v>
      </c>
      <c r="H32" s="34">
        <f t="shared" si="0"/>
        <v>1587500</v>
      </c>
    </row>
    <row r="33" spans="1:8" ht="15.75" customHeight="1">
      <c r="A33" s="226" t="s">
        <v>761</v>
      </c>
      <c r="B33" s="21">
        <v>421000</v>
      </c>
      <c r="C33" s="227" t="s">
        <v>751</v>
      </c>
      <c r="D33" s="22"/>
      <c r="E33" s="21">
        <v>421000</v>
      </c>
      <c r="F33" s="22">
        <v>421000</v>
      </c>
      <c r="G33" s="22">
        <v>343280</v>
      </c>
      <c r="H33" s="34">
        <f t="shared" si="0"/>
        <v>343280</v>
      </c>
    </row>
    <row r="34" spans="1:8" ht="15.75" customHeight="1">
      <c r="A34" s="226" t="s">
        <v>762</v>
      </c>
      <c r="B34" s="21">
        <v>217000</v>
      </c>
      <c r="C34" s="227" t="s">
        <v>751</v>
      </c>
      <c r="D34" s="22"/>
      <c r="E34" s="21">
        <v>217000</v>
      </c>
      <c r="F34" s="22">
        <v>0</v>
      </c>
      <c r="G34" s="22"/>
      <c r="H34" s="34">
        <f t="shared" si="0"/>
        <v>0</v>
      </c>
    </row>
    <row r="35" spans="1:8" ht="15.75" customHeight="1">
      <c r="A35" s="226" t="s">
        <v>763</v>
      </c>
      <c r="B35" s="21">
        <v>500000</v>
      </c>
      <c r="C35" s="227" t="s">
        <v>751</v>
      </c>
      <c r="D35" s="22"/>
      <c r="E35" s="21">
        <v>500000</v>
      </c>
      <c r="F35" s="22">
        <v>1352750</v>
      </c>
      <c r="G35" s="22">
        <v>1352233</v>
      </c>
      <c r="H35" s="34">
        <f t="shared" si="0"/>
        <v>1352233</v>
      </c>
    </row>
    <row r="36" spans="1:8" ht="15.75" customHeight="1">
      <c r="A36" s="226" t="s">
        <v>764</v>
      </c>
      <c r="B36" s="21">
        <v>95250</v>
      </c>
      <c r="C36" s="227" t="s">
        <v>735</v>
      </c>
      <c r="D36" s="22"/>
      <c r="E36" s="21">
        <v>95250</v>
      </c>
      <c r="F36" s="22">
        <v>0</v>
      </c>
      <c r="G36" s="22"/>
      <c r="H36" s="34">
        <f t="shared" si="0"/>
        <v>0</v>
      </c>
    </row>
    <row r="37" spans="1:8" ht="15.75" customHeight="1">
      <c r="A37" s="226" t="s">
        <v>765</v>
      </c>
      <c r="B37" s="21">
        <v>63500</v>
      </c>
      <c r="C37" s="227" t="s">
        <v>735</v>
      </c>
      <c r="D37" s="22"/>
      <c r="E37" s="21">
        <v>63500</v>
      </c>
      <c r="F37" s="22">
        <v>525750</v>
      </c>
      <c r="G37" s="22">
        <v>498185</v>
      </c>
      <c r="H37" s="34">
        <f t="shared" si="0"/>
        <v>498185</v>
      </c>
    </row>
    <row r="38" spans="1:8" ht="15.75" customHeight="1">
      <c r="A38" s="226" t="s">
        <v>766</v>
      </c>
      <c r="B38" s="21">
        <v>318000</v>
      </c>
      <c r="C38" s="227" t="s">
        <v>735</v>
      </c>
      <c r="D38" s="22"/>
      <c r="E38" s="21">
        <v>318000</v>
      </c>
      <c r="F38" s="22">
        <v>318000</v>
      </c>
      <c r="G38" s="22">
        <v>327514</v>
      </c>
      <c r="H38" s="34">
        <f t="shared" si="0"/>
        <v>327514</v>
      </c>
    </row>
    <row r="39" spans="1:8" ht="15.75" customHeight="1">
      <c r="A39" s="226" t="s">
        <v>767</v>
      </c>
      <c r="B39" s="21">
        <v>444000</v>
      </c>
      <c r="C39" s="227" t="s">
        <v>735</v>
      </c>
      <c r="D39" s="22"/>
      <c r="E39" s="21">
        <v>444000</v>
      </c>
      <c r="F39" s="22">
        <v>444000</v>
      </c>
      <c r="G39" s="22">
        <v>458700</v>
      </c>
      <c r="H39" s="34">
        <f t="shared" si="0"/>
        <v>458700</v>
      </c>
    </row>
    <row r="40" spans="1:8" ht="15.75" customHeight="1">
      <c r="A40" s="695" t="s">
        <v>768</v>
      </c>
      <c r="B40" s="22">
        <v>650000</v>
      </c>
      <c r="C40" s="228" t="s">
        <v>735</v>
      </c>
      <c r="D40" s="22"/>
      <c r="E40" s="22">
        <v>650000</v>
      </c>
      <c r="F40" s="22">
        <v>650000</v>
      </c>
      <c r="G40" s="22">
        <v>635738</v>
      </c>
      <c r="H40" s="34">
        <f t="shared" si="0"/>
        <v>635738</v>
      </c>
    </row>
    <row r="41" spans="1:8" ht="15.75" customHeight="1">
      <c r="A41" s="695" t="s">
        <v>769</v>
      </c>
      <c r="B41" s="22">
        <v>2540000</v>
      </c>
      <c r="C41" s="228" t="s">
        <v>735</v>
      </c>
      <c r="D41" s="22"/>
      <c r="E41" s="22">
        <v>2540000</v>
      </c>
      <c r="F41" s="22">
        <v>759166</v>
      </c>
      <c r="G41" s="22"/>
      <c r="H41" s="34">
        <f t="shared" si="0"/>
        <v>0</v>
      </c>
    </row>
    <row r="42" spans="1:8" ht="15.75" customHeight="1" thickBot="1">
      <c r="A42" s="35" t="s">
        <v>770</v>
      </c>
      <c r="B42" s="22">
        <v>191000</v>
      </c>
      <c r="C42" s="228" t="s">
        <v>735</v>
      </c>
      <c r="D42" s="22"/>
      <c r="E42" s="22">
        <v>191000</v>
      </c>
      <c r="F42" s="22">
        <v>0</v>
      </c>
      <c r="G42" s="22"/>
      <c r="H42" s="34">
        <f t="shared" si="0"/>
        <v>0</v>
      </c>
    </row>
    <row r="43" spans="1:8" s="38" customFormat="1" ht="18" customHeight="1" thickBot="1">
      <c r="A43" s="74" t="s">
        <v>47</v>
      </c>
      <c r="B43" s="36">
        <f>SUM(B7:B42)</f>
        <v>59512543</v>
      </c>
      <c r="C43" s="55"/>
      <c r="D43" s="36">
        <f>SUM(D7:D42)</f>
        <v>0</v>
      </c>
      <c r="E43" s="36">
        <f>SUM(E7:E42)</f>
        <v>54326890</v>
      </c>
      <c r="F43" s="36">
        <f>SUM(F7:F42)</f>
        <v>97106810</v>
      </c>
      <c r="G43" s="36">
        <f>SUM(G7:G42)</f>
        <v>48271376</v>
      </c>
      <c r="H43" s="37">
        <f>SUM(H7:H42)</f>
        <v>48271376</v>
      </c>
    </row>
  </sheetData>
  <sheetProtection/>
  <mergeCells count="2">
    <mergeCell ref="A3:H3"/>
    <mergeCell ref="B1:H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6"/>
  <sheetViews>
    <sheetView zoomScale="120" zoomScaleNormal="120" workbookViewId="0" topLeftCell="A4">
      <selection activeCell="B12" sqref="B12"/>
    </sheetView>
  </sheetViews>
  <sheetFormatPr defaultColWidth="9.37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13.5">
      <c r="A1" s="395"/>
      <c r="B1" s="864" t="str">
        <f>CONCATENATE("8. melléklet ",Z_ALAPADATOK!A7," ",Z_ALAPADATOK!B7," ",Z_ALAPADATOK!C7," ",Z_ALAPADATOK!D7," ",Z_ALAPADATOK!E7," ",Z_ALAPADATOK!F7," ",Z_ALAPADATOK!G7," ",Z_ALAPADATOK!H7)</f>
        <v>8. melléklet a  / 2023. ( V…... ) önkormányzati rendelethez</v>
      </c>
      <c r="C1" s="864"/>
      <c r="D1" s="864"/>
      <c r="E1" s="864"/>
      <c r="F1" s="864"/>
      <c r="G1" s="864"/>
    </row>
    <row r="2" spans="1:7" ht="12.75">
      <c r="A2" s="395"/>
      <c r="B2" s="396"/>
      <c r="C2" s="396"/>
      <c r="D2" s="396"/>
      <c r="E2" s="396"/>
      <c r="F2" s="396"/>
      <c r="G2" s="396"/>
    </row>
    <row r="3" spans="1:7" ht="24.75" customHeight="1">
      <c r="A3" s="863" t="s">
        <v>508</v>
      </c>
      <c r="B3" s="863"/>
      <c r="C3" s="863"/>
      <c r="D3" s="863"/>
      <c r="E3" s="863"/>
      <c r="F3" s="863"/>
      <c r="G3" s="863"/>
    </row>
    <row r="4" spans="1:7" ht="23.25" customHeight="1" thickBot="1">
      <c r="A4" s="395"/>
      <c r="B4" s="396"/>
      <c r="C4" s="396"/>
      <c r="D4" s="396"/>
      <c r="E4" s="396"/>
      <c r="F4" s="396"/>
      <c r="G4" s="397" t="str">
        <f>7!H4</f>
        <v> Forintban!</v>
      </c>
    </row>
    <row r="5" spans="1:7" s="29" customFormat="1" ht="48.75" customHeight="1" thickBot="1">
      <c r="A5" s="398" t="s">
        <v>51</v>
      </c>
      <c r="B5" s="364" t="s">
        <v>49</v>
      </c>
      <c r="C5" s="364" t="s">
        <v>50</v>
      </c>
      <c r="D5" s="364" t="str">
        <f>+7!D5</f>
        <v>Felhasználás   2021. XII. 31-ig</v>
      </c>
      <c r="E5" s="364" t="str">
        <f>+CONCATENATE(LEFT(Z_ÖSSZEFÜGGÉSEK!A6,4),". évi",CHAR(10),"módosított előirányzat")</f>
        <v>2022. évi
módosított előirányzat</v>
      </c>
      <c r="F5" s="364" t="str">
        <f>+CONCATENATE("Teljesítés",CHAR(10),LEFT(Z_ÖSSZEFÜGGÉSEK!A6,4),". XII. 31-ig")</f>
        <v>Teljesítés
2022. XII. 31-ig</v>
      </c>
      <c r="G5" s="365" t="str">
        <f>+CONCATENATE("Összes teljesítés",CHAR(10),LEFT(Z_ÖSSZEFÜGGÉSEK!A6,4),". XII. 31-ig")</f>
        <v>Összes teljesítés
2022. XII. 31-ig</v>
      </c>
    </row>
    <row r="6" spans="1:7" s="33" customFormat="1" ht="15" customHeight="1" thickBot="1">
      <c r="A6" s="399" t="s">
        <v>389</v>
      </c>
      <c r="B6" s="400" t="s">
        <v>390</v>
      </c>
      <c r="C6" s="400" t="s">
        <v>391</v>
      </c>
      <c r="D6" s="400" t="s">
        <v>393</v>
      </c>
      <c r="E6" s="400" t="s">
        <v>392</v>
      </c>
      <c r="F6" s="400" t="s">
        <v>394</v>
      </c>
      <c r="G6" s="401" t="s">
        <v>446</v>
      </c>
    </row>
    <row r="7" spans="1:7" ht="15.75" customHeight="1">
      <c r="A7" s="39"/>
      <c r="B7" s="40"/>
      <c r="C7" s="229"/>
      <c r="D7" s="40"/>
      <c r="E7" s="40"/>
      <c r="F7" s="40"/>
      <c r="G7" s="41">
        <f aca="true" t="shared" si="0" ref="G7:G25">B7-D7-F7</f>
        <v>0</v>
      </c>
    </row>
    <row r="8" spans="1:7" ht="15.75" customHeight="1">
      <c r="A8" s="39"/>
      <c r="B8" s="40"/>
      <c r="C8" s="229"/>
      <c r="D8" s="40"/>
      <c r="E8" s="40"/>
      <c r="F8" s="40"/>
      <c r="G8" s="41">
        <f t="shared" si="0"/>
        <v>0</v>
      </c>
    </row>
    <row r="9" spans="1:7" ht="15.75" customHeight="1">
      <c r="A9" s="39"/>
      <c r="B9" s="40"/>
      <c r="C9" s="229"/>
      <c r="D9" s="40"/>
      <c r="E9" s="40"/>
      <c r="F9" s="40"/>
      <c r="G9" s="41">
        <f t="shared" si="0"/>
        <v>0</v>
      </c>
    </row>
    <row r="10" spans="1:7" ht="15.75" customHeight="1">
      <c r="A10" s="39"/>
      <c r="B10" s="40"/>
      <c r="C10" s="229"/>
      <c r="D10" s="40"/>
      <c r="E10" s="40"/>
      <c r="F10" s="40"/>
      <c r="G10" s="41">
        <f t="shared" si="0"/>
        <v>0</v>
      </c>
    </row>
    <row r="11" spans="1:7" ht="15.75" customHeight="1">
      <c r="A11" s="39"/>
      <c r="B11" s="40"/>
      <c r="C11" s="229"/>
      <c r="D11" s="40"/>
      <c r="E11" s="40"/>
      <c r="F11" s="40"/>
      <c r="G11" s="41">
        <f t="shared" si="0"/>
        <v>0</v>
      </c>
    </row>
    <row r="12" spans="1:7" ht="15.75" customHeight="1">
      <c r="A12" s="39"/>
      <c r="B12" s="40"/>
      <c r="C12" s="229"/>
      <c r="D12" s="40"/>
      <c r="E12" s="40"/>
      <c r="F12" s="40"/>
      <c r="G12" s="41">
        <f t="shared" si="0"/>
        <v>0</v>
      </c>
    </row>
    <row r="13" spans="1:7" ht="15.75" customHeight="1">
      <c r="A13" s="39"/>
      <c r="B13" s="40"/>
      <c r="C13" s="229"/>
      <c r="D13" s="40"/>
      <c r="E13" s="40"/>
      <c r="F13" s="40"/>
      <c r="G13" s="41">
        <f t="shared" si="0"/>
        <v>0</v>
      </c>
    </row>
    <row r="14" spans="1:7" ht="15.75" customHeight="1">
      <c r="A14" s="39"/>
      <c r="B14" s="40"/>
      <c r="C14" s="229"/>
      <c r="D14" s="40"/>
      <c r="E14" s="40"/>
      <c r="F14" s="40"/>
      <c r="G14" s="41">
        <f t="shared" si="0"/>
        <v>0</v>
      </c>
    </row>
    <row r="15" spans="1:7" ht="15.75" customHeight="1">
      <c r="A15" s="39"/>
      <c r="B15" s="40"/>
      <c r="C15" s="229"/>
      <c r="D15" s="40"/>
      <c r="E15" s="40"/>
      <c r="F15" s="40"/>
      <c r="G15" s="41">
        <f t="shared" si="0"/>
        <v>0</v>
      </c>
    </row>
    <row r="16" spans="1:7" ht="15.75" customHeight="1">
      <c r="A16" s="39"/>
      <c r="B16" s="40"/>
      <c r="C16" s="229"/>
      <c r="D16" s="40"/>
      <c r="E16" s="40"/>
      <c r="F16" s="40"/>
      <c r="G16" s="41">
        <f t="shared" si="0"/>
        <v>0</v>
      </c>
    </row>
    <row r="17" spans="1:7" ht="15.75" customHeight="1">
      <c r="A17" s="39"/>
      <c r="B17" s="40"/>
      <c r="C17" s="229"/>
      <c r="D17" s="40"/>
      <c r="E17" s="40"/>
      <c r="F17" s="40"/>
      <c r="G17" s="41">
        <f t="shared" si="0"/>
        <v>0</v>
      </c>
    </row>
    <row r="18" spans="1:7" ht="15.75" customHeight="1">
      <c r="A18" s="39"/>
      <c r="B18" s="40"/>
      <c r="C18" s="229"/>
      <c r="D18" s="40"/>
      <c r="E18" s="40"/>
      <c r="F18" s="40"/>
      <c r="G18" s="41">
        <f t="shared" si="0"/>
        <v>0</v>
      </c>
    </row>
    <row r="19" spans="1:7" ht="15.75" customHeight="1">
      <c r="A19" s="39"/>
      <c r="B19" s="40"/>
      <c r="C19" s="229"/>
      <c r="D19" s="40"/>
      <c r="E19" s="40"/>
      <c r="F19" s="40"/>
      <c r="G19" s="41">
        <f t="shared" si="0"/>
        <v>0</v>
      </c>
    </row>
    <row r="20" spans="1:7" ht="15.75" customHeight="1">
      <c r="A20" s="39"/>
      <c r="B20" s="40"/>
      <c r="C20" s="229"/>
      <c r="D20" s="40"/>
      <c r="E20" s="40"/>
      <c r="F20" s="40"/>
      <c r="G20" s="41">
        <f t="shared" si="0"/>
        <v>0</v>
      </c>
    </row>
    <row r="21" spans="1:7" ht="15.75" customHeight="1">
      <c r="A21" s="39"/>
      <c r="B21" s="40"/>
      <c r="C21" s="229"/>
      <c r="D21" s="40"/>
      <c r="E21" s="40"/>
      <c r="F21" s="40"/>
      <c r="G21" s="41">
        <f t="shared" si="0"/>
        <v>0</v>
      </c>
    </row>
    <row r="22" spans="1:7" ht="15.75" customHeight="1">
      <c r="A22" s="39"/>
      <c r="B22" s="40"/>
      <c r="C22" s="229"/>
      <c r="D22" s="40"/>
      <c r="E22" s="40"/>
      <c r="F22" s="40"/>
      <c r="G22" s="41">
        <f t="shared" si="0"/>
        <v>0</v>
      </c>
    </row>
    <row r="23" spans="1:7" ht="15.75" customHeight="1">
      <c r="A23" s="39"/>
      <c r="B23" s="40"/>
      <c r="C23" s="229"/>
      <c r="D23" s="40"/>
      <c r="E23" s="40"/>
      <c r="F23" s="40"/>
      <c r="G23" s="41">
        <f t="shared" si="0"/>
        <v>0</v>
      </c>
    </row>
    <row r="24" spans="1:7" ht="15.75" customHeight="1">
      <c r="A24" s="39"/>
      <c r="B24" s="40"/>
      <c r="C24" s="229"/>
      <c r="D24" s="40"/>
      <c r="E24" s="40"/>
      <c r="F24" s="40"/>
      <c r="G24" s="41">
        <f t="shared" si="0"/>
        <v>0</v>
      </c>
    </row>
    <row r="25" spans="1:7" ht="15.75" customHeight="1" thickBot="1">
      <c r="A25" s="42"/>
      <c r="B25" s="43"/>
      <c r="C25" s="230"/>
      <c r="D25" s="43"/>
      <c r="E25" s="43"/>
      <c r="F25" s="43"/>
      <c r="G25" s="44">
        <f t="shared" si="0"/>
        <v>0</v>
      </c>
    </row>
    <row r="26" spans="1:7" s="38" customFormat="1" ht="18" customHeight="1" thickBot="1">
      <c r="A26" s="74" t="s">
        <v>47</v>
      </c>
      <c r="B26" s="75">
        <f>SUM(B7:B25)</f>
        <v>0</v>
      </c>
      <c r="C26" s="56"/>
      <c r="D26" s="75">
        <f>SUM(D7:D25)</f>
        <v>0</v>
      </c>
      <c r="E26" s="75"/>
      <c r="F26" s="75">
        <f>SUM(F7:F25)</f>
        <v>0</v>
      </c>
      <c r="G26" s="45">
        <f>SUM(G7:G25)</f>
        <v>0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0"/>
  <sheetViews>
    <sheetView zoomScale="120" zoomScaleNormal="120" zoomScaleSheetLayoutView="100" workbookViewId="0" topLeftCell="B1">
      <selection activeCell="O11" sqref="O11:O12"/>
    </sheetView>
  </sheetViews>
  <sheetFormatPr defaultColWidth="9.375" defaultRowHeight="12.75"/>
  <cols>
    <col min="1" max="1" width="28.50390625" style="31" customWidth="1"/>
    <col min="2" max="19" width="10.00390625" style="31" customWidth="1"/>
    <col min="20" max="20" width="13.875" style="31" customWidth="1"/>
    <col min="21" max="21" width="10.00390625" style="31" customWidth="1"/>
    <col min="22" max="22" width="4.00390625" style="31" customWidth="1"/>
    <col min="23" max="16384" width="9.375" style="31" customWidth="1"/>
  </cols>
  <sheetData>
    <row r="1" spans="1:21" ht="13.5">
      <c r="A1" s="898" t="str">
        <f>CONCATENATE("9. melléklet ",'[2]Z_ALAPADATOK'!A7," ",'[2]Z_ALAPADATOK'!B7," ",'[2]Z_ALAPADATOK'!C7," ",'[2]Z_ALAPADATOK'!D7," ",'[2]Z_ALAPADATOK'!E7," ",'[2]Z_ALAPADATOK'!F7," ",'[2]Z_ALAPADATOK'!G7," ",'[2]Z_ALAPADATOK'!H7)</f>
        <v>9. melléklet a  / 2022. ( V…... ) önkormányzati rendelethez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</row>
    <row r="2" spans="1:21" ht="15">
      <c r="A2" s="899" t="s">
        <v>509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</row>
    <row r="3" spans="1:21" ht="15">
      <c r="A3" s="900" t="s">
        <v>510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</row>
    <row r="4" spans="1:22" ht="15.75" customHeight="1">
      <c r="A4" s="897" t="s">
        <v>447</v>
      </c>
      <c r="B4" s="897"/>
      <c r="C4" s="897"/>
      <c r="D4" s="710"/>
      <c r="E4" s="710"/>
      <c r="F4" s="901" t="s">
        <v>1268</v>
      </c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870"/>
    </row>
    <row r="5" spans="1:22" ht="14.2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871" t="str">
        <f>'[2]8'!G4</f>
        <v> Forintban!</v>
      </c>
      <c r="U5" s="871"/>
      <c r="V5" s="870"/>
    </row>
    <row r="6" spans="1:22" ht="13.5" thickBot="1">
      <c r="A6" s="887" t="s">
        <v>84</v>
      </c>
      <c r="B6" s="872" t="s">
        <v>448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777"/>
      <c r="O6" s="873" t="s">
        <v>449</v>
      </c>
      <c r="P6" s="874"/>
      <c r="Q6" s="874"/>
      <c r="R6" s="874"/>
      <c r="S6" s="874"/>
      <c r="T6" s="874"/>
      <c r="U6" s="875"/>
      <c r="V6" s="870"/>
    </row>
    <row r="7" spans="1:22" ht="15" customHeight="1" thickBot="1">
      <c r="A7" s="888"/>
      <c r="B7" s="884" t="s">
        <v>450</v>
      </c>
      <c r="C7" s="892" t="s">
        <v>451</v>
      </c>
      <c r="D7" s="289"/>
      <c r="E7" s="289"/>
      <c r="F7" s="882" t="s">
        <v>452</v>
      </c>
      <c r="G7" s="882"/>
      <c r="H7" s="882"/>
      <c r="I7" s="882"/>
      <c r="J7" s="882"/>
      <c r="K7" s="882"/>
      <c r="L7" s="882"/>
      <c r="M7" s="882"/>
      <c r="N7" s="778"/>
      <c r="O7" s="876"/>
      <c r="P7" s="877"/>
      <c r="Q7" s="877"/>
      <c r="R7" s="877"/>
      <c r="S7" s="877"/>
      <c r="T7" s="877"/>
      <c r="U7" s="878"/>
      <c r="V7" s="870"/>
    </row>
    <row r="8" spans="1:22" ht="13.5" thickBot="1">
      <c r="A8" s="888"/>
      <c r="B8" s="884"/>
      <c r="C8" s="892"/>
      <c r="D8" s="289" t="s">
        <v>450</v>
      </c>
      <c r="E8" s="289" t="s">
        <v>451</v>
      </c>
      <c r="F8" s="289" t="s">
        <v>450</v>
      </c>
      <c r="G8" s="289" t="s">
        <v>451</v>
      </c>
      <c r="H8" s="289" t="s">
        <v>450</v>
      </c>
      <c r="I8" s="289" t="s">
        <v>451</v>
      </c>
      <c r="J8" s="289" t="s">
        <v>450</v>
      </c>
      <c r="K8" s="289" t="s">
        <v>451</v>
      </c>
      <c r="L8" s="289" t="s">
        <v>450</v>
      </c>
      <c r="M8" s="289" t="s">
        <v>451</v>
      </c>
      <c r="N8" s="779"/>
      <c r="O8" s="879"/>
      <c r="P8" s="880"/>
      <c r="Q8" s="880"/>
      <c r="R8" s="880"/>
      <c r="S8" s="880"/>
      <c r="T8" s="880"/>
      <c r="U8" s="881"/>
      <c r="V8" s="870"/>
    </row>
    <row r="9" spans="1:22" ht="30.75" thickBot="1">
      <c r="A9" s="889"/>
      <c r="B9" s="892" t="s">
        <v>453</v>
      </c>
      <c r="C9" s="892"/>
      <c r="D9" s="892">
        <v>2018</v>
      </c>
      <c r="E9" s="892"/>
      <c r="F9" s="892">
        <v>2019</v>
      </c>
      <c r="G9" s="892"/>
      <c r="H9" s="890">
        <v>2020</v>
      </c>
      <c r="I9" s="891"/>
      <c r="J9" s="883" t="str">
        <f>+CONCATENATE(LEFT('[2]Z_ÖSSZEFÜGGÉSEK'!A6,4),". XII.31.")</f>
        <v>2021. XII.31.</v>
      </c>
      <c r="K9" s="883"/>
      <c r="L9" s="884" t="s">
        <v>751</v>
      </c>
      <c r="M9" s="884"/>
      <c r="N9" s="288">
        <v>2017</v>
      </c>
      <c r="O9" s="367">
        <v>2018</v>
      </c>
      <c r="P9" s="367">
        <f>+F9</f>
        <v>2019</v>
      </c>
      <c r="Q9" s="367">
        <v>2020</v>
      </c>
      <c r="R9" s="366" t="s">
        <v>1249</v>
      </c>
      <c r="S9" s="366" t="s">
        <v>751</v>
      </c>
      <c r="T9" s="288" t="s">
        <v>37</v>
      </c>
      <c r="U9" s="366" t="str">
        <f>+CONCATENATE("Teljesítés %-a ",LEFT('[2]Z_ÖSSZEFÜGGÉSEK'!A6,4),". XII. 31-ig")</f>
        <v>Teljesítés %-a 2021. XII. 31-ig</v>
      </c>
      <c r="V9" s="870"/>
    </row>
    <row r="10" spans="1:22" ht="13.5" thickBot="1">
      <c r="A10" s="290" t="s">
        <v>389</v>
      </c>
      <c r="B10" s="288" t="s">
        <v>390</v>
      </c>
      <c r="C10" s="288" t="s">
        <v>391</v>
      </c>
      <c r="D10" s="291" t="s">
        <v>393</v>
      </c>
      <c r="E10" s="289" t="s">
        <v>392</v>
      </c>
      <c r="F10" s="291" t="s">
        <v>394</v>
      </c>
      <c r="G10" s="289" t="s">
        <v>395</v>
      </c>
      <c r="H10" s="289" t="s">
        <v>396</v>
      </c>
      <c r="I10" s="289" t="s">
        <v>427</v>
      </c>
      <c r="J10" s="289" t="s">
        <v>454</v>
      </c>
      <c r="K10" s="289" t="s">
        <v>455</v>
      </c>
      <c r="L10" s="288" t="s">
        <v>1242</v>
      </c>
      <c r="M10" s="291" t="s">
        <v>1243</v>
      </c>
      <c r="N10" s="291" t="s">
        <v>1244</v>
      </c>
      <c r="O10" s="291" t="s">
        <v>1245</v>
      </c>
      <c r="P10" s="291" t="s">
        <v>1246</v>
      </c>
      <c r="Q10" s="291" t="s">
        <v>1247</v>
      </c>
      <c r="R10" s="291" t="s">
        <v>1248</v>
      </c>
      <c r="S10" s="291" t="s">
        <v>1250</v>
      </c>
      <c r="T10" s="291" t="s">
        <v>1251</v>
      </c>
      <c r="U10" s="292" t="s">
        <v>1252</v>
      </c>
      <c r="V10" s="870"/>
    </row>
    <row r="11" spans="1:22" ht="12.75">
      <c r="A11" s="293" t="s">
        <v>85</v>
      </c>
      <c r="B11" s="338"/>
      <c r="C11" s="339"/>
      <c r="D11" s="339"/>
      <c r="E11" s="340"/>
      <c r="F11" s="339"/>
      <c r="G11" s="340"/>
      <c r="H11" s="339">
        <v>600000</v>
      </c>
      <c r="I11" s="339">
        <v>600000</v>
      </c>
      <c r="J11" s="339">
        <v>600000</v>
      </c>
      <c r="K11" s="339">
        <v>1122145</v>
      </c>
      <c r="L11" s="339">
        <v>683700</v>
      </c>
      <c r="M11" s="339">
        <v>683700</v>
      </c>
      <c r="N11" s="339"/>
      <c r="O11" s="339"/>
      <c r="P11" s="339"/>
      <c r="Q11" s="339">
        <v>600000</v>
      </c>
      <c r="R11" s="339">
        <v>351743</v>
      </c>
      <c r="S11" s="339">
        <v>683700</v>
      </c>
      <c r="T11" s="341">
        <f>O11+P11+R11+Q11+S11</f>
        <v>1635443</v>
      </c>
      <c r="U11" s="345">
        <f>T11/(K11+L11)*100</f>
        <v>90.56386345450468</v>
      </c>
      <c r="V11" s="870"/>
    </row>
    <row r="12" spans="1:22" ht="12.75">
      <c r="A12" s="295" t="s">
        <v>97</v>
      </c>
      <c r="B12" s="342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4">
        <f>O12+Q12+P12+R12</f>
        <v>0</v>
      </c>
      <c r="U12" s="345">
        <f aca="true" t="shared" si="0" ref="U12:U17">IF((C12&lt;&gt;0),ROUND((T12/C12)*100,1),"")</f>
      </c>
      <c r="V12" s="870"/>
    </row>
    <row r="13" spans="1:22" ht="12.75">
      <c r="A13" s="296" t="s">
        <v>86</v>
      </c>
      <c r="B13" s="346">
        <v>145309282</v>
      </c>
      <c r="C13" s="352">
        <v>145309282</v>
      </c>
      <c r="D13" s="347">
        <v>0</v>
      </c>
      <c r="E13" s="347">
        <v>36327320</v>
      </c>
      <c r="F13" s="347">
        <v>145309282</v>
      </c>
      <c r="G13" s="347">
        <v>108981962</v>
      </c>
      <c r="H13" s="347"/>
      <c r="I13" s="347"/>
      <c r="J13" s="347">
        <v>0</v>
      </c>
      <c r="K13" s="347">
        <v>0</v>
      </c>
      <c r="L13" s="347">
        <v>0</v>
      </c>
      <c r="M13" s="347">
        <v>0</v>
      </c>
      <c r="N13" s="347"/>
      <c r="O13" s="347">
        <v>36327320</v>
      </c>
      <c r="P13" s="347">
        <v>108981962</v>
      </c>
      <c r="Q13" s="347"/>
      <c r="R13" s="347">
        <v>0</v>
      </c>
      <c r="S13" s="347"/>
      <c r="T13" s="344">
        <f>O13+P13+R13</f>
        <v>145309282</v>
      </c>
      <c r="U13" s="345">
        <f>IF((C13&lt;&gt;0),ROUND((T13/C13)*100,1),"")</f>
        <v>100</v>
      </c>
      <c r="V13" s="870"/>
    </row>
    <row r="14" spans="1:22" ht="12.75">
      <c r="A14" s="296" t="s">
        <v>98</v>
      </c>
      <c r="B14" s="346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4">
        <f>+P14+R14</f>
        <v>0</v>
      </c>
      <c r="U14" s="345">
        <f t="shared" si="0"/>
      </c>
      <c r="V14" s="870"/>
    </row>
    <row r="15" spans="1:22" ht="12.75">
      <c r="A15" s="296" t="s">
        <v>87</v>
      </c>
      <c r="B15" s="346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4">
        <f>+P15+R15</f>
        <v>0</v>
      </c>
      <c r="U15" s="345">
        <f t="shared" si="0"/>
      </c>
      <c r="V15" s="870"/>
    </row>
    <row r="16" spans="1:22" ht="12.75">
      <c r="A16" s="296" t="s">
        <v>88</v>
      </c>
      <c r="B16" s="346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4">
        <f>+P16+R16</f>
        <v>0</v>
      </c>
      <c r="U16" s="345">
        <f t="shared" si="0"/>
      </c>
      <c r="V16" s="870"/>
    </row>
    <row r="17" spans="1:22" ht="15" customHeight="1" thickBot="1">
      <c r="A17" s="297"/>
      <c r="B17" s="348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4">
        <f>+P17+R17</f>
        <v>0</v>
      </c>
      <c r="U17" s="345">
        <f t="shared" si="0"/>
      </c>
      <c r="V17" s="870"/>
    </row>
    <row r="18" spans="1:22" ht="13.5" thickBot="1">
      <c r="A18" s="299" t="s">
        <v>90</v>
      </c>
      <c r="B18" s="350">
        <f>B11+SUM(B13:B17)</f>
        <v>145309282</v>
      </c>
      <c r="C18" s="350">
        <f aca="true" t="shared" si="1" ref="C18:S18">C11+SUM(C13:C17)</f>
        <v>145309282</v>
      </c>
      <c r="D18" s="350">
        <f>D11+SUM(D13:D17)</f>
        <v>0</v>
      </c>
      <c r="E18" s="350">
        <f>E11+SUM(E13:E17)</f>
        <v>36327320</v>
      </c>
      <c r="F18" s="350">
        <f t="shared" si="1"/>
        <v>145309282</v>
      </c>
      <c r="G18" s="350">
        <f t="shared" si="1"/>
        <v>108981962</v>
      </c>
      <c r="H18" s="350">
        <f t="shared" si="1"/>
        <v>600000</v>
      </c>
      <c r="I18" s="350">
        <f t="shared" si="1"/>
        <v>600000</v>
      </c>
      <c r="J18" s="350">
        <f t="shared" si="1"/>
        <v>600000</v>
      </c>
      <c r="K18" s="350">
        <f t="shared" si="1"/>
        <v>1122145</v>
      </c>
      <c r="L18" s="350">
        <f t="shared" si="1"/>
        <v>683700</v>
      </c>
      <c r="M18" s="350">
        <f t="shared" si="1"/>
        <v>683700</v>
      </c>
      <c r="N18" s="350"/>
      <c r="O18" s="350">
        <f>O11+SUM(O13:O17)</f>
        <v>36327320</v>
      </c>
      <c r="P18" s="350">
        <f t="shared" si="1"/>
        <v>108981962</v>
      </c>
      <c r="Q18" s="350"/>
      <c r="R18" s="350">
        <f t="shared" si="1"/>
        <v>351743</v>
      </c>
      <c r="S18" s="350">
        <f t="shared" si="1"/>
        <v>683700</v>
      </c>
      <c r="T18" s="350">
        <f>T11+SUM(T13:T17)</f>
        <v>146944725</v>
      </c>
      <c r="U18" s="351">
        <f>IF((C18&lt;&gt;0),ROUND((T18/C18)*100,1),"")</f>
        <v>101.1</v>
      </c>
      <c r="V18" s="870"/>
    </row>
    <row r="19" spans="1:22" ht="12.75">
      <c r="A19" s="300"/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870"/>
    </row>
    <row r="20" spans="1:23" ht="13.5" thickBot="1">
      <c r="A20" s="303" t="s">
        <v>89</v>
      </c>
      <c r="B20" s="304"/>
      <c r="C20" s="305"/>
      <c r="D20" s="305"/>
      <c r="E20" s="305"/>
      <c r="F20" s="305"/>
      <c r="G20" s="305"/>
      <c r="H20" s="305"/>
      <c r="I20" s="780"/>
      <c r="J20" s="780"/>
      <c r="K20" s="780"/>
      <c r="L20" s="305"/>
      <c r="M20" s="305"/>
      <c r="N20" s="305"/>
      <c r="O20" s="305"/>
      <c r="P20" s="305"/>
      <c r="Q20" s="305"/>
      <c r="R20" s="305"/>
      <c r="S20" s="780"/>
      <c r="T20" s="780"/>
      <c r="U20" s="305"/>
      <c r="V20" s="870"/>
      <c r="W20" s="797"/>
    </row>
    <row r="21" spans="1:22" ht="13.5" thickBot="1">
      <c r="A21" s="306" t="s">
        <v>93</v>
      </c>
      <c r="B21" s="353"/>
      <c r="C21" s="353"/>
      <c r="D21" s="354"/>
      <c r="E21" s="355">
        <v>1250000</v>
      </c>
      <c r="F21" s="354">
        <v>1678870</v>
      </c>
      <c r="G21" s="354">
        <v>2400000</v>
      </c>
      <c r="H21" s="781">
        <v>510638</v>
      </c>
      <c r="I21" s="355">
        <v>510638</v>
      </c>
      <c r="J21" s="354">
        <v>600000</v>
      </c>
      <c r="K21" s="782">
        <v>600000</v>
      </c>
      <c r="L21" s="782">
        <v>320600</v>
      </c>
      <c r="M21" s="354">
        <v>320600</v>
      </c>
      <c r="N21" s="354"/>
      <c r="O21" s="354">
        <v>1250000</v>
      </c>
      <c r="P21" s="354">
        <v>1800000</v>
      </c>
      <c r="Q21" s="354"/>
      <c r="R21" s="781">
        <v>336375</v>
      </c>
      <c r="S21" s="781">
        <v>320600</v>
      </c>
      <c r="T21" s="783">
        <f>O21+P21+R21+Q21+S21</f>
        <v>3706975</v>
      </c>
      <c r="U21" s="784">
        <f aca="true" t="shared" si="2" ref="U21:U26">IF((C21&lt;&gt;0),ROUND((T21/C21)*100,1),"")</f>
      </c>
      <c r="V21" s="870"/>
    </row>
    <row r="22" spans="1:22" ht="13.5" thickBot="1">
      <c r="A22" s="307" t="s">
        <v>94</v>
      </c>
      <c r="B22" s="353"/>
      <c r="C22" s="353"/>
      <c r="D22" s="352"/>
      <c r="E22" s="785">
        <v>243750</v>
      </c>
      <c r="F22" s="786">
        <v>327380</v>
      </c>
      <c r="G22" s="786">
        <v>432380</v>
      </c>
      <c r="H22" s="787">
        <v>89362</v>
      </c>
      <c r="I22" s="352">
        <v>89362</v>
      </c>
      <c r="J22" s="352">
        <v>83700</v>
      </c>
      <c r="K22" s="788">
        <v>83700</v>
      </c>
      <c r="L22" s="788">
        <v>55800</v>
      </c>
      <c r="M22" s="352">
        <v>55800</v>
      </c>
      <c r="N22" s="786"/>
      <c r="O22" s="786">
        <v>219375</v>
      </c>
      <c r="P22" s="786">
        <v>308701</v>
      </c>
      <c r="Q22" s="786"/>
      <c r="R22" s="789">
        <v>17792186</v>
      </c>
      <c r="S22" s="789">
        <v>55800</v>
      </c>
      <c r="T22" s="783">
        <f>O22+P22+R22+Q22+S22</f>
        <v>18376062</v>
      </c>
      <c r="U22" s="790">
        <f t="shared" si="2"/>
      </c>
      <c r="V22" s="870"/>
    </row>
    <row r="23" spans="1:22" ht="13.5" thickBot="1">
      <c r="A23" s="307" t="s">
        <v>95</v>
      </c>
      <c r="B23" s="353"/>
      <c r="C23" s="353"/>
      <c r="D23" s="352"/>
      <c r="E23" s="352">
        <v>11510341</v>
      </c>
      <c r="F23" s="352">
        <v>17818892</v>
      </c>
      <c r="G23" s="352">
        <v>18123692</v>
      </c>
      <c r="H23" s="789">
        <v>2426960</v>
      </c>
      <c r="I23" s="352">
        <v>3581460</v>
      </c>
      <c r="J23" s="352">
        <v>934490</v>
      </c>
      <c r="K23" s="788">
        <v>1727790</v>
      </c>
      <c r="L23" s="788"/>
      <c r="M23" s="352"/>
      <c r="N23" s="352">
        <v>1122851</v>
      </c>
      <c r="O23" s="352">
        <v>9429887</v>
      </c>
      <c r="P23" s="352">
        <v>16304950</v>
      </c>
      <c r="Q23" s="352">
        <v>2116900</v>
      </c>
      <c r="R23" s="789">
        <v>6450680</v>
      </c>
      <c r="S23" s="789"/>
      <c r="T23" s="783">
        <f>O23+P23+R23+Q23+S23</f>
        <v>34302417</v>
      </c>
      <c r="U23" s="790">
        <f t="shared" si="2"/>
      </c>
      <c r="V23" s="870"/>
    </row>
    <row r="24" spans="1:22" ht="13.5" thickBot="1">
      <c r="A24" s="307" t="s">
        <v>96</v>
      </c>
      <c r="B24" s="353"/>
      <c r="C24" s="353"/>
      <c r="D24" s="352"/>
      <c r="E24" s="352">
        <v>46041365</v>
      </c>
      <c r="F24" s="352">
        <v>68814684</v>
      </c>
      <c r="G24" s="352">
        <v>69688754</v>
      </c>
      <c r="H24" s="789">
        <v>23325087</v>
      </c>
      <c r="I24" s="352">
        <v>23325087</v>
      </c>
      <c r="J24" s="352">
        <v>23112825</v>
      </c>
      <c r="K24" s="788">
        <v>23112825</v>
      </c>
      <c r="L24" s="788">
        <v>659749</v>
      </c>
      <c r="M24" s="352">
        <v>659749</v>
      </c>
      <c r="N24" s="352"/>
      <c r="O24" s="352">
        <v>44436177</v>
      </c>
      <c r="P24" s="352">
        <v>45463345</v>
      </c>
      <c r="Q24" s="352"/>
      <c r="R24" s="789">
        <v>0</v>
      </c>
      <c r="S24" s="789">
        <v>659749</v>
      </c>
      <c r="T24" s="783">
        <f>O24+P24+R24+Q24+S24</f>
        <v>90559271</v>
      </c>
      <c r="U24" s="790">
        <f t="shared" si="2"/>
      </c>
      <c r="V24" s="870"/>
    </row>
    <row r="25" spans="1:22" ht="13.5" thickBot="1">
      <c r="A25" s="308"/>
      <c r="B25" s="353"/>
      <c r="C25" s="353"/>
      <c r="D25" s="356"/>
      <c r="E25" s="356"/>
      <c r="F25" s="356"/>
      <c r="G25" s="356"/>
      <c r="H25" s="791"/>
      <c r="I25" s="792"/>
      <c r="J25" s="792"/>
      <c r="K25" s="793"/>
      <c r="L25" s="794"/>
      <c r="M25" s="356"/>
      <c r="N25" s="356"/>
      <c r="O25" s="356"/>
      <c r="P25" s="356"/>
      <c r="Q25" s="356"/>
      <c r="R25" s="791"/>
      <c r="S25" s="791"/>
      <c r="T25" s="783">
        <f>O25+P25+R25+Q25+S25</f>
        <v>0</v>
      </c>
      <c r="U25" s="795">
        <f t="shared" si="2"/>
      </c>
      <c r="V25" s="870"/>
    </row>
    <row r="26" spans="1:22" ht="13.5" thickBot="1">
      <c r="A26" s="309" t="s">
        <v>75</v>
      </c>
      <c r="B26" s="357">
        <f aca="true" t="shared" si="3" ref="B26:S26">SUM(B21:B25)</f>
        <v>0</v>
      </c>
      <c r="C26" s="357">
        <f t="shared" si="3"/>
        <v>0</v>
      </c>
      <c r="D26" s="357">
        <f>SUM(D21:D25)</f>
        <v>0</v>
      </c>
      <c r="E26" s="357">
        <f>SUM(E21:E25)</f>
        <v>59045456</v>
      </c>
      <c r="F26" s="357">
        <f t="shared" si="3"/>
        <v>88639826</v>
      </c>
      <c r="G26" s="357">
        <f t="shared" si="3"/>
        <v>90644826</v>
      </c>
      <c r="H26" s="357">
        <f t="shared" si="3"/>
        <v>26352047</v>
      </c>
      <c r="I26" s="357">
        <f t="shared" si="3"/>
        <v>27506547</v>
      </c>
      <c r="J26" s="796">
        <f t="shared" si="3"/>
        <v>24731015</v>
      </c>
      <c r="K26" s="796">
        <f t="shared" si="3"/>
        <v>25524315</v>
      </c>
      <c r="L26" s="357">
        <f t="shared" si="3"/>
        <v>1036149</v>
      </c>
      <c r="M26" s="357">
        <f t="shared" si="3"/>
        <v>1036149</v>
      </c>
      <c r="N26" s="357">
        <f>SUM(N21:N25)</f>
        <v>1122851</v>
      </c>
      <c r="O26" s="357">
        <f>SUM(O21:O25)</f>
        <v>55335439</v>
      </c>
      <c r="P26" s="357">
        <f t="shared" si="3"/>
        <v>63876996</v>
      </c>
      <c r="Q26" s="357">
        <f t="shared" si="3"/>
        <v>2116900</v>
      </c>
      <c r="R26" s="357">
        <f t="shared" si="3"/>
        <v>24579241</v>
      </c>
      <c r="S26" s="357">
        <f t="shared" si="3"/>
        <v>1036149</v>
      </c>
      <c r="T26" s="796">
        <f>SUM(T21:T25)</f>
        <v>146944725</v>
      </c>
      <c r="U26" s="358">
        <f t="shared" si="2"/>
      </c>
      <c r="V26" s="870"/>
    </row>
    <row r="27" spans="1:22" ht="12.75">
      <c r="A27" s="885" t="s">
        <v>505</v>
      </c>
      <c r="B27" s="885"/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5"/>
      <c r="V27" s="870"/>
    </row>
    <row r="28" spans="1:22" ht="5.2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870"/>
    </row>
    <row r="29" spans="1:22" ht="15">
      <c r="A29" s="902" t="str">
        <f>+CONCATENATE("Önkormányzaton kívüli EU-s projekthez történő hozzájárulás ",LEFT('[2]Z_ÖSSZEFÜGGÉSEK'!A6,4),". XII. 31.  előirányzata és teljesítése")</f>
        <v>Önkormányzaton kívüli EU-s projekthez történő hozzájárulás 2021. XII. 31.  előirányzata és teljesítése</v>
      </c>
      <c r="B29" s="902"/>
      <c r="C29" s="902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02"/>
      <c r="V29" s="870"/>
    </row>
    <row r="30" spans="1:22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86" t="str">
        <f>T5</f>
        <v> Forintban!</v>
      </c>
      <c r="U30" s="886"/>
      <c r="V30" s="870"/>
    </row>
    <row r="31" spans="1:22" ht="13.5" thickBot="1">
      <c r="A31" s="893" t="s">
        <v>91</v>
      </c>
      <c r="B31" s="894"/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708"/>
      <c r="R31" s="311" t="s">
        <v>456</v>
      </c>
      <c r="S31" s="311"/>
      <c r="T31" s="311" t="s">
        <v>457</v>
      </c>
      <c r="U31" s="311" t="s">
        <v>449</v>
      </c>
      <c r="V31" s="870"/>
    </row>
    <row r="32" spans="1:22" ht="12.75">
      <c r="A32" s="895"/>
      <c r="B32" s="896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709"/>
      <c r="R32" s="294"/>
      <c r="S32" s="312"/>
      <c r="T32" s="312"/>
      <c r="U32" s="312"/>
      <c r="V32" s="870"/>
    </row>
    <row r="33" spans="1:22" ht="13.5" thickBot="1">
      <c r="A33" s="866"/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707"/>
      <c r="R33" s="313"/>
      <c r="S33" s="298"/>
      <c r="T33" s="298"/>
      <c r="U33" s="298"/>
      <c r="V33" s="870"/>
    </row>
    <row r="34" spans="1:22" ht="13.5" thickBot="1">
      <c r="A34" s="868" t="s">
        <v>504</v>
      </c>
      <c r="B34" s="869"/>
      <c r="C34" s="869"/>
      <c r="D34" s="869"/>
      <c r="E34" s="869"/>
      <c r="F34" s="869"/>
      <c r="G34" s="869"/>
      <c r="H34" s="869"/>
      <c r="I34" s="869"/>
      <c r="J34" s="869"/>
      <c r="K34" s="869"/>
      <c r="L34" s="869"/>
      <c r="M34" s="869"/>
      <c r="N34" s="869"/>
      <c r="O34" s="869"/>
      <c r="P34" s="869"/>
      <c r="Q34" s="706"/>
      <c r="R34" s="314">
        <f>SUM(R32:R33)</f>
        <v>0</v>
      </c>
      <c r="S34" s="314"/>
      <c r="T34" s="314">
        <f>SUM(T32:T33)</f>
        <v>0</v>
      </c>
      <c r="U34" s="314">
        <f>SUM(U32:U33)</f>
        <v>0</v>
      </c>
      <c r="V34" s="870"/>
    </row>
    <row r="35" ht="12.75">
      <c r="V35" s="870"/>
    </row>
    <row r="50" ht="12.75">
      <c r="A50" s="32"/>
    </row>
  </sheetData>
  <sheetProtection/>
  <mergeCells count="26">
    <mergeCell ref="A31:P31"/>
    <mergeCell ref="A32:P32"/>
    <mergeCell ref="A4:C4"/>
    <mergeCell ref="B7:B8"/>
    <mergeCell ref="B9:C9"/>
    <mergeCell ref="A1:U1"/>
    <mergeCell ref="A2:U2"/>
    <mergeCell ref="A3:U3"/>
    <mergeCell ref="F4:U4"/>
    <mergeCell ref="A29:U29"/>
    <mergeCell ref="T30:U30"/>
    <mergeCell ref="A6:A9"/>
    <mergeCell ref="H9:I9"/>
    <mergeCell ref="D9:E9"/>
    <mergeCell ref="C7:C8"/>
    <mergeCell ref="F9:G9"/>
    <mergeCell ref="A33:P33"/>
    <mergeCell ref="A34:P34"/>
    <mergeCell ref="V4:V35"/>
    <mergeCell ref="T5:U5"/>
    <mergeCell ref="B6:M6"/>
    <mergeCell ref="O6:U8"/>
    <mergeCell ref="F7:M7"/>
    <mergeCell ref="J9:K9"/>
    <mergeCell ref="L9:M9"/>
    <mergeCell ref="A27:U2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0"/>
  <sheetViews>
    <sheetView zoomScale="120" zoomScaleNormal="120" zoomScaleSheetLayoutView="100" workbookViewId="0" topLeftCell="A118">
      <selection activeCell="G146" sqref="G146"/>
    </sheetView>
  </sheetViews>
  <sheetFormatPr defaultColWidth="9.375" defaultRowHeight="12.75"/>
  <cols>
    <col min="1" max="1" width="16.125" style="161" customWidth="1"/>
    <col min="2" max="2" width="63.75390625" style="162" customWidth="1"/>
    <col min="3" max="3" width="14.125" style="163" customWidth="1"/>
    <col min="4" max="5" width="14.125" style="2" customWidth="1"/>
    <col min="6" max="6" width="9.375" style="2" customWidth="1"/>
    <col min="7" max="7" width="11.50390625" style="2" bestFit="1" customWidth="1"/>
    <col min="8" max="16384" width="9.375" style="2" customWidth="1"/>
  </cols>
  <sheetData>
    <row r="1" spans="1:5" s="1" customFormat="1" ht="16.5" customHeight="1" thickBot="1">
      <c r="A1" s="379"/>
      <c r="B1" s="907" t="str">
        <f>CONCATENATE("10. melléklet ",Z_ALAPADATOK!A7," ",Z_ALAPADATOK!B7," ",Z_ALAPADATOK!C7," ",Z_ALAPADATOK!D7," ",Z_ALAPADATOK!E7," ",Z_ALAPADATOK!F7," ",Z_ALAPADATOK!G7," ",Z_ALAPADATOK!H7)</f>
        <v>10. melléklet a  / 2023. ( V…... ) önkormányzati rendelethez</v>
      </c>
      <c r="C1" s="908"/>
      <c r="D1" s="908"/>
      <c r="E1" s="908"/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3.25" thickBot="1">
      <c r="A3" s="388" t="s">
        <v>137</v>
      </c>
      <c r="B3" s="906" t="s">
        <v>307</v>
      </c>
      <c r="C3" s="906"/>
      <c r="D3" s="906"/>
      <c r="E3" s="390" t="s">
        <v>39</v>
      </c>
    </row>
    <row r="4" spans="1:5" s="51" customFormat="1" ht="15.75" customHeight="1" thickBot="1">
      <c r="A4" s="382"/>
      <c r="B4" s="382"/>
      <c r="C4" s="383"/>
      <c r="D4" s="384"/>
      <c r="E4" s="393" t="str">
        <f>8!G4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+CONCATENATE("Teljesítés",CHAR(10),LEFT(Z_ÖSSZEFÜGGÉSEK!A6,4),". XII. 31.")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+C9+C10+C11+C12+C13+C15+C14</f>
        <v>124238073</v>
      </c>
      <c r="D8" s="255">
        <f>+D9+D10+D11+D12+D13+D15+D14</f>
        <v>153956476</v>
      </c>
      <c r="E8" s="104">
        <f>+E9+E10+E11+E12+E13+E15+E14</f>
        <v>153956476</v>
      </c>
    </row>
    <row r="9" spans="1:5" s="52" customFormat="1" ht="12" customHeight="1">
      <c r="A9" s="198" t="s">
        <v>64</v>
      </c>
      <c r="B9" s="181" t="s">
        <v>165</v>
      </c>
      <c r="C9" s="685">
        <v>34249830</v>
      </c>
      <c r="D9" s="245">
        <v>34249830</v>
      </c>
      <c r="E9" s="687">
        <v>34249830</v>
      </c>
    </row>
    <row r="10" spans="1:5" s="53" customFormat="1" ht="12" customHeight="1">
      <c r="A10" s="199" t="s">
        <v>65</v>
      </c>
      <c r="B10" s="182" t="s">
        <v>166</v>
      </c>
      <c r="C10" s="681">
        <v>44591080</v>
      </c>
      <c r="D10" s="169">
        <v>45864660</v>
      </c>
      <c r="E10" s="679">
        <v>45864660</v>
      </c>
    </row>
    <row r="11" spans="1:5" s="53" customFormat="1" ht="12" customHeight="1">
      <c r="A11" s="199" t="s">
        <v>66</v>
      </c>
      <c r="B11" s="182" t="s">
        <v>167</v>
      </c>
      <c r="C11" s="681">
        <v>10296930</v>
      </c>
      <c r="D11" s="169">
        <v>11814946</v>
      </c>
      <c r="E11" s="679">
        <v>11814946</v>
      </c>
    </row>
    <row r="12" spans="1:5" s="53" customFormat="1" ht="12" customHeight="1">
      <c r="A12" s="199" t="s">
        <v>67</v>
      </c>
      <c r="B12" s="182" t="s">
        <v>726</v>
      </c>
      <c r="C12" s="681">
        <v>27935896</v>
      </c>
      <c r="D12" s="169">
        <v>24358789</v>
      </c>
      <c r="E12" s="679">
        <v>24358789</v>
      </c>
    </row>
    <row r="13" spans="1:5" s="53" customFormat="1" ht="12" customHeight="1">
      <c r="A13" s="199" t="s">
        <v>99</v>
      </c>
      <c r="B13" s="182" t="s">
        <v>168</v>
      </c>
      <c r="C13" s="681">
        <v>3248684</v>
      </c>
      <c r="D13" s="169">
        <v>3248684</v>
      </c>
      <c r="E13" s="679">
        <v>3248684</v>
      </c>
    </row>
    <row r="14" spans="1:5" s="53" customFormat="1" ht="12" customHeight="1">
      <c r="A14" s="199" t="s">
        <v>68</v>
      </c>
      <c r="B14" s="182" t="s">
        <v>397</v>
      </c>
      <c r="C14" s="681">
        <v>3915653</v>
      </c>
      <c r="D14" s="169">
        <v>26065958</v>
      </c>
      <c r="E14" s="679">
        <v>26065958</v>
      </c>
    </row>
    <row r="15" spans="1:5" s="52" customFormat="1" ht="12" customHeight="1" thickBot="1">
      <c r="A15" s="199" t="s">
        <v>69</v>
      </c>
      <c r="B15" s="427" t="s">
        <v>727</v>
      </c>
      <c r="C15" s="169"/>
      <c r="D15" s="257">
        <v>8353609</v>
      </c>
      <c r="E15" s="688">
        <v>8353609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19409000</v>
      </c>
      <c r="D16" s="255">
        <f>+D17+D18+D19+D20+D21</f>
        <v>27407725</v>
      </c>
      <c r="E16" s="104">
        <f>+E17+E18+E19+E20+E21</f>
        <v>28419686</v>
      </c>
    </row>
    <row r="17" spans="1:5" s="52" customFormat="1" ht="12" customHeight="1">
      <c r="A17" s="198" t="s">
        <v>70</v>
      </c>
      <c r="B17" s="181" t="s">
        <v>170</v>
      </c>
      <c r="C17" s="170"/>
      <c r="D17" s="256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7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7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7"/>
      <c r="E20" s="105"/>
    </row>
    <row r="21" spans="1:5" s="52" customFormat="1" ht="12" customHeight="1">
      <c r="A21" s="199" t="s">
        <v>74</v>
      </c>
      <c r="B21" s="182" t="s">
        <v>172</v>
      </c>
      <c r="C21" s="681">
        <v>19409000</v>
      </c>
      <c r="D21" s="169">
        <v>27407725</v>
      </c>
      <c r="E21" s="105">
        <v>28419686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8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0</v>
      </c>
      <c r="D23" s="255">
        <f>+D24+D25+D26+D27+D28</f>
        <v>22563364</v>
      </c>
      <c r="E23" s="104">
        <f>+E24+E25+E26+E27+E28</f>
        <v>22563364</v>
      </c>
    </row>
    <row r="24" spans="1:5" s="53" customFormat="1" ht="12" customHeight="1">
      <c r="A24" s="198" t="s">
        <v>53</v>
      </c>
      <c r="B24" s="181" t="s">
        <v>175</v>
      </c>
      <c r="C24" s="170"/>
      <c r="D24" s="256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7"/>
      <c r="E25" s="105"/>
    </row>
    <row r="26" spans="1:5" s="53" customFormat="1" ht="12" customHeight="1">
      <c r="A26" s="199" t="s">
        <v>55</v>
      </c>
      <c r="B26" s="182" t="s">
        <v>331</v>
      </c>
      <c r="C26" s="169"/>
      <c r="D26" s="257"/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7"/>
      <c r="E27" s="105"/>
    </row>
    <row r="28" spans="1:5" s="53" customFormat="1" ht="12" customHeight="1">
      <c r="A28" s="199" t="s">
        <v>112</v>
      </c>
      <c r="B28" s="182" t="s">
        <v>177</v>
      </c>
      <c r="C28" s="169"/>
      <c r="D28" s="257">
        <v>22563364</v>
      </c>
      <c r="E28" s="105">
        <v>22563364</v>
      </c>
    </row>
    <row r="29" spans="1:5" s="53" customFormat="1" ht="12" customHeight="1" thickBot="1">
      <c r="A29" s="200" t="s">
        <v>113</v>
      </c>
      <c r="B29" s="183" t="s">
        <v>178</v>
      </c>
      <c r="C29" s="171"/>
      <c r="D29" s="258"/>
      <c r="E29" s="107"/>
    </row>
    <row r="30" spans="1:5" s="53" customFormat="1" ht="12" customHeight="1" thickBot="1">
      <c r="A30" s="25" t="s">
        <v>114</v>
      </c>
      <c r="B30" s="19" t="s">
        <v>483</v>
      </c>
      <c r="C30" s="174">
        <f>SUM(C31:C38)</f>
        <v>181442270</v>
      </c>
      <c r="D30" s="174">
        <f>SUM(D31:D38)</f>
        <v>181442270</v>
      </c>
      <c r="E30" s="210">
        <f>SUM(E31:E38)</f>
        <v>251952188</v>
      </c>
    </row>
    <row r="31" spans="1:5" s="53" customFormat="1" ht="12" customHeight="1">
      <c r="A31" s="198" t="s">
        <v>179</v>
      </c>
      <c r="B31" s="181" t="s">
        <v>484</v>
      </c>
      <c r="C31" s="680">
        <v>127000000</v>
      </c>
      <c r="D31" s="692">
        <v>127000000</v>
      </c>
      <c r="E31" s="106">
        <v>137920864</v>
      </c>
    </row>
    <row r="32" spans="1:5" s="53" customFormat="1" ht="12" customHeight="1">
      <c r="A32" s="198" t="s">
        <v>180</v>
      </c>
      <c r="B32" s="182" t="s">
        <v>728</v>
      </c>
      <c r="C32" s="681">
        <v>150000</v>
      </c>
      <c r="D32" s="169">
        <v>150000</v>
      </c>
      <c r="E32" s="105">
        <v>129000</v>
      </c>
    </row>
    <row r="33" spans="1:5" s="53" customFormat="1" ht="12" customHeight="1">
      <c r="A33" s="199" t="s">
        <v>181</v>
      </c>
      <c r="B33" s="182" t="s">
        <v>729</v>
      </c>
      <c r="C33" s="681">
        <v>10000000</v>
      </c>
      <c r="D33" s="169">
        <v>10000000</v>
      </c>
      <c r="E33" s="105">
        <v>15667834</v>
      </c>
    </row>
    <row r="34" spans="1:5" s="53" customFormat="1" ht="12" customHeight="1">
      <c r="A34" s="199" t="s">
        <v>182</v>
      </c>
      <c r="B34" s="182" t="s">
        <v>486</v>
      </c>
      <c r="C34" s="681">
        <v>35000000</v>
      </c>
      <c r="D34" s="169">
        <v>35000000</v>
      </c>
      <c r="E34" s="105">
        <v>71595099</v>
      </c>
    </row>
    <row r="35" spans="1:5" s="53" customFormat="1" ht="12" customHeight="1">
      <c r="A35" s="199" t="s">
        <v>488</v>
      </c>
      <c r="B35" s="182" t="s">
        <v>730</v>
      </c>
      <c r="C35" s="681">
        <v>3442270</v>
      </c>
      <c r="D35" s="169">
        <v>3442270</v>
      </c>
      <c r="E35" s="105">
        <v>7138892</v>
      </c>
    </row>
    <row r="36" spans="1:5" s="53" customFormat="1" ht="12" customHeight="1">
      <c r="A36" s="199" t="s">
        <v>489</v>
      </c>
      <c r="B36" s="182" t="s">
        <v>731</v>
      </c>
      <c r="C36" s="681">
        <v>5000000</v>
      </c>
      <c r="D36" s="169">
        <v>5000000</v>
      </c>
      <c r="E36" s="105">
        <v>17813200</v>
      </c>
    </row>
    <row r="37" spans="1:5" s="53" customFormat="1" ht="12" customHeight="1">
      <c r="A37" s="199" t="s">
        <v>490</v>
      </c>
      <c r="B37" s="686" t="s">
        <v>487</v>
      </c>
      <c r="C37" s="169">
        <v>200000</v>
      </c>
      <c r="D37" s="169">
        <v>200000</v>
      </c>
      <c r="E37" s="107">
        <v>846000</v>
      </c>
    </row>
    <row r="38" spans="1:5" s="53" customFormat="1" ht="12" customHeight="1" thickBot="1">
      <c r="A38" s="200" t="s">
        <v>732</v>
      </c>
      <c r="B38" s="678" t="s">
        <v>733</v>
      </c>
      <c r="C38" s="683">
        <v>650000</v>
      </c>
      <c r="D38" s="693">
        <v>650000</v>
      </c>
      <c r="E38" s="107">
        <v>841299</v>
      </c>
    </row>
    <row r="39" spans="1:5" s="53" customFormat="1" ht="12" customHeight="1" thickBot="1">
      <c r="A39" s="25" t="s">
        <v>10</v>
      </c>
      <c r="B39" s="19" t="s">
        <v>339</v>
      </c>
      <c r="C39" s="168">
        <f>SUM(C40:C50)</f>
        <v>17199995</v>
      </c>
      <c r="D39" s="255">
        <f>SUM(D40:D50)</f>
        <v>23350867</v>
      </c>
      <c r="E39" s="104">
        <f>SUM(E40:E50)</f>
        <v>27794945</v>
      </c>
    </row>
    <row r="40" spans="1:5" s="53" customFormat="1" ht="12" customHeight="1">
      <c r="A40" s="198" t="s">
        <v>57</v>
      </c>
      <c r="B40" s="181" t="s">
        <v>188</v>
      </c>
      <c r="C40" s="170"/>
      <c r="D40" s="256"/>
      <c r="E40" s="106"/>
    </row>
    <row r="41" spans="1:5" s="53" customFormat="1" ht="12" customHeight="1">
      <c r="A41" s="199" t="s">
        <v>58</v>
      </c>
      <c r="B41" s="182" t="s">
        <v>189</v>
      </c>
      <c r="C41" s="681">
        <v>11716082</v>
      </c>
      <c r="D41" s="169">
        <v>16153333</v>
      </c>
      <c r="E41" s="105">
        <v>19240426</v>
      </c>
    </row>
    <row r="42" spans="1:5" s="53" customFormat="1" ht="12" customHeight="1">
      <c r="A42" s="199" t="s">
        <v>59</v>
      </c>
      <c r="B42" s="182" t="s">
        <v>190</v>
      </c>
      <c r="C42" s="681">
        <v>446664</v>
      </c>
      <c r="D42" s="169">
        <v>446664</v>
      </c>
      <c r="E42" s="105">
        <v>460057</v>
      </c>
    </row>
    <row r="43" spans="1:5" s="53" customFormat="1" ht="12" customHeight="1">
      <c r="A43" s="199" t="s">
        <v>116</v>
      </c>
      <c r="B43" s="182" t="s">
        <v>191</v>
      </c>
      <c r="C43" s="681">
        <v>2500000</v>
      </c>
      <c r="D43" s="169">
        <v>2500000</v>
      </c>
      <c r="E43" s="105">
        <v>2606165</v>
      </c>
    </row>
    <row r="44" spans="1:5" s="53" customFormat="1" ht="12" customHeight="1">
      <c r="A44" s="199" t="s">
        <v>117</v>
      </c>
      <c r="B44" s="182" t="s">
        <v>192</v>
      </c>
      <c r="C44" s="681"/>
      <c r="D44" s="169"/>
      <c r="E44" s="105"/>
    </row>
    <row r="45" spans="1:5" s="53" customFormat="1" ht="12" customHeight="1">
      <c r="A45" s="199" t="s">
        <v>118</v>
      </c>
      <c r="B45" s="182" t="s">
        <v>193</v>
      </c>
      <c r="C45" s="681">
        <v>2527249</v>
      </c>
      <c r="D45" s="169">
        <v>4240870</v>
      </c>
      <c r="E45" s="105">
        <v>4539225</v>
      </c>
    </row>
    <row r="46" spans="1:5" s="53" customFormat="1" ht="12" customHeight="1">
      <c r="A46" s="199" t="s">
        <v>119</v>
      </c>
      <c r="B46" s="182" t="s">
        <v>194</v>
      </c>
      <c r="C46" s="681"/>
      <c r="D46" s="169"/>
      <c r="E46" s="105"/>
    </row>
    <row r="47" spans="1:5" s="53" customFormat="1" ht="12" customHeight="1">
      <c r="A47" s="199" t="s">
        <v>120</v>
      </c>
      <c r="B47" s="182" t="s">
        <v>491</v>
      </c>
      <c r="C47" s="681">
        <v>10000</v>
      </c>
      <c r="D47" s="169">
        <v>10000</v>
      </c>
      <c r="E47" s="105">
        <v>280</v>
      </c>
    </row>
    <row r="48" spans="1:5" s="53" customFormat="1" ht="12" customHeight="1">
      <c r="A48" s="199" t="s">
        <v>186</v>
      </c>
      <c r="B48" s="182" t="s">
        <v>196</v>
      </c>
      <c r="C48" s="684"/>
      <c r="D48" s="172"/>
      <c r="E48" s="108">
        <v>4688</v>
      </c>
    </row>
    <row r="49" spans="1:5" s="53" customFormat="1" ht="12" customHeight="1">
      <c r="A49" s="200" t="s">
        <v>187</v>
      </c>
      <c r="B49" s="183" t="s">
        <v>341</v>
      </c>
      <c r="C49" s="173"/>
      <c r="D49" s="317"/>
      <c r="E49" s="109"/>
    </row>
    <row r="50" spans="1:5" s="53" customFormat="1" ht="12" customHeight="1" thickBot="1">
      <c r="A50" s="200" t="s">
        <v>340</v>
      </c>
      <c r="B50" s="183" t="s">
        <v>197</v>
      </c>
      <c r="C50" s="173"/>
      <c r="D50" s="317"/>
      <c r="E50" s="109">
        <v>944104</v>
      </c>
    </row>
    <row r="51" spans="1:5" s="53" customFormat="1" ht="12" customHeight="1" thickBot="1">
      <c r="A51" s="25" t="s">
        <v>11</v>
      </c>
      <c r="B51" s="19" t="s">
        <v>198</v>
      </c>
      <c r="C51" s="168">
        <f>SUM(C52:C56)</f>
        <v>0</v>
      </c>
      <c r="D51" s="255">
        <f>SUM(D52:D56)</f>
        <v>0</v>
      </c>
      <c r="E51" s="104">
        <f>SUM(E52:E56)</f>
        <v>0</v>
      </c>
    </row>
    <row r="52" spans="1:5" s="53" customFormat="1" ht="12" customHeight="1">
      <c r="A52" s="198" t="s">
        <v>60</v>
      </c>
      <c r="B52" s="181" t="s">
        <v>202</v>
      </c>
      <c r="C52" s="221"/>
      <c r="D52" s="318"/>
      <c r="E52" s="110"/>
    </row>
    <row r="53" spans="1:5" s="53" customFormat="1" ht="12" customHeight="1">
      <c r="A53" s="199" t="s">
        <v>61</v>
      </c>
      <c r="B53" s="182" t="s">
        <v>203</v>
      </c>
      <c r="C53" s="172"/>
      <c r="D53" s="316"/>
      <c r="E53" s="108"/>
    </row>
    <row r="54" spans="1:5" s="53" customFormat="1" ht="12" customHeight="1">
      <c r="A54" s="199" t="s">
        <v>199</v>
      </c>
      <c r="B54" s="182" t="s">
        <v>204</v>
      </c>
      <c r="C54" s="172"/>
      <c r="D54" s="316"/>
      <c r="E54" s="108"/>
    </row>
    <row r="55" spans="1:5" s="53" customFormat="1" ht="12" customHeight="1">
      <c r="A55" s="199" t="s">
        <v>200</v>
      </c>
      <c r="B55" s="182" t="s">
        <v>205</v>
      </c>
      <c r="C55" s="172"/>
      <c r="D55" s="316"/>
      <c r="E55" s="108"/>
    </row>
    <row r="56" spans="1:5" s="53" customFormat="1" ht="12" customHeight="1" thickBot="1">
      <c r="A56" s="200" t="s">
        <v>201</v>
      </c>
      <c r="B56" s="183" t="s">
        <v>206</v>
      </c>
      <c r="C56" s="173"/>
      <c r="D56" s="317"/>
      <c r="E56" s="109"/>
    </row>
    <row r="57" spans="1:5" s="53" customFormat="1" ht="12" customHeight="1" thickBot="1">
      <c r="A57" s="25" t="s">
        <v>121</v>
      </c>
      <c r="B57" s="19" t="s">
        <v>207</v>
      </c>
      <c r="C57" s="168">
        <f>SUM(C58:C60)</f>
        <v>0</v>
      </c>
      <c r="D57" s="255">
        <f>SUM(D58:D60)</f>
        <v>1000000</v>
      </c>
      <c r="E57" s="104">
        <f>SUM(E58:E60)</f>
        <v>1000000</v>
      </c>
    </row>
    <row r="58" spans="1:5" s="53" customFormat="1" ht="12" customHeight="1">
      <c r="A58" s="198" t="s">
        <v>62</v>
      </c>
      <c r="B58" s="181" t="s">
        <v>208</v>
      </c>
      <c r="C58" s="170"/>
      <c r="D58" s="256"/>
      <c r="E58" s="106"/>
    </row>
    <row r="59" spans="1:5" s="53" customFormat="1" ht="12" customHeight="1">
      <c r="A59" s="199" t="s">
        <v>63</v>
      </c>
      <c r="B59" s="182" t="s">
        <v>333</v>
      </c>
      <c r="C59" s="169"/>
      <c r="D59" s="257"/>
      <c r="E59" s="105"/>
    </row>
    <row r="60" spans="1:5" s="53" customFormat="1" ht="12" customHeight="1">
      <c r="A60" s="199" t="s">
        <v>211</v>
      </c>
      <c r="B60" s="182" t="s">
        <v>209</v>
      </c>
      <c r="C60" s="169"/>
      <c r="D60" s="257">
        <v>1000000</v>
      </c>
      <c r="E60" s="105">
        <v>1000000</v>
      </c>
    </row>
    <row r="61" spans="1:5" s="53" customFormat="1" ht="12" customHeight="1" thickBot="1">
      <c r="A61" s="200" t="s">
        <v>212</v>
      </c>
      <c r="B61" s="183" t="s">
        <v>210</v>
      </c>
      <c r="C61" s="171"/>
      <c r="D61" s="258"/>
      <c r="E61" s="107"/>
    </row>
    <row r="62" spans="1:5" s="53" customFormat="1" ht="12" customHeight="1" thickBot="1">
      <c r="A62" s="25" t="s">
        <v>13</v>
      </c>
      <c r="B62" s="111" t="s">
        <v>213</v>
      </c>
      <c r="C62" s="168">
        <f>SUM(C63:C65)</f>
        <v>372742</v>
      </c>
      <c r="D62" s="255">
        <f>SUM(D63:D65)</f>
        <v>372742</v>
      </c>
      <c r="E62" s="104">
        <f>SUM(E63:E65)</f>
        <v>462242</v>
      </c>
    </row>
    <row r="63" spans="1:5" s="53" customFormat="1" ht="12" customHeight="1">
      <c r="A63" s="198" t="s">
        <v>122</v>
      </c>
      <c r="B63" s="181" t="s">
        <v>215</v>
      </c>
      <c r="C63" s="172"/>
      <c r="D63" s="316"/>
      <c r="E63" s="108"/>
    </row>
    <row r="64" spans="1:5" s="53" customFormat="1" ht="12" customHeight="1">
      <c r="A64" s="199" t="s">
        <v>123</v>
      </c>
      <c r="B64" s="182" t="s">
        <v>334</v>
      </c>
      <c r="C64" s="172">
        <v>372742</v>
      </c>
      <c r="D64" s="316">
        <v>372742</v>
      </c>
      <c r="E64" s="108">
        <v>462242</v>
      </c>
    </row>
    <row r="65" spans="1:5" s="53" customFormat="1" ht="12" customHeight="1">
      <c r="A65" s="199" t="s">
        <v>146</v>
      </c>
      <c r="B65" s="182" t="s">
        <v>216</v>
      </c>
      <c r="C65" s="172"/>
      <c r="D65" s="316"/>
      <c r="E65" s="108"/>
    </row>
    <row r="66" spans="1:5" s="53" customFormat="1" ht="12" customHeight="1" thickBot="1">
      <c r="A66" s="200" t="s">
        <v>214</v>
      </c>
      <c r="B66" s="183" t="s">
        <v>217</v>
      </c>
      <c r="C66" s="172"/>
      <c r="D66" s="316"/>
      <c r="E66" s="108"/>
    </row>
    <row r="67" spans="1:5" s="53" customFormat="1" ht="12" customHeight="1" thickBot="1">
      <c r="A67" s="25" t="s">
        <v>14</v>
      </c>
      <c r="B67" s="19" t="s">
        <v>218</v>
      </c>
      <c r="C67" s="174">
        <f>+C8+C16+C23+C30+C39+C51+C57+C62</f>
        <v>342662080</v>
      </c>
      <c r="D67" s="259">
        <f>+D8+D16+D23+D30+D39+D51+D57+D62</f>
        <v>410093444</v>
      </c>
      <c r="E67" s="210">
        <f>+E8+E16+E23+E30+E39+E51+E57+E62</f>
        <v>486148901</v>
      </c>
    </row>
    <row r="68" spans="1:5" s="53" customFormat="1" ht="12" customHeight="1" thickBot="1">
      <c r="A68" s="201" t="s">
        <v>303</v>
      </c>
      <c r="B68" s="111" t="s">
        <v>220</v>
      </c>
      <c r="C68" s="168">
        <f>SUM(C69:C71)</f>
        <v>0</v>
      </c>
      <c r="D68" s="255">
        <f>SUM(D69:D71)</f>
        <v>0</v>
      </c>
      <c r="E68" s="104">
        <f>SUM(E69:E71)</f>
        <v>0</v>
      </c>
    </row>
    <row r="69" spans="1:5" s="53" customFormat="1" ht="12" customHeight="1">
      <c r="A69" s="198" t="s">
        <v>248</v>
      </c>
      <c r="B69" s="181" t="s">
        <v>221</v>
      </c>
      <c r="C69" s="172"/>
      <c r="D69" s="316"/>
      <c r="E69" s="108"/>
    </row>
    <row r="70" spans="1:5" s="53" customFormat="1" ht="12" customHeight="1">
      <c r="A70" s="199" t="s">
        <v>257</v>
      </c>
      <c r="B70" s="182" t="s">
        <v>222</v>
      </c>
      <c r="C70" s="172"/>
      <c r="D70" s="316"/>
      <c r="E70" s="108"/>
    </row>
    <row r="71" spans="1:5" s="53" customFormat="1" ht="12" customHeight="1" thickBot="1">
      <c r="A71" s="208" t="s">
        <v>258</v>
      </c>
      <c r="B71" s="376" t="s">
        <v>366</v>
      </c>
      <c r="C71" s="377"/>
      <c r="D71" s="319"/>
      <c r="E71" s="378"/>
    </row>
    <row r="72" spans="1:5" s="53" customFormat="1" ht="12" customHeight="1" thickBot="1">
      <c r="A72" s="201" t="s">
        <v>224</v>
      </c>
      <c r="B72" s="111" t="s">
        <v>225</v>
      </c>
      <c r="C72" s="168">
        <f>SUM(C73:C76)</f>
        <v>0</v>
      </c>
      <c r="D72" s="168">
        <f>SUM(D73:D76)</f>
        <v>0</v>
      </c>
      <c r="E72" s="104">
        <f>SUM(E73:E76)</f>
        <v>0</v>
      </c>
    </row>
    <row r="73" spans="1:5" s="53" customFormat="1" ht="12" customHeight="1">
      <c r="A73" s="198" t="s">
        <v>100</v>
      </c>
      <c r="B73" s="359" t="s">
        <v>226</v>
      </c>
      <c r="C73" s="172"/>
      <c r="D73" s="172"/>
      <c r="E73" s="108"/>
    </row>
    <row r="74" spans="1:5" s="53" customFormat="1" ht="12" customHeight="1">
      <c r="A74" s="199" t="s">
        <v>101</v>
      </c>
      <c r="B74" s="359" t="s">
        <v>498</v>
      </c>
      <c r="C74" s="172"/>
      <c r="D74" s="172"/>
      <c r="E74" s="108"/>
    </row>
    <row r="75" spans="1:5" s="53" customFormat="1" ht="12" customHeight="1">
      <c r="A75" s="199" t="s">
        <v>249</v>
      </c>
      <c r="B75" s="359" t="s">
        <v>227</v>
      </c>
      <c r="C75" s="172"/>
      <c r="D75" s="172"/>
      <c r="E75" s="108"/>
    </row>
    <row r="76" spans="1:5" s="53" customFormat="1" ht="12" customHeight="1" thickBot="1">
      <c r="A76" s="200" t="s">
        <v>250</v>
      </c>
      <c r="B76" s="360" t="s">
        <v>499</v>
      </c>
      <c r="C76" s="172"/>
      <c r="D76" s="172"/>
      <c r="E76" s="108"/>
    </row>
    <row r="77" spans="1:5" s="53" customFormat="1" ht="12" customHeight="1" thickBot="1">
      <c r="A77" s="201" t="s">
        <v>228</v>
      </c>
      <c r="B77" s="111" t="s">
        <v>229</v>
      </c>
      <c r="C77" s="168">
        <f>SUM(C78:C79)</f>
        <v>231000000</v>
      </c>
      <c r="D77" s="168">
        <f>SUM(D78:D79)</f>
        <v>257888464</v>
      </c>
      <c r="E77" s="104">
        <f>SUM(E78:E79)</f>
        <v>257888464</v>
      </c>
    </row>
    <row r="78" spans="1:5" s="53" customFormat="1" ht="12" customHeight="1">
      <c r="A78" s="198" t="s">
        <v>251</v>
      </c>
      <c r="B78" s="181" t="s">
        <v>230</v>
      </c>
      <c r="C78" s="684">
        <v>231000000</v>
      </c>
      <c r="D78" s="694">
        <v>257888464</v>
      </c>
      <c r="E78" s="108">
        <v>257888464</v>
      </c>
    </row>
    <row r="79" spans="1:5" s="53" customFormat="1" ht="12" customHeight="1" thickBot="1">
      <c r="A79" s="200" t="s">
        <v>252</v>
      </c>
      <c r="B79" s="183" t="s">
        <v>231</v>
      </c>
      <c r="C79" s="172"/>
      <c r="D79" s="172"/>
      <c r="E79" s="108"/>
    </row>
    <row r="80" spans="1:5" s="52" customFormat="1" ht="12" customHeight="1" thickBot="1">
      <c r="A80" s="201" t="s">
        <v>232</v>
      </c>
      <c r="B80" s="111" t="s">
        <v>233</v>
      </c>
      <c r="C80" s="168">
        <f>SUM(C81:C83)</f>
        <v>0</v>
      </c>
      <c r="D80" s="168">
        <f>SUM(D81:D83)</f>
        <v>16685273</v>
      </c>
      <c r="E80" s="104">
        <f>SUM(E81:E83)</f>
        <v>16685273</v>
      </c>
    </row>
    <row r="81" spans="1:5" s="53" customFormat="1" ht="12" customHeight="1">
      <c r="A81" s="198" t="s">
        <v>253</v>
      </c>
      <c r="B81" s="181" t="s">
        <v>234</v>
      </c>
      <c r="C81" s="172"/>
      <c r="D81" s="172">
        <v>16685273</v>
      </c>
      <c r="E81" s="108">
        <v>16685273</v>
      </c>
    </row>
    <row r="82" spans="1:5" s="53" customFormat="1" ht="12" customHeight="1">
      <c r="A82" s="199" t="s">
        <v>254</v>
      </c>
      <c r="B82" s="182" t="s">
        <v>235</v>
      </c>
      <c r="C82" s="172"/>
      <c r="D82" s="172"/>
      <c r="E82" s="108"/>
    </row>
    <row r="83" spans="1:5" s="53" customFormat="1" ht="12" customHeight="1" thickBot="1">
      <c r="A83" s="200" t="s">
        <v>255</v>
      </c>
      <c r="B83" s="183" t="s">
        <v>500</v>
      </c>
      <c r="C83" s="172"/>
      <c r="D83" s="172"/>
      <c r="E83" s="108"/>
    </row>
    <row r="84" spans="1:5" s="53" customFormat="1" ht="12" customHeight="1" thickBot="1">
      <c r="A84" s="201" t="s">
        <v>236</v>
      </c>
      <c r="B84" s="111" t="s">
        <v>256</v>
      </c>
      <c r="C84" s="168">
        <f>SUM(C85:C88)</f>
        <v>0</v>
      </c>
      <c r="D84" s="168">
        <f>SUM(D85:D88)</f>
        <v>0</v>
      </c>
      <c r="E84" s="104">
        <f>SUM(E85:E88)</f>
        <v>0</v>
      </c>
    </row>
    <row r="85" spans="1:5" s="53" customFormat="1" ht="12" customHeight="1">
      <c r="A85" s="202" t="s">
        <v>237</v>
      </c>
      <c r="B85" s="181" t="s">
        <v>238</v>
      </c>
      <c r="C85" s="172"/>
      <c r="D85" s="172"/>
      <c r="E85" s="108"/>
    </row>
    <row r="86" spans="1:5" s="53" customFormat="1" ht="12" customHeight="1">
      <c r="A86" s="203" t="s">
        <v>239</v>
      </c>
      <c r="B86" s="182" t="s">
        <v>240</v>
      </c>
      <c r="C86" s="172"/>
      <c r="D86" s="172"/>
      <c r="E86" s="108"/>
    </row>
    <row r="87" spans="1:5" s="53" customFormat="1" ht="12" customHeight="1">
      <c r="A87" s="203" t="s">
        <v>241</v>
      </c>
      <c r="B87" s="182" t="s">
        <v>242</v>
      </c>
      <c r="C87" s="172"/>
      <c r="D87" s="172"/>
      <c r="E87" s="108"/>
    </row>
    <row r="88" spans="1:5" s="52" customFormat="1" ht="12" customHeight="1" thickBot="1">
      <c r="A88" s="204" t="s">
        <v>243</v>
      </c>
      <c r="B88" s="183" t="s">
        <v>244</v>
      </c>
      <c r="C88" s="172"/>
      <c r="D88" s="172"/>
      <c r="E88" s="108"/>
    </row>
    <row r="89" spans="1:5" s="52" customFormat="1" ht="12" customHeight="1" thickBot="1">
      <c r="A89" s="201" t="s">
        <v>245</v>
      </c>
      <c r="B89" s="111" t="s">
        <v>380</v>
      </c>
      <c r="C89" s="224"/>
      <c r="D89" s="224"/>
      <c r="E89" s="225"/>
    </row>
    <row r="90" spans="1:5" s="52" customFormat="1" ht="12" customHeight="1" thickBot="1">
      <c r="A90" s="201" t="s">
        <v>398</v>
      </c>
      <c r="B90" s="111" t="s">
        <v>246</v>
      </c>
      <c r="C90" s="224"/>
      <c r="D90" s="224"/>
      <c r="E90" s="225"/>
    </row>
    <row r="91" spans="1:5" s="52" customFormat="1" ht="12" customHeight="1" thickBot="1">
      <c r="A91" s="201" t="s">
        <v>399</v>
      </c>
      <c r="B91" s="188" t="s">
        <v>383</v>
      </c>
      <c r="C91" s="174">
        <f>+C68+C72+C77+C80+C84+C90+C89</f>
        <v>231000000</v>
      </c>
      <c r="D91" s="174">
        <f>+D68+D72+D77+D80+D84+D90+D89</f>
        <v>274573737</v>
      </c>
      <c r="E91" s="210">
        <f>+E68+E72+E77+E80+E84+E90+E89</f>
        <v>274573737</v>
      </c>
    </row>
    <row r="92" spans="1:5" s="52" customFormat="1" ht="12" customHeight="1" thickBot="1">
      <c r="A92" s="205" t="s">
        <v>400</v>
      </c>
      <c r="B92" s="189" t="s">
        <v>401</v>
      </c>
      <c r="C92" s="174">
        <f>+C67+C91</f>
        <v>573662080</v>
      </c>
      <c r="D92" s="174">
        <f>+D67+D91</f>
        <v>684667181</v>
      </c>
      <c r="E92" s="210">
        <f>+E67+E91</f>
        <v>760722638</v>
      </c>
    </row>
    <row r="93" spans="1:3" s="53" customFormat="1" ht="15" customHeight="1" thickBot="1">
      <c r="A93" s="88"/>
      <c r="B93" s="89"/>
      <c r="C93" s="150"/>
    </row>
    <row r="94" spans="1:5" s="46" customFormat="1" ht="16.5" customHeight="1" thickBot="1">
      <c r="A94" s="903" t="s">
        <v>41</v>
      </c>
      <c r="B94" s="904"/>
      <c r="C94" s="904"/>
      <c r="D94" s="904"/>
      <c r="E94" s="905"/>
    </row>
    <row r="95" spans="1:5" s="54" customFormat="1" ht="12" customHeight="1" thickBot="1">
      <c r="A95" s="175" t="s">
        <v>6</v>
      </c>
      <c r="B95" s="24" t="s">
        <v>405</v>
      </c>
      <c r="C95" s="167">
        <f>+C96+C97+C98+C99+C100+C113</f>
        <v>158473094</v>
      </c>
      <c r="D95" s="167">
        <f>+D96+D97+D98+D99+D100+D113</f>
        <v>208922060</v>
      </c>
      <c r="E95" s="238">
        <f>+E96+E97+E98+E99+E100+E113</f>
        <v>132142328</v>
      </c>
    </row>
    <row r="96" spans="1:5" ht="12" customHeight="1">
      <c r="A96" s="206" t="s">
        <v>64</v>
      </c>
      <c r="B96" s="8" t="s">
        <v>35</v>
      </c>
      <c r="C96" s="690">
        <v>26018790</v>
      </c>
      <c r="D96" s="245">
        <v>26803026</v>
      </c>
      <c r="E96" s="239">
        <v>17851388</v>
      </c>
    </row>
    <row r="97" spans="1:5" ht="12" customHeight="1">
      <c r="A97" s="199" t="s">
        <v>65</v>
      </c>
      <c r="B97" s="6" t="s">
        <v>124</v>
      </c>
      <c r="C97" s="681">
        <v>2702452</v>
      </c>
      <c r="D97" s="169">
        <v>2907049</v>
      </c>
      <c r="E97" s="105">
        <v>2256928</v>
      </c>
    </row>
    <row r="98" spans="1:5" ht="12" customHeight="1">
      <c r="A98" s="199" t="s">
        <v>66</v>
      </c>
      <c r="B98" s="6" t="s">
        <v>92</v>
      </c>
      <c r="C98" s="682">
        <v>50165160</v>
      </c>
      <c r="D98" s="169">
        <v>58314532</v>
      </c>
      <c r="E98" s="107">
        <v>41820888</v>
      </c>
    </row>
    <row r="99" spans="1:5" ht="12" customHeight="1">
      <c r="A99" s="199" t="s">
        <v>67</v>
      </c>
      <c r="B99" s="9" t="s">
        <v>125</v>
      </c>
      <c r="C99" s="682">
        <v>5840000</v>
      </c>
      <c r="D99" s="169">
        <v>5840000</v>
      </c>
      <c r="E99" s="107">
        <v>2808500</v>
      </c>
    </row>
    <row r="100" spans="1:5" ht="12" customHeight="1">
      <c r="A100" s="199" t="s">
        <v>76</v>
      </c>
      <c r="B100" s="17" t="s">
        <v>126</v>
      </c>
      <c r="C100" s="682">
        <v>57464904</v>
      </c>
      <c r="D100" s="169">
        <v>68297155</v>
      </c>
      <c r="E100" s="107">
        <v>67404624</v>
      </c>
    </row>
    <row r="101" spans="1:5" ht="12" customHeight="1">
      <c r="A101" s="199" t="s">
        <v>68</v>
      </c>
      <c r="B101" s="6" t="s">
        <v>402</v>
      </c>
      <c r="C101" s="682">
        <v>696579</v>
      </c>
      <c r="D101" s="169"/>
      <c r="E101" s="107">
        <v>36830</v>
      </c>
    </row>
    <row r="102" spans="1:5" ht="12" customHeight="1">
      <c r="A102" s="199" t="s">
        <v>69</v>
      </c>
      <c r="B102" s="64" t="s">
        <v>346</v>
      </c>
      <c r="C102" s="682">
        <v>2961554</v>
      </c>
      <c r="D102" s="169">
        <v>2961554</v>
      </c>
      <c r="E102" s="107">
        <v>2961554</v>
      </c>
    </row>
    <row r="103" spans="1:5" ht="12" customHeight="1">
      <c r="A103" s="199" t="s">
        <v>77</v>
      </c>
      <c r="B103" s="64" t="s">
        <v>345</v>
      </c>
      <c r="C103" s="682"/>
      <c r="D103" s="169"/>
      <c r="E103" s="107"/>
    </row>
    <row r="104" spans="1:5" ht="12" customHeight="1">
      <c r="A104" s="199" t="s">
        <v>78</v>
      </c>
      <c r="B104" s="64" t="s">
        <v>262</v>
      </c>
      <c r="C104" s="682"/>
      <c r="D104" s="169"/>
      <c r="E104" s="107"/>
    </row>
    <row r="105" spans="1:5" ht="12" customHeight="1">
      <c r="A105" s="199" t="s">
        <v>79</v>
      </c>
      <c r="B105" s="65" t="s">
        <v>263</v>
      </c>
      <c r="C105" s="682"/>
      <c r="D105" s="169">
        <v>36830</v>
      </c>
      <c r="E105" s="107"/>
    </row>
    <row r="106" spans="1:5" ht="12" customHeight="1">
      <c r="A106" s="199" t="s">
        <v>80</v>
      </c>
      <c r="B106" s="65" t="s">
        <v>264</v>
      </c>
      <c r="C106" s="682"/>
      <c r="D106" s="169"/>
      <c r="E106" s="107"/>
    </row>
    <row r="107" spans="1:5" ht="12" customHeight="1">
      <c r="A107" s="199" t="s">
        <v>82</v>
      </c>
      <c r="B107" s="64" t="s">
        <v>265</v>
      </c>
      <c r="C107" s="682">
        <v>51405046</v>
      </c>
      <c r="D107" s="169">
        <v>51675046</v>
      </c>
      <c r="E107" s="107">
        <v>51400677</v>
      </c>
    </row>
    <row r="108" spans="1:5" ht="12" customHeight="1">
      <c r="A108" s="199" t="s">
        <v>127</v>
      </c>
      <c r="B108" s="64" t="s">
        <v>266</v>
      </c>
      <c r="C108" s="682"/>
      <c r="D108" s="169"/>
      <c r="E108" s="107"/>
    </row>
    <row r="109" spans="1:5" ht="12" customHeight="1">
      <c r="A109" s="199" t="s">
        <v>260</v>
      </c>
      <c r="B109" s="65" t="s">
        <v>267</v>
      </c>
      <c r="C109" s="682"/>
      <c r="D109" s="169"/>
      <c r="E109" s="107"/>
    </row>
    <row r="110" spans="1:5" ht="12" customHeight="1">
      <c r="A110" s="207" t="s">
        <v>261</v>
      </c>
      <c r="B110" s="66" t="s">
        <v>268</v>
      </c>
      <c r="C110" s="682"/>
      <c r="D110" s="169"/>
      <c r="E110" s="107"/>
    </row>
    <row r="111" spans="1:5" ht="12" customHeight="1">
      <c r="A111" s="199" t="s">
        <v>343</v>
      </c>
      <c r="B111" s="66" t="s">
        <v>269</v>
      </c>
      <c r="C111" s="682"/>
      <c r="D111" s="169"/>
      <c r="E111" s="107"/>
    </row>
    <row r="112" spans="1:5" ht="12" customHeight="1">
      <c r="A112" s="199" t="s">
        <v>344</v>
      </c>
      <c r="B112" s="65" t="s">
        <v>270</v>
      </c>
      <c r="C112" s="681">
        <v>2401725</v>
      </c>
      <c r="D112" s="169">
        <v>13623725</v>
      </c>
      <c r="E112" s="105">
        <v>13005563</v>
      </c>
    </row>
    <row r="113" spans="1:5" ht="12" customHeight="1">
      <c r="A113" s="199" t="s">
        <v>348</v>
      </c>
      <c r="B113" s="9" t="s">
        <v>36</v>
      </c>
      <c r="C113" s="681">
        <v>16281788</v>
      </c>
      <c r="D113" s="169">
        <v>46760298</v>
      </c>
      <c r="E113" s="105"/>
    </row>
    <row r="114" spans="1:5" ht="12" customHeight="1">
      <c r="A114" s="200" t="s">
        <v>349</v>
      </c>
      <c r="B114" s="6" t="s">
        <v>403</v>
      </c>
      <c r="C114" s="682">
        <v>8330929</v>
      </c>
      <c r="D114" s="169">
        <v>38809439</v>
      </c>
      <c r="E114" s="107"/>
    </row>
    <row r="115" spans="1:5" ht="12" customHeight="1" thickBot="1">
      <c r="A115" s="208" t="s">
        <v>350</v>
      </c>
      <c r="B115" s="67" t="s">
        <v>404</v>
      </c>
      <c r="C115" s="691">
        <v>7950859</v>
      </c>
      <c r="D115" s="246">
        <v>7950859</v>
      </c>
      <c r="E115" s="240"/>
    </row>
    <row r="116" spans="1:5" ht="12" customHeight="1" thickBot="1">
      <c r="A116" s="25" t="s">
        <v>7</v>
      </c>
      <c r="B116" s="23" t="s">
        <v>271</v>
      </c>
      <c r="C116" s="168">
        <f>+C117+C119+C121</f>
        <v>44004143</v>
      </c>
      <c r="D116" s="255">
        <f>+D117+D119+D121</f>
        <v>89246987</v>
      </c>
      <c r="E116" s="104">
        <f>+E117+E119+E121</f>
        <v>40491197</v>
      </c>
    </row>
    <row r="117" spans="1:5" ht="12" customHeight="1">
      <c r="A117" s="198" t="s">
        <v>70</v>
      </c>
      <c r="B117" s="6" t="s">
        <v>145</v>
      </c>
      <c r="C117" s="685">
        <v>42004143</v>
      </c>
      <c r="D117" s="170">
        <v>83214144</v>
      </c>
      <c r="E117" s="106">
        <v>35958354</v>
      </c>
    </row>
    <row r="118" spans="1:5" ht="12" customHeight="1">
      <c r="A118" s="198" t="s">
        <v>71</v>
      </c>
      <c r="B118" s="10" t="s">
        <v>275</v>
      </c>
      <c r="C118" s="685"/>
      <c r="D118" s="169"/>
      <c r="E118" s="106"/>
    </row>
    <row r="119" spans="1:5" ht="12" customHeight="1">
      <c r="A119" s="198" t="s">
        <v>72</v>
      </c>
      <c r="B119" s="10" t="s">
        <v>128</v>
      </c>
      <c r="C119" s="681"/>
      <c r="D119" s="169"/>
      <c r="E119" s="105"/>
    </row>
    <row r="120" spans="1:5" ht="12" customHeight="1">
      <c r="A120" s="198" t="s">
        <v>73</v>
      </c>
      <c r="B120" s="10" t="s">
        <v>276</v>
      </c>
      <c r="C120" s="689"/>
      <c r="D120" s="169"/>
      <c r="E120" s="105"/>
    </row>
    <row r="121" spans="1:5" ht="12" customHeight="1">
      <c r="A121" s="198" t="s">
        <v>74</v>
      </c>
      <c r="B121" s="113" t="s">
        <v>147</v>
      </c>
      <c r="C121" s="689">
        <v>2000000</v>
      </c>
      <c r="D121" s="169">
        <v>6032843</v>
      </c>
      <c r="E121" s="105">
        <v>4532843</v>
      </c>
    </row>
    <row r="122" spans="1:5" ht="12" customHeight="1">
      <c r="A122" s="198" t="s">
        <v>81</v>
      </c>
      <c r="B122" s="112" t="s">
        <v>335</v>
      </c>
      <c r="C122" s="689"/>
      <c r="D122" s="169"/>
      <c r="E122" s="105"/>
    </row>
    <row r="123" spans="1:5" ht="12" customHeight="1">
      <c r="A123" s="198" t="s">
        <v>83</v>
      </c>
      <c r="B123" s="177" t="s">
        <v>281</v>
      </c>
      <c r="C123" s="689"/>
      <c r="D123" s="169"/>
      <c r="E123" s="105"/>
    </row>
    <row r="124" spans="1:5" ht="12" customHeight="1">
      <c r="A124" s="198" t="s">
        <v>129</v>
      </c>
      <c r="B124" s="65" t="s">
        <v>264</v>
      </c>
      <c r="C124" s="689"/>
      <c r="D124" s="169"/>
      <c r="E124" s="105"/>
    </row>
    <row r="125" spans="1:5" ht="12" customHeight="1">
      <c r="A125" s="198" t="s">
        <v>130</v>
      </c>
      <c r="B125" s="65" t="s">
        <v>280</v>
      </c>
      <c r="C125" s="689"/>
      <c r="D125" s="169">
        <v>1028112</v>
      </c>
      <c r="E125" s="105">
        <v>1028112</v>
      </c>
    </row>
    <row r="126" spans="1:5" ht="12" customHeight="1">
      <c r="A126" s="198" t="s">
        <v>131</v>
      </c>
      <c r="B126" s="65" t="s">
        <v>279</v>
      </c>
      <c r="C126" s="689"/>
      <c r="D126" s="169"/>
      <c r="E126" s="105"/>
    </row>
    <row r="127" spans="1:5" ht="12" customHeight="1">
      <c r="A127" s="198" t="s">
        <v>272</v>
      </c>
      <c r="B127" s="65" t="s">
        <v>267</v>
      </c>
      <c r="C127" s="689">
        <v>2000000</v>
      </c>
      <c r="D127" s="169">
        <v>2000000</v>
      </c>
      <c r="E127" s="105">
        <v>500000</v>
      </c>
    </row>
    <row r="128" spans="1:5" ht="12" customHeight="1">
      <c r="A128" s="198" t="s">
        <v>273</v>
      </c>
      <c r="B128" s="65" t="s">
        <v>278</v>
      </c>
      <c r="C128" s="169"/>
      <c r="D128" s="257"/>
      <c r="E128" s="105"/>
    </row>
    <row r="129" spans="1:5" ht="12" customHeight="1" thickBot="1">
      <c r="A129" s="207" t="s">
        <v>274</v>
      </c>
      <c r="B129" s="65" t="s">
        <v>277</v>
      </c>
      <c r="C129" s="171"/>
      <c r="D129" s="258">
        <v>3004731</v>
      </c>
      <c r="E129" s="107">
        <v>3004731</v>
      </c>
    </row>
    <row r="130" spans="1:5" ht="12" customHeight="1" thickBot="1">
      <c r="A130" s="25" t="s">
        <v>8</v>
      </c>
      <c r="B130" s="58" t="s">
        <v>353</v>
      </c>
      <c r="C130" s="168">
        <f>+C95+C116</f>
        <v>202477237</v>
      </c>
      <c r="D130" s="255">
        <f>+D95+D116</f>
        <v>298169047</v>
      </c>
      <c r="E130" s="104">
        <f>+E95+E116</f>
        <v>172633525</v>
      </c>
    </row>
    <row r="131" spans="1:5" ht="12" customHeight="1" thickBot="1">
      <c r="A131" s="25" t="s">
        <v>9</v>
      </c>
      <c r="B131" s="58" t="s">
        <v>354</v>
      </c>
      <c r="C131" s="168">
        <f>+C132+C133+C134</f>
        <v>0</v>
      </c>
      <c r="D131" s="255">
        <f>+D132+D133+D134</f>
        <v>0</v>
      </c>
      <c r="E131" s="104">
        <f>+E132+E133+E134</f>
        <v>0</v>
      </c>
    </row>
    <row r="132" spans="1:5" s="54" customFormat="1" ht="12" customHeight="1">
      <c r="A132" s="198" t="s">
        <v>179</v>
      </c>
      <c r="B132" s="7" t="s">
        <v>408</v>
      </c>
      <c r="C132" s="169"/>
      <c r="D132" s="257"/>
      <c r="E132" s="105"/>
    </row>
    <row r="133" spans="1:5" ht="12" customHeight="1">
      <c r="A133" s="198" t="s">
        <v>180</v>
      </c>
      <c r="B133" s="7" t="s">
        <v>362</v>
      </c>
      <c r="C133" s="169"/>
      <c r="D133" s="257"/>
      <c r="E133" s="105"/>
    </row>
    <row r="134" spans="1:5" ht="12" customHeight="1" thickBot="1">
      <c r="A134" s="207" t="s">
        <v>181</v>
      </c>
      <c r="B134" s="5" t="s">
        <v>407</v>
      </c>
      <c r="C134" s="169"/>
      <c r="D134" s="257"/>
      <c r="E134" s="105"/>
    </row>
    <row r="135" spans="1:5" ht="12" customHeight="1" thickBot="1">
      <c r="A135" s="25" t="s">
        <v>10</v>
      </c>
      <c r="B135" s="58" t="s">
        <v>355</v>
      </c>
      <c r="C135" s="168">
        <f>+C136+C137+C138+C139+C140+C141</f>
        <v>0</v>
      </c>
      <c r="D135" s="255">
        <f>+D136+D137+D138+D139+D140+D141</f>
        <v>0</v>
      </c>
      <c r="E135" s="104">
        <f>+E136+E137+E138+E139+E140+E141</f>
        <v>0</v>
      </c>
    </row>
    <row r="136" spans="1:5" ht="12" customHeight="1">
      <c r="A136" s="198" t="s">
        <v>57</v>
      </c>
      <c r="B136" s="7" t="s">
        <v>364</v>
      </c>
      <c r="C136" s="169"/>
      <c r="D136" s="257"/>
      <c r="E136" s="105"/>
    </row>
    <row r="137" spans="1:5" ht="12" customHeight="1">
      <c r="A137" s="198" t="s">
        <v>58</v>
      </c>
      <c r="B137" s="7" t="s">
        <v>356</v>
      </c>
      <c r="C137" s="169"/>
      <c r="D137" s="257"/>
      <c r="E137" s="105"/>
    </row>
    <row r="138" spans="1:5" ht="12" customHeight="1">
      <c r="A138" s="198" t="s">
        <v>59</v>
      </c>
      <c r="B138" s="7" t="s">
        <v>357</v>
      </c>
      <c r="C138" s="169"/>
      <c r="D138" s="257"/>
      <c r="E138" s="105"/>
    </row>
    <row r="139" spans="1:5" ht="12" customHeight="1">
      <c r="A139" s="198" t="s">
        <v>116</v>
      </c>
      <c r="B139" s="7" t="s">
        <v>406</v>
      </c>
      <c r="C139" s="169"/>
      <c r="D139" s="257"/>
      <c r="E139" s="105"/>
    </row>
    <row r="140" spans="1:5" ht="12" customHeight="1">
      <c r="A140" s="198" t="s">
        <v>117</v>
      </c>
      <c r="B140" s="7" t="s">
        <v>359</v>
      </c>
      <c r="C140" s="169"/>
      <c r="D140" s="257"/>
      <c r="E140" s="105"/>
    </row>
    <row r="141" spans="1:5" s="54" customFormat="1" ht="12" customHeight="1" thickBot="1">
      <c r="A141" s="207" t="s">
        <v>118</v>
      </c>
      <c r="B141" s="5" t="s">
        <v>360</v>
      </c>
      <c r="C141" s="169"/>
      <c r="D141" s="257"/>
      <c r="E141" s="105"/>
    </row>
    <row r="142" spans="1:11" ht="12" customHeight="1" thickBot="1">
      <c r="A142" s="25" t="s">
        <v>11</v>
      </c>
      <c r="B142" s="58" t="s">
        <v>421</v>
      </c>
      <c r="C142" s="174">
        <f>+C143+C144+C146+C147+C145</f>
        <v>371184843</v>
      </c>
      <c r="D142" s="259">
        <f>+D143+D144+D146+D147+D145</f>
        <v>386498134</v>
      </c>
      <c r="E142" s="210">
        <f>+E143+E144+E146+E147+E145</f>
        <v>349761568</v>
      </c>
      <c r="K142" s="97"/>
    </row>
    <row r="143" spans="1:5" ht="12.75">
      <c r="A143" s="198" t="s">
        <v>60</v>
      </c>
      <c r="B143" s="7" t="s">
        <v>282</v>
      </c>
      <c r="C143" s="169"/>
      <c r="D143" s="257"/>
      <c r="E143" s="105"/>
    </row>
    <row r="144" spans="1:5" ht="12" customHeight="1">
      <c r="A144" s="198" t="s">
        <v>61</v>
      </c>
      <c r="B144" s="7" t="s">
        <v>283</v>
      </c>
      <c r="C144" s="689">
        <v>4440354</v>
      </c>
      <c r="D144" s="169">
        <v>15647961</v>
      </c>
      <c r="E144" s="105">
        <v>15647961</v>
      </c>
    </row>
    <row r="145" spans="1:7" ht="12" customHeight="1">
      <c r="A145" s="198" t="s">
        <v>199</v>
      </c>
      <c r="B145" s="7" t="s">
        <v>420</v>
      </c>
      <c r="C145" s="689">
        <v>366744489</v>
      </c>
      <c r="D145" s="169">
        <v>370850173</v>
      </c>
      <c r="E145" s="105">
        <v>334113607</v>
      </c>
      <c r="G145" s="2">
        <f>(E145/D145)*100</f>
        <v>90.0939601287445</v>
      </c>
    </row>
    <row r="146" spans="1:5" s="54" customFormat="1" ht="12" customHeight="1">
      <c r="A146" s="198" t="s">
        <v>200</v>
      </c>
      <c r="B146" s="7" t="s">
        <v>369</v>
      </c>
      <c r="C146" s="169"/>
      <c r="D146" s="257"/>
      <c r="E146" s="105"/>
    </row>
    <row r="147" spans="1:5" s="54" customFormat="1" ht="12" customHeight="1" thickBot="1">
      <c r="A147" s="207" t="s">
        <v>201</v>
      </c>
      <c r="B147" s="5" t="s">
        <v>299</v>
      </c>
      <c r="C147" s="169"/>
      <c r="D147" s="257"/>
      <c r="E147" s="105"/>
    </row>
    <row r="148" spans="1:5" s="54" customFormat="1" ht="12" customHeight="1" thickBot="1">
      <c r="A148" s="25" t="s">
        <v>12</v>
      </c>
      <c r="B148" s="58" t="s">
        <v>370</v>
      </c>
      <c r="C148" s="248">
        <f>+C149+C150+C151+C152+C153</f>
        <v>0</v>
      </c>
      <c r="D148" s="260">
        <f>+D149+D150+D151+D152+D153</f>
        <v>0</v>
      </c>
      <c r="E148" s="242">
        <f>+E149+E150+E151+E152+E153</f>
        <v>0</v>
      </c>
    </row>
    <row r="149" spans="1:5" s="54" customFormat="1" ht="12" customHeight="1">
      <c r="A149" s="198" t="s">
        <v>62</v>
      </c>
      <c r="B149" s="7" t="s">
        <v>365</v>
      </c>
      <c r="C149" s="169"/>
      <c r="D149" s="257"/>
      <c r="E149" s="105"/>
    </row>
    <row r="150" spans="1:5" s="54" customFormat="1" ht="12" customHeight="1">
      <c r="A150" s="198" t="s">
        <v>63</v>
      </c>
      <c r="B150" s="7" t="s">
        <v>372</v>
      </c>
      <c r="C150" s="169"/>
      <c r="D150" s="257"/>
      <c r="E150" s="105"/>
    </row>
    <row r="151" spans="1:5" s="54" customFormat="1" ht="12" customHeight="1">
      <c r="A151" s="198" t="s">
        <v>211</v>
      </c>
      <c r="B151" s="7" t="s">
        <v>367</v>
      </c>
      <c r="C151" s="169"/>
      <c r="D151" s="257"/>
      <c r="E151" s="105"/>
    </row>
    <row r="152" spans="1:5" s="54" customFormat="1" ht="12" customHeight="1">
      <c r="A152" s="198" t="s">
        <v>212</v>
      </c>
      <c r="B152" s="7" t="s">
        <v>409</v>
      </c>
      <c r="C152" s="169"/>
      <c r="D152" s="257"/>
      <c r="E152" s="105"/>
    </row>
    <row r="153" spans="1:5" ht="12.75" customHeight="1" thickBot="1">
      <c r="A153" s="207" t="s">
        <v>371</v>
      </c>
      <c r="B153" s="5" t="s">
        <v>374</v>
      </c>
      <c r="C153" s="171"/>
      <c r="D153" s="258"/>
      <c r="E153" s="107"/>
    </row>
    <row r="154" spans="1:5" ht="12.75" customHeight="1" thickBot="1">
      <c r="A154" s="237" t="s">
        <v>13</v>
      </c>
      <c r="B154" s="58" t="s">
        <v>375</v>
      </c>
      <c r="C154" s="248"/>
      <c r="D154" s="260"/>
      <c r="E154" s="242"/>
    </row>
    <row r="155" spans="1:5" ht="12.75" customHeight="1" thickBot="1">
      <c r="A155" s="237" t="s">
        <v>14</v>
      </c>
      <c r="B155" s="58" t="s">
        <v>376</v>
      </c>
      <c r="C155" s="248"/>
      <c r="D155" s="260"/>
      <c r="E155" s="242"/>
    </row>
    <row r="156" spans="1:5" ht="12" customHeight="1" thickBot="1">
      <c r="A156" s="25" t="s">
        <v>15</v>
      </c>
      <c r="B156" s="58" t="s">
        <v>378</v>
      </c>
      <c r="C156" s="250">
        <f>+C131+C135+C142+C148+C154+C155</f>
        <v>371184843</v>
      </c>
      <c r="D156" s="262">
        <f>+D131+D135+D142+D148+D154+D155</f>
        <v>386498134</v>
      </c>
      <c r="E156" s="244">
        <f>+E131+E135+E142+E148+E154+E155</f>
        <v>349761568</v>
      </c>
    </row>
    <row r="157" spans="1:5" ht="15" customHeight="1" thickBot="1">
      <c r="A157" s="209" t="s">
        <v>16</v>
      </c>
      <c r="B157" s="155" t="s">
        <v>377</v>
      </c>
      <c r="C157" s="250">
        <f>+C130+C156</f>
        <v>573662080</v>
      </c>
      <c r="D157" s="262">
        <f>+D130+D156</f>
        <v>684667181</v>
      </c>
      <c r="E157" s="244">
        <f>+E130+E156</f>
        <v>522395093</v>
      </c>
    </row>
    <row r="158" spans="1:5" ht="13.5" thickBot="1">
      <c r="A158" s="158"/>
      <c r="B158" s="159"/>
      <c r="C158" s="646">
        <f>C92-C157</f>
        <v>0</v>
      </c>
      <c r="D158" s="646">
        <f>D92-D157</f>
        <v>0</v>
      </c>
      <c r="E158" s="160"/>
    </row>
    <row r="159" spans="1:5" ht="15" customHeight="1" thickBot="1">
      <c r="A159" s="95" t="s">
        <v>493</v>
      </c>
      <c r="B159" s="96"/>
      <c r="C159" s="321">
        <v>1</v>
      </c>
      <c r="D159" s="321">
        <v>1</v>
      </c>
      <c r="E159" s="320">
        <v>1</v>
      </c>
    </row>
    <row r="160" spans="1:5" ht="14.25" customHeight="1" thickBot="1">
      <c r="A160" s="95" t="s">
        <v>494</v>
      </c>
      <c r="B160" s="96"/>
      <c r="C160" s="321">
        <v>0</v>
      </c>
      <c r="D160" s="321">
        <v>0</v>
      </c>
      <c r="E160" s="320">
        <v>0</v>
      </c>
    </row>
  </sheetData>
  <sheetProtection formatCells="0"/>
  <mergeCells count="5">
    <mergeCell ref="A7:E7"/>
    <mergeCell ref="B2:D2"/>
    <mergeCell ref="B3:D3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1" max="255" man="1"/>
    <brk id="9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0"/>
  <sheetViews>
    <sheetView zoomScale="120" zoomScaleNormal="120" zoomScaleSheetLayoutView="100" workbookViewId="0" topLeftCell="A85">
      <selection activeCell="G100" sqref="G100"/>
    </sheetView>
  </sheetViews>
  <sheetFormatPr defaultColWidth="9.37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907" t="str">
        <f>CONCATENATE("11. melléklet ",Z_ALAPADATOK!A7," ",Z_ALAPADATOK!B7," ",Z_ALAPADATOK!C7," ",Z_ALAPADATOK!D7," ",Z_ALAPADATOK!E7," ",Z_ALAPADATOK!F7," ",Z_ALAPADATOK!G7," ",Z_ALAPADATOK!H7)</f>
        <v>11. melléklet a  / 2023. ( V…... ) önkormányzati rendelethez</v>
      </c>
      <c r="C1" s="908"/>
      <c r="D1" s="908"/>
      <c r="E1" s="908"/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3.25" thickBot="1">
      <c r="A3" s="388" t="s">
        <v>137</v>
      </c>
      <c r="B3" s="906" t="s">
        <v>326</v>
      </c>
      <c r="C3" s="906"/>
      <c r="D3" s="906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'10'!E4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CONCATENATE('10'!E5)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+C9+C10+C11+C12+C14+C15+C13</f>
        <v>124238073</v>
      </c>
      <c r="D8" s="255">
        <f>+D9+D10+D11+D12+D14+D15+D13</f>
        <v>153956476</v>
      </c>
      <c r="E8" s="104">
        <f>+E9+E10+E11+E12+E14+E15+E13</f>
        <v>153956476</v>
      </c>
    </row>
    <row r="9" spans="1:5" s="52" customFormat="1" ht="12" customHeight="1">
      <c r="A9" s="198" t="s">
        <v>64</v>
      </c>
      <c r="B9" s="181" t="s">
        <v>165</v>
      </c>
      <c r="C9" s="685">
        <v>34249830</v>
      </c>
      <c r="D9" s="245">
        <v>34249830</v>
      </c>
      <c r="E9" s="687">
        <v>34249830</v>
      </c>
    </row>
    <row r="10" spans="1:5" s="53" customFormat="1" ht="12" customHeight="1">
      <c r="A10" s="199" t="s">
        <v>65</v>
      </c>
      <c r="B10" s="182" t="s">
        <v>166</v>
      </c>
      <c r="C10" s="681">
        <v>44591080</v>
      </c>
      <c r="D10" s="169">
        <v>45864660</v>
      </c>
      <c r="E10" s="679">
        <v>45864660</v>
      </c>
    </row>
    <row r="11" spans="1:5" s="53" customFormat="1" ht="12" customHeight="1">
      <c r="A11" s="199" t="s">
        <v>66</v>
      </c>
      <c r="B11" s="182" t="s">
        <v>167</v>
      </c>
      <c r="C11" s="681">
        <v>10296930</v>
      </c>
      <c r="D11" s="169">
        <v>11814946</v>
      </c>
      <c r="E11" s="679">
        <v>11814946</v>
      </c>
    </row>
    <row r="12" spans="1:5" s="53" customFormat="1" ht="12" customHeight="1">
      <c r="A12" s="199" t="s">
        <v>67</v>
      </c>
      <c r="B12" s="182" t="s">
        <v>726</v>
      </c>
      <c r="C12" s="681">
        <v>27935896</v>
      </c>
      <c r="D12" s="169">
        <v>24358789</v>
      </c>
      <c r="E12" s="679">
        <v>24358789</v>
      </c>
    </row>
    <row r="13" spans="1:5" s="53" customFormat="1" ht="12" customHeight="1">
      <c r="A13" s="199" t="s">
        <v>99</v>
      </c>
      <c r="B13" s="182" t="s">
        <v>168</v>
      </c>
      <c r="C13" s="681">
        <v>3248684</v>
      </c>
      <c r="D13" s="169">
        <v>3248684</v>
      </c>
      <c r="E13" s="679">
        <v>3248684</v>
      </c>
    </row>
    <row r="14" spans="1:5" s="53" customFormat="1" ht="12" customHeight="1">
      <c r="A14" s="199" t="s">
        <v>68</v>
      </c>
      <c r="B14" s="182" t="s">
        <v>397</v>
      </c>
      <c r="C14" s="681">
        <v>3915653</v>
      </c>
      <c r="D14" s="169">
        <v>26065958</v>
      </c>
      <c r="E14" s="679">
        <v>26065958</v>
      </c>
    </row>
    <row r="15" spans="1:5" s="52" customFormat="1" ht="12" customHeight="1" thickBot="1">
      <c r="A15" s="199" t="s">
        <v>69</v>
      </c>
      <c r="B15" s="427" t="s">
        <v>727</v>
      </c>
      <c r="C15" s="169"/>
      <c r="D15" s="257">
        <v>8353609</v>
      </c>
      <c r="E15" s="688">
        <v>8353609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19409000</v>
      </c>
      <c r="D16" s="255">
        <f>+D17+D18+D19+D20+D21</f>
        <v>27407725</v>
      </c>
      <c r="E16" s="104">
        <f>+E17+E18+E19+E20+E21</f>
        <v>28419686</v>
      </c>
    </row>
    <row r="17" spans="1:5" s="52" customFormat="1" ht="12" customHeight="1">
      <c r="A17" s="198" t="s">
        <v>70</v>
      </c>
      <c r="B17" s="181" t="s">
        <v>170</v>
      </c>
      <c r="C17" s="170"/>
      <c r="D17" s="256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7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7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7"/>
      <c r="E20" s="105"/>
    </row>
    <row r="21" spans="1:5" s="52" customFormat="1" ht="12" customHeight="1">
      <c r="A21" s="199" t="s">
        <v>74</v>
      </c>
      <c r="B21" s="182" t="s">
        <v>172</v>
      </c>
      <c r="C21" s="681">
        <v>19409000</v>
      </c>
      <c r="D21" s="169">
        <v>27407725</v>
      </c>
      <c r="E21" s="105">
        <v>28419686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8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0</v>
      </c>
      <c r="D23" s="255">
        <f>+D24+D25+D26+D27+D28</f>
        <v>22563364</v>
      </c>
      <c r="E23" s="104">
        <f>+E24+E25+E26+E27+E28</f>
        <v>22563364</v>
      </c>
    </row>
    <row r="24" spans="1:5" s="53" customFormat="1" ht="12" customHeight="1">
      <c r="A24" s="198" t="s">
        <v>53</v>
      </c>
      <c r="B24" s="181" t="s">
        <v>175</v>
      </c>
      <c r="C24" s="170"/>
      <c r="D24" s="256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7"/>
      <c r="E25" s="105"/>
    </row>
    <row r="26" spans="1:5" s="53" customFormat="1" ht="12" customHeight="1">
      <c r="A26" s="199" t="s">
        <v>55</v>
      </c>
      <c r="B26" s="182" t="s">
        <v>331</v>
      </c>
      <c r="C26" s="169"/>
      <c r="D26" s="257"/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7"/>
      <c r="E27" s="105"/>
    </row>
    <row r="28" spans="1:5" s="53" customFormat="1" ht="12" customHeight="1">
      <c r="A28" s="199" t="s">
        <v>112</v>
      </c>
      <c r="B28" s="182" t="s">
        <v>177</v>
      </c>
      <c r="C28" s="169"/>
      <c r="D28" s="257">
        <v>22563364</v>
      </c>
      <c r="E28" s="105">
        <v>22563364</v>
      </c>
    </row>
    <row r="29" spans="1:5" s="53" customFormat="1" ht="12" customHeight="1" thickBot="1">
      <c r="A29" s="200" t="s">
        <v>113</v>
      </c>
      <c r="B29" s="183" t="s">
        <v>178</v>
      </c>
      <c r="C29" s="171"/>
      <c r="D29" s="258"/>
      <c r="E29" s="107"/>
    </row>
    <row r="30" spans="1:5" s="53" customFormat="1" ht="12" customHeight="1" thickBot="1">
      <c r="A30" s="25" t="s">
        <v>114</v>
      </c>
      <c r="B30" s="19" t="s">
        <v>483</v>
      </c>
      <c r="C30" s="174">
        <f>SUM(C31:C38)</f>
        <v>181442270</v>
      </c>
      <c r="D30" s="174">
        <f>SUM(D31:D38)</f>
        <v>181442270</v>
      </c>
      <c r="E30" s="210">
        <f>SUM(E31:E38)</f>
        <v>251952188</v>
      </c>
    </row>
    <row r="31" spans="1:5" s="53" customFormat="1" ht="12" customHeight="1">
      <c r="A31" s="198" t="s">
        <v>179</v>
      </c>
      <c r="B31" s="181" t="s">
        <v>484</v>
      </c>
      <c r="C31" s="685">
        <v>127000000</v>
      </c>
      <c r="D31" s="245">
        <v>127000000</v>
      </c>
      <c r="E31" s="106">
        <v>137920864</v>
      </c>
    </row>
    <row r="32" spans="1:5" s="53" customFormat="1" ht="12" customHeight="1">
      <c r="A32" s="198" t="s">
        <v>180</v>
      </c>
      <c r="B32" s="182" t="s">
        <v>728</v>
      </c>
      <c r="C32" s="681">
        <v>150000</v>
      </c>
      <c r="D32" s="169">
        <v>150000</v>
      </c>
      <c r="E32" s="105">
        <v>129000</v>
      </c>
    </row>
    <row r="33" spans="1:5" s="53" customFormat="1" ht="12" customHeight="1">
      <c r="A33" s="199" t="s">
        <v>181</v>
      </c>
      <c r="B33" s="182" t="s">
        <v>729</v>
      </c>
      <c r="C33" s="681">
        <v>10000000</v>
      </c>
      <c r="D33" s="169">
        <v>10000000</v>
      </c>
      <c r="E33" s="105">
        <v>15667834</v>
      </c>
    </row>
    <row r="34" spans="1:5" s="53" customFormat="1" ht="12" customHeight="1">
      <c r="A34" s="199" t="s">
        <v>182</v>
      </c>
      <c r="B34" s="182" t="s">
        <v>486</v>
      </c>
      <c r="C34" s="681">
        <v>35000000</v>
      </c>
      <c r="D34" s="169">
        <v>35000000</v>
      </c>
      <c r="E34" s="105">
        <v>71595099</v>
      </c>
    </row>
    <row r="35" spans="1:5" s="53" customFormat="1" ht="12" customHeight="1">
      <c r="A35" s="199" t="s">
        <v>488</v>
      </c>
      <c r="B35" s="182" t="s">
        <v>730</v>
      </c>
      <c r="C35" s="681">
        <v>3442270</v>
      </c>
      <c r="D35" s="169">
        <v>3442270</v>
      </c>
      <c r="E35" s="105">
        <v>7138892</v>
      </c>
    </row>
    <row r="36" spans="1:5" s="53" customFormat="1" ht="12" customHeight="1">
      <c r="A36" s="199" t="s">
        <v>489</v>
      </c>
      <c r="B36" s="182" t="s">
        <v>731</v>
      </c>
      <c r="C36" s="681">
        <v>5000000</v>
      </c>
      <c r="D36" s="169">
        <v>5000000</v>
      </c>
      <c r="E36" s="105">
        <v>17813200</v>
      </c>
    </row>
    <row r="37" spans="1:5" s="53" customFormat="1" ht="12" customHeight="1">
      <c r="A37" s="199" t="s">
        <v>490</v>
      </c>
      <c r="B37" s="331" t="s">
        <v>487</v>
      </c>
      <c r="C37" s="682">
        <v>200000</v>
      </c>
      <c r="D37" s="171">
        <v>200000</v>
      </c>
      <c r="E37" s="107">
        <v>846000</v>
      </c>
    </row>
    <row r="38" spans="1:5" s="53" customFormat="1" ht="12" customHeight="1" thickBot="1">
      <c r="A38" s="200" t="s">
        <v>732</v>
      </c>
      <c r="B38" s="678" t="s">
        <v>733</v>
      </c>
      <c r="C38" s="682">
        <v>650000</v>
      </c>
      <c r="D38" s="246">
        <v>650000</v>
      </c>
      <c r="E38" s="107">
        <v>841299</v>
      </c>
    </row>
    <row r="39" spans="1:5" s="53" customFormat="1" ht="12" customHeight="1" thickBot="1">
      <c r="A39" s="25" t="s">
        <v>10</v>
      </c>
      <c r="B39" s="19" t="s">
        <v>339</v>
      </c>
      <c r="C39" s="168">
        <f>SUM(C40:C50)</f>
        <v>514828</v>
      </c>
      <c r="D39" s="255">
        <f>SUM(D40:D50)</f>
        <v>514828</v>
      </c>
      <c r="E39" s="104">
        <f>SUM(E40:E50)</f>
        <v>4725071</v>
      </c>
    </row>
    <row r="40" spans="1:5" s="53" customFormat="1" ht="12" customHeight="1">
      <c r="A40" s="198" t="s">
        <v>57</v>
      </c>
      <c r="B40" s="181" t="s">
        <v>188</v>
      </c>
      <c r="C40" s="170"/>
      <c r="D40" s="256"/>
      <c r="E40" s="106"/>
    </row>
    <row r="41" spans="1:5" s="53" customFormat="1" ht="12" customHeight="1">
      <c r="A41" s="199" t="s">
        <v>58</v>
      </c>
      <c r="B41" s="182" t="s">
        <v>189</v>
      </c>
      <c r="C41" s="169"/>
      <c r="D41" s="257"/>
      <c r="E41" s="105">
        <v>0</v>
      </c>
    </row>
    <row r="42" spans="1:5" s="53" customFormat="1" ht="12" customHeight="1">
      <c r="A42" s="199" t="s">
        <v>59</v>
      </c>
      <c r="B42" s="182" t="s">
        <v>190</v>
      </c>
      <c r="C42" s="681">
        <v>446664</v>
      </c>
      <c r="D42" s="169">
        <v>446664</v>
      </c>
      <c r="E42" s="105">
        <v>460057</v>
      </c>
    </row>
    <row r="43" spans="1:5" s="53" customFormat="1" ht="12" customHeight="1">
      <c r="A43" s="199" t="s">
        <v>116</v>
      </c>
      <c r="B43" s="182" t="s">
        <v>191</v>
      </c>
      <c r="C43" s="681"/>
      <c r="D43" s="169"/>
      <c r="E43" s="105">
        <v>2606165</v>
      </c>
    </row>
    <row r="44" spans="1:5" s="53" customFormat="1" ht="12" customHeight="1">
      <c r="A44" s="199" t="s">
        <v>117</v>
      </c>
      <c r="B44" s="182" t="s">
        <v>192</v>
      </c>
      <c r="C44" s="681"/>
      <c r="D44" s="169"/>
      <c r="E44" s="105"/>
    </row>
    <row r="45" spans="1:5" s="53" customFormat="1" ht="12" customHeight="1">
      <c r="A45" s="199" t="s">
        <v>118</v>
      </c>
      <c r="B45" s="182" t="s">
        <v>193</v>
      </c>
      <c r="C45" s="681">
        <v>58164</v>
      </c>
      <c r="D45" s="169">
        <v>58164</v>
      </c>
      <c r="E45" s="105">
        <v>709777</v>
      </c>
    </row>
    <row r="46" spans="1:5" s="53" customFormat="1" ht="12" customHeight="1">
      <c r="A46" s="199" t="s">
        <v>119</v>
      </c>
      <c r="B46" s="182" t="s">
        <v>194</v>
      </c>
      <c r="C46" s="681"/>
      <c r="D46" s="169"/>
      <c r="E46" s="105"/>
    </row>
    <row r="47" spans="1:5" s="53" customFormat="1" ht="12" customHeight="1">
      <c r="A47" s="199" t="s">
        <v>120</v>
      </c>
      <c r="B47" s="182" t="s">
        <v>491</v>
      </c>
      <c r="C47" s="681">
        <v>10000</v>
      </c>
      <c r="D47" s="169">
        <v>10000</v>
      </c>
      <c r="E47" s="105">
        <v>280</v>
      </c>
    </row>
    <row r="48" spans="1:5" s="53" customFormat="1" ht="12" customHeight="1">
      <c r="A48" s="199" t="s">
        <v>186</v>
      </c>
      <c r="B48" s="182" t="s">
        <v>196</v>
      </c>
      <c r="C48" s="172"/>
      <c r="D48" s="316"/>
      <c r="E48" s="108">
        <v>4688</v>
      </c>
    </row>
    <row r="49" spans="1:5" s="53" customFormat="1" ht="12" customHeight="1">
      <c r="A49" s="200" t="s">
        <v>187</v>
      </c>
      <c r="B49" s="183" t="s">
        <v>341</v>
      </c>
      <c r="C49" s="173"/>
      <c r="D49" s="317"/>
      <c r="E49" s="109"/>
    </row>
    <row r="50" spans="1:5" s="53" customFormat="1" ht="12" customHeight="1" thickBot="1">
      <c r="A50" s="200" t="s">
        <v>340</v>
      </c>
      <c r="B50" s="183" t="s">
        <v>197</v>
      </c>
      <c r="C50" s="173"/>
      <c r="D50" s="317"/>
      <c r="E50" s="109">
        <v>944104</v>
      </c>
    </row>
    <row r="51" spans="1:5" s="53" customFormat="1" ht="12" customHeight="1" thickBot="1">
      <c r="A51" s="25" t="s">
        <v>11</v>
      </c>
      <c r="B51" s="19" t="s">
        <v>198</v>
      </c>
      <c r="C51" s="168">
        <f>SUM(C52:C56)</f>
        <v>0</v>
      </c>
      <c r="D51" s="255">
        <f>SUM(D52:D56)</f>
        <v>0</v>
      </c>
      <c r="E51" s="104">
        <f>SUM(E52:E56)</f>
        <v>0</v>
      </c>
    </row>
    <row r="52" spans="1:5" s="53" customFormat="1" ht="12" customHeight="1">
      <c r="A52" s="198" t="s">
        <v>60</v>
      </c>
      <c r="B52" s="181" t="s">
        <v>202</v>
      </c>
      <c r="C52" s="221"/>
      <c r="D52" s="318"/>
      <c r="E52" s="110"/>
    </row>
    <row r="53" spans="1:5" s="53" customFormat="1" ht="12" customHeight="1">
      <c r="A53" s="199" t="s">
        <v>61</v>
      </c>
      <c r="B53" s="182" t="s">
        <v>203</v>
      </c>
      <c r="C53" s="172"/>
      <c r="D53" s="316"/>
      <c r="E53" s="108"/>
    </row>
    <row r="54" spans="1:5" s="53" customFormat="1" ht="12" customHeight="1">
      <c r="A54" s="199" t="s">
        <v>199</v>
      </c>
      <c r="B54" s="182" t="s">
        <v>204</v>
      </c>
      <c r="C54" s="172"/>
      <c r="D54" s="316"/>
      <c r="E54" s="108"/>
    </row>
    <row r="55" spans="1:5" s="53" customFormat="1" ht="12" customHeight="1">
      <c r="A55" s="199" t="s">
        <v>200</v>
      </c>
      <c r="B55" s="182" t="s">
        <v>205</v>
      </c>
      <c r="C55" s="172"/>
      <c r="D55" s="316"/>
      <c r="E55" s="108"/>
    </row>
    <row r="56" spans="1:5" s="53" customFormat="1" ht="12" customHeight="1" thickBot="1">
      <c r="A56" s="200" t="s">
        <v>201</v>
      </c>
      <c r="B56" s="183" t="s">
        <v>206</v>
      </c>
      <c r="C56" s="173"/>
      <c r="D56" s="317"/>
      <c r="E56" s="109"/>
    </row>
    <row r="57" spans="1:5" s="53" customFormat="1" ht="12" customHeight="1" thickBot="1">
      <c r="A57" s="25" t="s">
        <v>121</v>
      </c>
      <c r="B57" s="19" t="s">
        <v>207</v>
      </c>
      <c r="C57" s="168">
        <f>SUM(C58:C60)</f>
        <v>0</v>
      </c>
      <c r="D57" s="255">
        <f>SUM(D58:D60)</f>
        <v>1000000</v>
      </c>
      <c r="E57" s="104">
        <f>SUM(E58:E60)</f>
        <v>1000000</v>
      </c>
    </row>
    <row r="58" spans="1:5" s="53" customFormat="1" ht="12" customHeight="1">
      <c r="A58" s="198" t="s">
        <v>62</v>
      </c>
      <c r="B58" s="181" t="s">
        <v>208</v>
      </c>
      <c r="C58" s="170"/>
      <c r="D58" s="256"/>
      <c r="E58" s="106"/>
    </row>
    <row r="59" spans="1:5" s="53" customFormat="1" ht="12" customHeight="1">
      <c r="A59" s="199" t="s">
        <v>63</v>
      </c>
      <c r="B59" s="182" t="s">
        <v>333</v>
      </c>
      <c r="C59" s="169"/>
      <c r="D59" s="257"/>
      <c r="E59" s="105"/>
    </row>
    <row r="60" spans="1:5" s="53" customFormat="1" ht="12" customHeight="1">
      <c r="A60" s="199" t="s">
        <v>211</v>
      </c>
      <c r="B60" s="182" t="s">
        <v>209</v>
      </c>
      <c r="C60" s="169"/>
      <c r="D60" s="257">
        <v>1000000</v>
      </c>
      <c r="E60" s="105">
        <v>1000000</v>
      </c>
    </row>
    <row r="61" spans="1:5" s="53" customFormat="1" ht="12" customHeight="1" thickBot="1">
      <c r="A61" s="200" t="s">
        <v>212</v>
      </c>
      <c r="B61" s="183" t="s">
        <v>210</v>
      </c>
      <c r="C61" s="171"/>
      <c r="D61" s="258"/>
      <c r="E61" s="107"/>
    </row>
    <row r="62" spans="1:5" s="53" customFormat="1" ht="12" customHeight="1" thickBot="1">
      <c r="A62" s="25" t="s">
        <v>13</v>
      </c>
      <c r="B62" s="111" t="s">
        <v>213</v>
      </c>
      <c r="C62" s="168">
        <f>SUM(C63:C65)</f>
        <v>0</v>
      </c>
      <c r="D62" s="255">
        <f>SUM(D63:D65)</f>
        <v>0</v>
      </c>
      <c r="E62" s="104">
        <f>SUM(E63:E65)</f>
        <v>0</v>
      </c>
    </row>
    <row r="63" spans="1:5" s="53" customFormat="1" ht="12" customHeight="1">
      <c r="A63" s="198" t="s">
        <v>122</v>
      </c>
      <c r="B63" s="181" t="s">
        <v>215</v>
      </c>
      <c r="C63" s="172"/>
      <c r="D63" s="316"/>
      <c r="E63" s="108"/>
    </row>
    <row r="64" spans="1:5" s="53" customFormat="1" ht="12" customHeight="1">
      <c r="A64" s="199" t="s">
        <v>123</v>
      </c>
      <c r="B64" s="182" t="s">
        <v>334</v>
      </c>
      <c r="C64" s="172"/>
      <c r="D64" s="316"/>
      <c r="E64" s="108"/>
    </row>
    <row r="65" spans="1:5" s="53" customFormat="1" ht="12" customHeight="1">
      <c r="A65" s="199" t="s">
        <v>146</v>
      </c>
      <c r="B65" s="182" t="s">
        <v>216</v>
      </c>
      <c r="C65" s="172"/>
      <c r="D65" s="316"/>
      <c r="E65" s="108"/>
    </row>
    <row r="66" spans="1:5" s="53" customFormat="1" ht="12" customHeight="1" thickBot="1">
      <c r="A66" s="200" t="s">
        <v>214</v>
      </c>
      <c r="B66" s="183" t="s">
        <v>217</v>
      </c>
      <c r="C66" s="172"/>
      <c r="D66" s="316"/>
      <c r="E66" s="108"/>
    </row>
    <row r="67" spans="1:5" s="53" customFormat="1" ht="12" customHeight="1" thickBot="1">
      <c r="A67" s="25" t="s">
        <v>14</v>
      </c>
      <c r="B67" s="19" t="s">
        <v>218</v>
      </c>
      <c r="C67" s="174">
        <f>+C8+C16+C23+C30+C39+C51+C57+C62</f>
        <v>325604171</v>
      </c>
      <c r="D67" s="259">
        <f>+D8+D16+D23+D30+D39+D51+D57+D62</f>
        <v>386884663</v>
      </c>
      <c r="E67" s="210">
        <f>+E8+E16+E23+E30+E39+E51+E57+E62</f>
        <v>462616785</v>
      </c>
    </row>
    <row r="68" spans="1:5" s="53" customFormat="1" ht="12" customHeight="1" thickBot="1">
      <c r="A68" s="201" t="s">
        <v>303</v>
      </c>
      <c r="B68" s="111" t="s">
        <v>220</v>
      </c>
      <c r="C68" s="168">
        <f>SUM(C69:C71)</f>
        <v>0</v>
      </c>
      <c r="D68" s="255">
        <f>SUM(D69:D71)</f>
        <v>0</v>
      </c>
      <c r="E68" s="104">
        <f>SUM(E69:E71)</f>
        <v>0</v>
      </c>
    </row>
    <row r="69" spans="1:5" s="53" customFormat="1" ht="12" customHeight="1">
      <c r="A69" s="198" t="s">
        <v>248</v>
      </c>
      <c r="B69" s="181" t="s">
        <v>221</v>
      </c>
      <c r="C69" s="172"/>
      <c r="D69" s="316"/>
      <c r="E69" s="108"/>
    </row>
    <row r="70" spans="1:5" s="53" customFormat="1" ht="12" customHeight="1">
      <c r="A70" s="199" t="s">
        <v>257</v>
      </c>
      <c r="B70" s="182" t="s">
        <v>222</v>
      </c>
      <c r="C70" s="172"/>
      <c r="D70" s="316"/>
      <c r="E70" s="108"/>
    </row>
    <row r="71" spans="1:5" s="53" customFormat="1" ht="12" customHeight="1" thickBot="1">
      <c r="A71" s="208" t="s">
        <v>258</v>
      </c>
      <c r="B71" s="376" t="s">
        <v>223</v>
      </c>
      <c r="C71" s="377"/>
      <c r="D71" s="319"/>
      <c r="E71" s="378"/>
    </row>
    <row r="72" spans="1:5" s="53" customFormat="1" ht="12" customHeight="1" thickBot="1">
      <c r="A72" s="201" t="s">
        <v>224</v>
      </c>
      <c r="B72" s="111" t="s">
        <v>225</v>
      </c>
      <c r="C72" s="168">
        <f>SUM(C73:C76)</f>
        <v>0</v>
      </c>
      <c r="D72" s="168">
        <f>SUM(D73:D76)</f>
        <v>0</v>
      </c>
      <c r="E72" s="104">
        <f>SUM(E73:E76)</f>
        <v>0</v>
      </c>
    </row>
    <row r="73" spans="1:5" s="53" customFormat="1" ht="12" customHeight="1">
      <c r="A73" s="198" t="s">
        <v>100</v>
      </c>
      <c r="B73" s="359" t="s">
        <v>226</v>
      </c>
      <c r="C73" s="172"/>
      <c r="D73" s="172"/>
      <c r="E73" s="108"/>
    </row>
    <row r="74" spans="1:5" s="53" customFormat="1" ht="12" customHeight="1">
      <c r="A74" s="199" t="s">
        <v>101</v>
      </c>
      <c r="B74" s="359" t="s">
        <v>498</v>
      </c>
      <c r="C74" s="172"/>
      <c r="D74" s="172"/>
      <c r="E74" s="108"/>
    </row>
    <row r="75" spans="1:5" s="53" customFormat="1" ht="12" customHeight="1">
      <c r="A75" s="199" t="s">
        <v>249</v>
      </c>
      <c r="B75" s="359" t="s">
        <v>227</v>
      </c>
      <c r="C75" s="172"/>
      <c r="D75" s="172"/>
      <c r="E75" s="108"/>
    </row>
    <row r="76" spans="1:5" s="53" customFormat="1" ht="12" customHeight="1" thickBot="1">
      <c r="A76" s="200" t="s">
        <v>250</v>
      </c>
      <c r="B76" s="360" t="s">
        <v>499</v>
      </c>
      <c r="C76" s="172"/>
      <c r="D76" s="172"/>
      <c r="E76" s="108"/>
    </row>
    <row r="77" spans="1:5" s="53" customFormat="1" ht="12" customHeight="1" thickBot="1">
      <c r="A77" s="201" t="s">
        <v>228</v>
      </c>
      <c r="B77" s="111" t="s">
        <v>229</v>
      </c>
      <c r="C77" s="168">
        <f>SUM(C78:C79)</f>
        <v>231000000</v>
      </c>
      <c r="D77" s="168">
        <f>SUM(D78:D79)</f>
        <v>257888464</v>
      </c>
      <c r="E77" s="104">
        <f>SUM(E78:E79)</f>
        <v>257888464</v>
      </c>
    </row>
    <row r="78" spans="1:5" s="53" customFormat="1" ht="12" customHeight="1">
      <c r="A78" s="198" t="s">
        <v>251</v>
      </c>
      <c r="B78" s="181" t="s">
        <v>230</v>
      </c>
      <c r="C78" s="684">
        <v>231000000</v>
      </c>
      <c r="D78" s="694">
        <v>257888464</v>
      </c>
      <c r="E78" s="108">
        <v>257888464</v>
      </c>
    </row>
    <row r="79" spans="1:5" s="53" customFormat="1" ht="12" customHeight="1" thickBot="1">
      <c r="A79" s="200" t="s">
        <v>252</v>
      </c>
      <c r="B79" s="183" t="s">
        <v>231</v>
      </c>
      <c r="C79" s="172"/>
      <c r="D79" s="172"/>
      <c r="E79" s="108"/>
    </row>
    <row r="80" spans="1:5" s="52" customFormat="1" ht="12" customHeight="1" thickBot="1">
      <c r="A80" s="201" t="s">
        <v>232</v>
      </c>
      <c r="B80" s="111" t="s">
        <v>233</v>
      </c>
      <c r="C80" s="168">
        <f>SUM(C81:C83)</f>
        <v>0</v>
      </c>
      <c r="D80" s="168">
        <f>SUM(D81:D83)</f>
        <v>16685273</v>
      </c>
      <c r="E80" s="104">
        <f>SUM(E81:E83)</f>
        <v>16685273</v>
      </c>
    </row>
    <row r="81" spans="1:5" s="53" customFormat="1" ht="12" customHeight="1">
      <c r="A81" s="198" t="s">
        <v>253</v>
      </c>
      <c r="B81" s="181" t="s">
        <v>234</v>
      </c>
      <c r="C81" s="172"/>
      <c r="D81" s="172">
        <v>16685273</v>
      </c>
      <c r="E81" s="108">
        <v>16685273</v>
      </c>
    </row>
    <row r="82" spans="1:5" s="53" customFormat="1" ht="12" customHeight="1">
      <c r="A82" s="199" t="s">
        <v>254</v>
      </c>
      <c r="B82" s="182" t="s">
        <v>235</v>
      </c>
      <c r="C82" s="172"/>
      <c r="D82" s="172"/>
      <c r="E82" s="108"/>
    </row>
    <row r="83" spans="1:5" s="53" customFormat="1" ht="12" customHeight="1" thickBot="1">
      <c r="A83" s="200" t="s">
        <v>255</v>
      </c>
      <c r="B83" s="183" t="s">
        <v>500</v>
      </c>
      <c r="C83" s="172"/>
      <c r="D83" s="172"/>
      <c r="E83" s="108"/>
    </row>
    <row r="84" spans="1:5" s="53" customFormat="1" ht="12" customHeight="1" thickBot="1">
      <c r="A84" s="201" t="s">
        <v>236</v>
      </c>
      <c r="B84" s="111" t="s">
        <v>256</v>
      </c>
      <c r="C84" s="168">
        <f>SUM(C85:C88)</f>
        <v>0</v>
      </c>
      <c r="D84" s="168">
        <f>SUM(D85:D88)</f>
        <v>0</v>
      </c>
      <c r="E84" s="104">
        <f>SUM(E85:E88)</f>
        <v>0</v>
      </c>
    </row>
    <row r="85" spans="1:5" s="53" customFormat="1" ht="12" customHeight="1">
      <c r="A85" s="202" t="s">
        <v>237</v>
      </c>
      <c r="B85" s="181" t="s">
        <v>238</v>
      </c>
      <c r="C85" s="172"/>
      <c r="D85" s="172"/>
      <c r="E85" s="108"/>
    </row>
    <row r="86" spans="1:5" s="53" customFormat="1" ht="12" customHeight="1">
      <c r="A86" s="203" t="s">
        <v>239</v>
      </c>
      <c r="B86" s="182" t="s">
        <v>240</v>
      </c>
      <c r="C86" s="172"/>
      <c r="D86" s="172"/>
      <c r="E86" s="108"/>
    </row>
    <row r="87" spans="1:5" s="53" customFormat="1" ht="12" customHeight="1">
      <c r="A87" s="203" t="s">
        <v>241</v>
      </c>
      <c r="B87" s="182" t="s">
        <v>242</v>
      </c>
      <c r="C87" s="172"/>
      <c r="D87" s="172"/>
      <c r="E87" s="108"/>
    </row>
    <row r="88" spans="1:5" s="52" customFormat="1" ht="12" customHeight="1" thickBot="1">
      <c r="A88" s="204" t="s">
        <v>243</v>
      </c>
      <c r="B88" s="183" t="s">
        <v>244</v>
      </c>
      <c r="C88" s="172"/>
      <c r="D88" s="172"/>
      <c r="E88" s="108"/>
    </row>
    <row r="89" spans="1:5" s="52" customFormat="1" ht="12" customHeight="1" thickBot="1">
      <c r="A89" s="201" t="s">
        <v>245</v>
      </c>
      <c r="B89" s="111" t="s">
        <v>380</v>
      </c>
      <c r="C89" s="224"/>
      <c r="D89" s="224"/>
      <c r="E89" s="225"/>
    </row>
    <row r="90" spans="1:5" s="52" customFormat="1" ht="12" customHeight="1" thickBot="1">
      <c r="A90" s="201" t="s">
        <v>398</v>
      </c>
      <c r="B90" s="111" t="s">
        <v>246</v>
      </c>
      <c r="C90" s="224"/>
      <c r="D90" s="224"/>
      <c r="E90" s="225"/>
    </row>
    <row r="91" spans="1:5" s="52" customFormat="1" ht="12" customHeight="1" thickBot="1">
      <c r="A91" s="201" t="s">
        <v>399</v>
      </c>
      <c r="B91" s="188" t="s">
        <v>383</v>
      </c>
      <c r="C91" s="174">
        <f>+C68+C72+C77+C80+C84+C90+C89</f>
        <v>231000000</v>
      </c>
      <c r="D91" s="174">
        <f>+D68+D72+D77+D80+D84+D90+D89</f>
        <v>274573737</v>
      </c>
      <c r="E91" s="210">
        <f>+E68+E72+E77+E80+E84+E90+E89</f>
        <v>274573737</v>
      </c>
    </row>
    <row r="92" spans="1:5" s="52" customFormat="1" ht="12" customHeight="1" thickBot="1">
      <c r="A92" s="205" t="s">
        <v>400</v>
      </c>
      <c r="B92" s="189" t="s">
        <v>401</v>
      </c>
      <c r="C92" s="174">
        <f>+C67+C91</f>
        <v>556604171</v>
      </c>
      <c r="D92" s="174">
        <f>+D67+D91</f>
        <v>661458400</v>
      </c>
      <c r="E92" s="210">
        <f>+E67+E91</f>
        <v>737190522</v>
      </c>
    </row>
    <row r="93" spans="1:3" s="53" customFormat="1" ht="15" customHeight="1" thickBot="1">
      <c r="A93" s="88"/>
      <c r="B93" s="89"/>
      <c r="C93" s="150"/>
    </row>
    <row r="94" spans="1:5" s="46" customFormat="1" ht="16.5" customHeight="1" thickBot="1">
      <c r="A94" s="903" t="s">
        <v>41</v>
      </c>
      <c r="B94" s="904"/>
      <c r="C94" s="904"/>
      <c r="D94" s="904"/>
      <c r="E94" s="905"/>
    </row>
    <row r="95" spans="1:5" s="54" customFormat="1" ht="12" customHeight="1" thickBot="1">
      <c r="A95" s="175" t="s">
        <v>6</v>
      </c>
      <c r="B95" s="24" t="s">
        <v>405</v>
      </c>
      <c r="C95" s="167">
        <f>+C96+C97+C98+C99+C100+C113</f>
        <v>156613369</v>
      </c>
      <c r="D95" s="167">
        <f>+D96+D97+D98+D99+D100+D113</f>
        <v>207182335</v>
      </c>
      <c r="E95" s="238">
        <f>+E96+E97+E98+E99+E100+E113</f>
        <v>130920765</v>
      </c>
    </row>
    <row r="96" spans="1:5" ht="12" customHeight="1">
      <c r="A96" s="206" t="s">
        <v>64</v>
      </c>
      <c r="B96" s="8" t="s">
        <v>35</v>
      </c>
      <c r="C96" s="690">
        <v>26018790</v>
      </c>
      <c r="D96" s="245">
        <v>26803026</v>
      </c>
      <c r="E96" s="239">
        <v>17851388</v>
      </c>
    </row>
    <row r="97" spans="1:5" ht="12" customHeight="1">
      <c r="A97" s="199" t="s">
        <v>65</v>
      </c>
      <c r="B97" s="6" t="s">
        <v>124</v>
      </c>
      <c r="C97" s="681">
        <v>2702452</v>
      </c>
      <c r="D97" s="169">
        <v>2907049</v>
      </c>
      <c r="E97" s="105">
        <v>2256928</v>
      </c>
    </row>
    <row r="98" spans="1:5" ht="12" customHeight="1">
      <c r="A98" s="199" t="s">
        <v>66</v>
      </c>
      <c r="B98" s="6" t="s">
        <v>92</v>
      </c>
      <c r="C98" s="682">
        <v>50165160</v>
      </c>
      <c r="D98" s="169">
        <v>58314532</v>
      </c>
      <c r="E98" s="107">
        <v>41820888</v>
      </c>
    </row>
    <row r="99" spans="1:5" ht="12" customHeight="1">
      <c r="A99" s="199" t="s">
        <v>67</v>
      </c>
      <c r="B99" s="9" t="s">
        <v>125</v>
      </c>
      <c r="C99" s="682">
        <v>5840000</v>
      </c>
      <c r="D99" s="169">
        <v>5840000</v>
      </c>
      <c r="E99" s="107">
        <v>2808500</v>
      </c>
    </row>
    <row r="100" spans="1:5" ht="12" customHeight="1">
      <c r="A100" s="199" t="s">
        <v>76</v>
      </c>
      <c r="B100" s="17" t="s">
        <v>126</v>
      </c>
      <c r="C100" s="682">
        <v>55605179</v>
      </c>
      <c r="D100" s="169">
        <v>66557430</v>
      </c>
      <c r="E100" s="107">
        <v>66183061</v>
      </c>
    </row>
    <row r="101" spans="1:5" ht="12" customHeight="1">
      <c r="A101" s="199" t="s">
        <v>68</v>
      </c>
      <c r="B101" s="6" t="s">
        <v>402</v>
      </c>
      <c r="C101" s="682">
        <v>696579</v>
      </c>
      <c r="D101" s="169"/>
      <c r="E101" s="107">
        <v>36830</v>
      </c>
    </row>
    <row r="102" spans="1:5" ht="12" customHeight="1">
      <c r="A102" s="199" t="s">
        <v>69</v>
      </c>
      <c r="B102" s="64" t="s">
        <v>346</v>
      </c>
      <c r="C102" s="682">
        <v>2961554</v>
      </c>
      <c r="D102" s="169">
        <v>2961554</v>
      </c>
      <c r="E102" s="107">
        <v>2961554</v>
      </c>
    </row>
    <row r="103" spans="1:5" ht="12" customHeight="1">
      <c r="A103" s="199" t="s">
        <v>77</v>
      </c>
      <c r="B103" s="64" t="s">
        <v>345</v>
      </c>
      <c r="C103" s="682"/>
      <c r="D103" s="169"/>
      <c r="E103" s="107"/>
    </row>
    <row r="104" spans="1:5" ht="12" customHeight="1">
      <c r="A104" s="199" t="s">
        <v>78</v>
      </c>
      <c r="B104" s="64" t="s">
        <v>262</v>
      </c>
      <c r="C104" s="682"/>
      <c r="D104" s="169"/>
      <c r="E104" s="107"/>
    </row>
    <row r="105" spans="1:5" ht="12" customHeight="1">
      <c r="A105" s="199" t="s">
        <v>79</v>
      </c>
      <c r="B105" s="65" t="s">
        <v>263</v>
      </c>
      <c r="C105" s="682"/>
      <c r="D105" s="169">
        <v>36830</v>
      </c>
      <c r="E105" s="107"/>
    </row>
    <row r="106" spans="1:5" ht="12" customHeight="1">
      <c r="A106" s="199" t="s">
        <v>80</v>
      </c>
      <c r="B106" s="65" t="s">
        <v>264</v>
      </c>
      <c r="C106" s="682"/>
      <c r="D106" s="169"/>
      <c r="E106" s="107"/>
    </row>
    <row r="107" spans="1:5" ht="12" customHeight="1">
      <c r="A107" s="199" t="s">
        <v>82</v>
      </c>
      <c r="B107" s="64" t="s">
        <v>265</v>
      </c>
      <c r="C107" s="682">
        <v>51405046</v>
      </c>
      <c r="D107" s="169">
        <v>51675046</v>
      </c>
      <c r="E107" s="107">
        <v>51400677</v>
      </c>
    </row>
    <row r="108" spans="1:5" ht="12" customHeight="1">
      <c r="A108" s="199" t="s">
        <v>127</v>
      </c>
      <c r="B108" s="64" t="s">
        <v>266</v>
      </c>
      <c r="C108" s="682"/>
      <c r="D108" s="169"/>
      <c r="E108" s="107"/>
    </row>
    <row r="109" spans="1:5" ht="12" customHeight="1">
      <c r="A109" s="199" t="s">
        <v>260</v>
      </c>
      <c r="B109" s="65" t="s">
        <v>267</v>
      </c>
      <c r="C109" s="682"/>
      <c r="D109" s="169"/>
      <c r="E109" s="107"/>
    </row>
    <row r="110" spans="1:5" ht="12" customHeight="1">
      <c r="A110" s="207" t="s">
        <v>261</v>
      </c>
      <c r="B110" s="66" t="s">
        <v>268</v>
      </c>
      <c r="C110" s="682"/>
      <c r="D110" s="169"/>
      <c r="E110" s="107"/>
    </row>
    <row r="111" spans="1:5" ht="12" customHeight="1">
      <c r="A111" s="199" t="s">
        <v>343</v>
      </c>
      <c r="B111" s="66" t="s">
        <v>269</v>
      </c>
      <c r="C111" s="682"/>
      <c r="D111" s="169"/>
      <c r="E111" s="107"/>
    </row>
    <row r="112" spans="1:5" ht="12" customHeight="1">
      <c r="A112" s="199" t="s">
        <v>344</v>
      </c>
      <c r="B112" s="65" t="s">
        <v>270</v>
      </c>
      <c r="C112" s="681">
        <v>542000</v>
      </c>
      <c r="D112" s="169">
        <v>11884000</v>
      </c>
      <c r="E112" s="105">
        <v>11784000</v>
      </c>
    </row>
    <row r="113" spans="1:5" ht="12" customHeight="1">
      <c r="A113" s="199" t="s">
        <v>348</v>
      </c>
      <c r="B113" s="9" t="s">
        <v>36</v>
      </c>
      <c r="C113" s="681">
        <v>16281788</v>
      </c>
      <c r="D113" s="169">
        <v>46760298</v>
      </c>
      <c r="E113" s="105"/>
    </row>
    <row r="114" spans="1:5" ht="12" customHeight="1">
      <c r="A114" s="200" t="s">
        <v>349</v>
      </c>
      <c r="B114" s="6" t="s">
        <v>403</v>
      </c>
      <c r="C114" s="682">
        <v>8330929</v>
      </c>
      <c r="D114" s="169">
        <v>38809439</v>
      </c>
      <c r="E114" s="107"/>
    </row>
    <row r="115" spans="1:5" ht="12" customHeight="1" thickBot="1">
      <c r="A115" s="208" t="s">
        <v>350</v>
      </c>
      <c r="B115" s="67" t="s">
        <v>404</v>
      </c>
      <c r="C115" s="691">
        <v>7950859</v>
      </c>
      <c r="D115" s="246">
        <v>7950859</v>
      </c>
      <c r="E115" s="240"/>
    </row>
    <row r="116" spans="1:5" ht="12" customHeight="1" thickBot="1">
      <c r="A116" s="25" t="s">
        <v>7</v>
      </c>
      <c r="B116" s="23" t="s">
        <v>271</v>
      </c>
      <c r="C116" s="168">
        <f>+C117+C119+C121</f>
        <v>42004143</v>
      </c>
      <c r="D116" s="255">
        <f>+D117+D119+D121</f>
        <v>87246987</v>
      </c>
      <c r="E116" s="104">
        <f>+E117+E119+E121</f>
        <v>39991197</v>
      </c>
    </row>
    <row r="117" spans="1:5" ht="12" customHeight="1">
      <c r="A117" s="198" t="s">
        <v>70</v>
      </c>
      <c r="B117" s="6" t="s">
        <v>145</v>
      </c>
      <c r="C117" s="685">
        <v>42004143</v>
      </c>
      <c r="D117" s="245">
        <v>83214144</v>
      </c>
      <c r="E117" s="106">
        <v>35958354</v>
      </c>
    </row>
    <row r="118" spans="1:5" ht="12" customHeight="1">
      <c r="A118" s="198" t="s">
        <v>71</v>
      </c>
      <c r="B118" s="10" t="s">
        <v>275</v>
      </c>
      <c r="C118" s="170"/>
      <c r="D118" s="256"/>
      <c r="E118" s="106"/>
    </row>
    <row r="119" spans="1:5" ht="12" customHeight="1">
      <c r="A119" s="198" t="s">
        <v>72</v>
      </c>
      <c r="B119" s="10" t="s">
        <v>128</v>
      </c>
      <c r="C119" s="169"/>
      <c r="D119" s="257"/>
      <c r="E119" s="105"/>
    </row>
    <row r="120" spans="1:5" ht="12" customHeight="1">
      <c r="A120" s="198" t="s">
        <v>73</v>
      </c>
      <c r="B120" s="10" t="s">
        <v>276</v>
      </c>
      <c r="C120" s="169"/>
      <c r="D120" s="257"/>
      <c r="E120" s="105"/>
    </row>
    <row r="121" spans="1:5" ht="12" customHeight="1">
      <c r="A121" s="198" t="s">
        <v>74</v>
      </c>
      <c r="B121" s="113" t="s">
        <v>147</v>
      </c>
      <c r="C121" s="169"/>
      <c r="D121" s="257">
        <v>4032843</v>
      </c>
      <c r="E121" s="105">
        <v>4032843</v>
      </c>
    </row>
    <row r="122" spans="1:5" ht="12" customHeight="1">
      <c r="A122" s="198" t="s">
        <v>81</v>
      </c>
      <c r="B122" s="112" t="s">
        <v>335</v>
      </c>
      <c r="C122" s="169"/>
      <c r="D122" s="257"/>
      <c r="E122" s="105"/>
    </row>
    <row r="123" spans="1:5" ht="12" customHeight="1">
      <c r="A123" s="198" t="s">
        <v>83</v>
      </c>
      <c r="B123" s="177" t="s">
        <v>281</v>
      </c>
      <c r="C123" s="169"/>
      <c r="D123" s="257"/>
      <c r="E123" s="105"/>
    </row>
    <row r="124" spans="1:5" ht="12" customHeight="1">
      <c r="A124" s="198" t="s">
        <v>129</v>
      </c>
      <c r="B124" s="65" t="s">
        <v>264</v>
      </c>
      <c r="C124" s="169"/>
      <c r="D124" s="257"/>
      <c r="E124" s="105"/>
    </row>
    <row r="125" spans="1:5" ht="12" customHeight="1">
      <c r="A125" s="198" t="s">
        <v>130</v>
      </c>
      <c r="B125" s="65" t="s">
        <v>280</v>
      </c>
      <c r="C125" s="169"/>
      <c r="D125" s="257">
        <v>1028112</v>
      </c>
      <c r="E125" s="105">
        <v>1028112</v>
      </c>
    </row>
    <row r="126" spans="1:5" ht="12" customHeight="1">
      <c r="A126" s="198" t="s">
        <v>131</v>
      </c>
      <c r="B126" s="65" t="s">
        <v>279</v>
      </c>
      <c r="C126" s="169"/>
      <c r="D126" s="257"/>
      <c r="E126" s="105"/>
    </row>
    <row r="127" spans="1:5" ht="12" customHeight="1">
      <c r="A127" s="198" t="s">
        <v>272</v>
      </c>
      <c r="B127" s="65" t="s">
        <v>267</v>
      </c>
      <c r="C127" s="169"/>
      <c r="D127" s="257"/>
      <c r="E127" s="105">
        <v>0</v>
      </c>
    </row>
    <row r="128" spans="1:5" ht="12" customHeight="1">
      <c r="A128" s="198" t="s">
        <v>273</v>
      </c>
      <c r="B128" s="65" t="s">
        <v>278</v>
      </c>
      <c r="C128" s="169"/>
      <c r="D128" s="257"/>
      <c r="E128" s="105"/>
    </row>
    <row r="129" spans="1:5" ht="12" customHeight="1" thickBot="1">
      <c r="A129" s="207" t="s">
        <v>274</v>
      </c>
      <c r="B129" s="65" t="s">
        <v>277</v>
      </c>
      <c r="C129" s="171"/>
      <c r="D129" s="258">
        <v>3004731</v>
      </c>
      <c r="E129" s="107">
        <v>3004731</v>
      </c>
    </row>
    <row r="130" spans="1:5" ht="12" customHeight="1" thickBot="1">
      <c r="A130" s="25" t="s">
        <v>8</v>
      </c>
      <c r="B130" s="58" t="s">
        <v>353</v>
      </c>
      <c r="C130" s="168">
        <f>+C95+C116</f>
        <v>198617512</v>
      </c>
      <c r="D130" s="255">
        <f>+D95+D116</f>
        <v>294429322</v>
      </c>
      <c r="E130" s="104">
        <f>+E95+E116</f>
        <v>170911962</v>
      </c>
    </row>
    <row r="131" spans="1:5" ht="12" customHeight="1" thickBot="1">
      <c r="A131" s="25" t="s">
        <v>9</v>
      </c>
      <c r="B131" s="58" t="s">
        <v>354</v>
      </c>
      <c r="C131" s="168">
        <f>+C132+C133+C134</f>
        <v>0</v>
      </c>
      <c r="D131" s="255">
        <f>+D132+D133+D134</f>
        <v>0</v>
      </c>
      <c r="E131" s="104">
        <f>+E132+E133+E134</f>
        <v>0</v>
      </c>
    </row>
    <row r="132" spans="1:5" s="54" customFormat="1" ht="12" customHeight="1">
      <c r="A132" s="198" t="s">
        <v>179</v>
      </c>
      <c r="B132" s="7" t="s">
        <v>408</v>
      </c>
      <c r="C132" s="169"/>
      <c r="D132" s="257"/>
      <c r="E132" s="105"/>
    </row>
    <row r="133" spans="1:5" ht="12" customHeight="1">
      <c r="A133" s="198" t="s">
        <v>180</v>
      </c>
      <c r="B133" s="7" t="s">
        <v>362</v>
      </c>
      <c r="C133" s="169"/>
      <c r="D133" s="257"/>
      <c r="E133" s="105"/>
    </row>
    <row r="134" spans="1:5" ht="12" customHeight="1" thickBot="1">
      <c r="A134" s="207" t="s">
        <v>181</v>
      </c>
      <c r="B134" s="5" t="s">
        <v>407</v>
      </c>
      <c r="C134" s="169"/>
      <c r="D134" s="257"/>
      <c r="E134" s="105"/>
    </row>
    <row r="135" spans="1:5" ht="12" customHeight="1" thickBot="1">
      <c r="A135" s="25" t="s">
        <v>10</v>
      </c>
      <c r="B135" s="58" t="s">
        <v>355</v>
      </c>
      <c r="C135" s="168">
        <f>+C136+C137+C138+C139+C140+C141</f>
        <v>0</v>
      </c>
      <c r="D135" s="255">
        <f>+D136+D137+D138+D139+D140+D141</f>
        <v>0</v>
      </c>
      <c r="E135" s="104">
        <f>+E136+E137+E138+E139+E140+E141</f>
        <v>0</v>
      </c>
    </row>
    <row r="136" spans="1:5" ht="12" customHeight="1">
      <c r="A136" s="198" t="s">
        <v>57</v>
      </c>
      <c r="B136" s="7" t="s">
        <v>364</v>
      </c>
      <c r="C136" s="169"/>
      <c r="D136" s="257"/>
      <c r="E136" s="105"/>
    </row>
    <row r="137" spans="1:5" ht="12" customHeight="1">
      <c r="A137" s="198" t="s">
        <v>58</v>
      </c>
      <c r="B137" s="7" t="s">
        <v>356</v>
      </c>
      <c r="C137" s="169"/>
      <c r="D137" s="257"/>
      <c r="E137" s="105"/>
    </row>
    <row r="138" spans="1:5" ht="12" customHeight="1">
      <c r="A138" s="198" t="s">
        <v>59</v>
      </c>
      <c r="B138" s="7" t="s">
        <v>357</v>
      </c>
      <c r="C138" s="169"/>
      <c r="D138" s="257"/>
      <c r="E138" s="105"/>
    </row>
    <row r="139" spans="1:5" ht="12" customHeight="1">
      <c r="A139" s="198" t="s">
        <v>116</v>
      </c>
      <c r="B139" s="7" t="s">
        <v>406</v>
      </c>
      <c r="C139" s="169"/>
      <c r="D139" s="257"/>
      <c r="E139" s="105"/>
    </row>
    <row r="140" spans="1:5" ht="12" customHeight="1">
      <c r="A140" s="198" t="s">
        <v>117</v>
      </c>
      <c r="B140" s="7" t="s">
        <v>359</v>
      </c>
      <c r="C140" s="169"/>
      <c r="D140" s="257"/>
      <c r="E140" s="105"/>
    </row>
    <row r="141" spans="1:5" s="54" customFormat="1" ht="12" customHeight="1" thickBot="1">
      <c r="A141" s="207" t="s">
        <v>118</v>
      </c>
      <c r="B141" s="5" t="s">
        <v>360</v>
      </c>
      <c r="C141" s="169"/>
      <c r="D141" s="257"/>
      <c r="E141" s="105"/>
    </row>
    <row r="142" spans="1:11" ht="12" customHeight="1" thickBot="1">
      <c r="A142" s="25" t="s">
        <v>11</v>
      </c>
      <c r="B142" s="58" t="s">
        <v>421</v>
      </c>
      <c r="C142" s="174">
        <f>+C143+C144+C146+C147+C145</f>
        <v>370805843</v>
      </c>
      <c r="D142" s="259">
        <f>+D143+D144+D146+D147+D145</f>
        <v>386119134</v>
      </c>
      <c r="E142" s="210">
        <f>+E143+E144+E146+E147+E145</f>
        <v>349761568</v>
      </c>
      <c r="K142" s="97"/>
    </row>
    <row r="143" spans="1:5" ht="12.75">
      <c r="A143" s="198" t="s">
        <v>60</v>
      </c>
      <c r="B143" s="7" t="s">
        <v>282</v>
      </c>
      <c r="C143" s="169"/>
      <c r="D143" s="257"/>
      <c r="E143" s="105"/>
    </row>
    <row r="144" spans="1:5" ht="12" customHeight="1">
      <c r="A144" s="198" t="s">
        <v>61</v>
      </c>
      <c r="B144" s="7" t="s">
        <v>283</v>
      </c>
      <c r="C144" s="689">
        <v>4440354</v>
      </c>
      <c r="D144" s="169">
        <v>15647961</v>
      </c>
      <c r="E144" s="105">
        <v>15647961</v>
      </c>
    </row>
    <row r="145" spans="1:5" ht="12" customHeight="1">
      <c r="A145" s="198" t="s">
        <v>199</v>
      </c>
      <c r="B145" s="7" t="s">
        <v>420</v>
      </c>
      <c r="C145" s="689">
        <v>366365489</v>
      </c>
      <c r="D145" s="169">
        <v>370471173</v>
      </c>
      <c r="E145" s="105">
        <v>334113607</v>
      </c>
    </row>
    <row r="146" spans="1:5" s="54" customFormat="1" ht="12" customHeight="1">
      <c r="A146" s="198" t="s">
        <v>200</v>
      </c>
      <c r="B146" s="7" t="s">
        <v>369</v>
      </c>
      <c r="C146" s="169"/>
      <c r="D146" s="257"/>
      <c r="E146" s="105"/>
    </row>
    <row r="147" spans="1:5" s="54" customFormat="1" ht="12" customHeight="1" thickBot="1">
      <c r="A147" s="207" t="s">
        <v>201</v>
      </c>
      <c r="B147" s="5" t="s">
        <v>299</v>
      </c>
      <c r="C147" s="169"/>
      <c r="D147" s="257"/>
      <c r="E147" s="105"/>
    </row>
    <row r="148" spans="1:5" s="54" customFormat="1" ht="12" customHeight="1" thickBot="1">
      <c r="A148" s="25" t="s">
        <v>12</v>
      </c>
      <c r="B148" s="58" t="s">
        <v>370</v>
      </c>
      <c r="C148" s="248">
        <f>+C149+C150+C151+C152+C153</f>
        <v>0</v>
      </c>
      <c r="D148" s="260">
        <f>+D149+D150+D151+D152+D153</f>
        <v>0</v>
      </c>
      <c r="E148" s="242">
        <f>+E149+E150+E151+E152+E153</f>
        <v>0</v>
      </c>
    </row>
    <row r="149" spans="1:5" s="54" customFormat="1" ht="12" customHeight="1">
      <c r="A149" s="198" t="s">
        <v>62</v>
      </c>
      <c r="B149" s="7" t="s">
        <v>365</v>
      </c>
      <c r="C149" s="169"/>
      <c r="D149" s="257"/>
      <c r="E149" s="105"/>
    </row>
    <row r="150" spans="1:5" s="54" customFormat="1" ht="12" customHeight="1">
      <c r="A150" s="198" t="s">
        <v>63</v>
      </c>
      <c r="B150" s="7" t="s">
        <v>372</v>
      </c>
      <c r="C150" s="169"/>
      <c r="D150" s="257"/>
      <c r="E150" s="105"/>
    </row>
    <row r="151" spans="1:5" s="54" customFormat="1" ht="12" customHeight="1">
      <c r="A151" s="198" t="s">
        <v>211</v>
      </c>
      <c r="B151" s="7" t="s">
        <v>367</v>
      </c>
      <c r="C151" s="169"/>
      <c r="D151" s="257"/>
      <c r="E151" s="105"/>
    </row>
    <row r="152" spans="1:5" s="54" customFormat="1" ht="12" customHeight="1">
      <c r="A152" s="198" t="s">
        <v>212</v>
      </c>
      <c r="B152" s="7" t="s">
        <v>409</v>
      </c>
      <c r="C152" s="169"/>
      <c r="D152" s="257"/>
      <c r="E152" s="105"/>
    </row>
    <row r="153" spans="1:5" ht="12.75" customHeight="1" thickBot="1">
      <c r="A153" s="207" t="s">
        <v>371</v>
      </c>
      <c r="B153" s="5" t="s">
        <v>374</v>
      </c>
      <c r="C153" s="171"/>
      <c r="D153" s="258"/>
      <c r="E153" s="107"/>
    </row>
    <row r="154" spans="1:5" ht="12.75" customHeight="1" thickBot="1">
      <c r="A154" s="237" t="s">
        <v>13</v>
      </c>
      <c r="B154" s="58" t="s">
        <v>375</v>
      </c>
      <c r="C154" s="248"/>
      <c r="D154" s="260"/>
      <c r="E154" s="242"/>
    </row>
    <row r="155" spans="1:5" ht="12.75" customHeight="1" thickBot="1">
      <c r="A155" s="237" t="s">
        <v>14</v>
      </c>
      <c r="B155" s="58" t="s">
        <v>376</v>
      </c>
      <c r="C155" s="248"/>
      <c r="D155" s="260"/>
      <c r="E155" s="242"/>
    </row>
    <row r="156" spans="1:5" ht="12" customHeight="1" thickBot="1">
      <c r="A156" s="25" t="s">
        <v>15</v>
      </c>
      <c r="B156" s="58" t="s">
        <v>378</v>
      </c>
      <c r="C156" s="250">
        <f>+C131+C135+C142+C148+C154+C155</f>
        <v>370805843</v>
      </c>
      <c r="D156" s="262">
        <f>+D131+D135+D142+D148+D154+D155</f>
        <v>386119134</v>
      </c>
      <c r="E156" s="244">
        <f>+E131+E135+E142+E148+E154+E155</f>
        <v>349761568</v>
      </c>
    </row>
    <row r="157" spans="1:5" ht="15" customHeight="1" thickBot="1">
      <c r="A157" s="209" t="s">
        <v>16</v>
      </c>
      <c r="B157" s="155" t="s">
        <v>377</v>
      </c>
      <c r="C157" s="250">
        <f>+C130+C156</f>
        <v>569423355</v>
      </c>
      <c r="D157" s="262">
        <f>+D130+D156</f>
        <v>680548456</v>
      </c>
      <c r="E157" s="244">
        <f>+E130+E156</f>
        <v>520673530</v>
      </c>
    </row>
    <row r="158" spans="1:5" ht="13.5" thickBot="1">
      <c r="A158" s="158"/>
      <c r="B158" s="159"/>
      <c r="C158" s="646">
        <f>C92-C157</f>
        <v>-12819184</v>
      </c>
      <c r="D158" s="646">
        <f>D92-D157</f>
        <v>-19090056</v>
      </c>
      <c r="E158" s="160"/>
    </row>
    <row r="159" spans="1:5" ht="15" customHeight="1" thickBot="1">
      <c r="A159" s="332" t="s">
        <v>493</v>
      </c>
      <c r="B159" s="333"/>
      <c r="C159" s="321">
        <v>1</v>
      </c>
      <c r="D159" s="321">
        <v>1</v>
      </c>
      <c r="E159" s="320">
        <v>1</v>
      </c>
    </row>
    <row r="160" spans="1:5" ht="14.25" customHeight="1" thickBot="1">
      <c r="A160" s="334" t="s">
        <v>494</v>
      </c>
      <c r="B160" s="335"/>
      <c r="C160" s="321">
        <v>0</v>
      </c>
      <c r="D160" s="321">
        <v>0</v>
      </c>
      <c r="E160" s="320">
        <v>0</v>
      </c>
    </row>
  </sheetData>
  <sheetProtection formatCells="0"/>
  <mergeCells count="5">
    <mergeCell ref="B2:D2"/>
    <mergeCell ref="B3:D3"/>
    <mergeCell ref="A7:E7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1" max="255" man="1"/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58"/>
  <sheetViews>
    <sheetView zoomScale="120" zoomScaleNormal="120" zoomScaleSheetLayoutView="100" workbookViewId="0" topLeftCell="A58">
      <selection activeCell="D29" sqref="D29"/>
    </sheetView>
  </sheetViews>
  <sheetFormatPr defaultColWidth="9.37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391"/>
      <c r="C1" s="392"/>
      <c r="D1" s="392"/>
      <c r="E1" s="649" t="str">
        <f>CONCATENATE("12. melléklet ",Z_ALAPADATOK!A7," ",Z_ALAPADATOK!B7," ",Z_ALAPADATOK!C7," ",Z_ALAPADATOK!D7," ",Z_ALAPADATOK!E7," ",Z_ALAPADATOK!F7," ",Z_ALAPADATOK!G7," ",Z_ALAPADATOK!H7)</f>
        <v>12. melléklet a  / 2023. ( V…... ) önkormányzati rendelethez</v>
      </c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3.25" thickBot="1">
      <c r="A3" s="388" t="s">
        <v>137</v>
      </c>
      <c r="B3" s="906" t="s">
        <v>327</v>
      </c>
      <c r="C3" s="906"/>
      <c r="D3" s="906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'11'!E4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CONCATENATE('11'!E5)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5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6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7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7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7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7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7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5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6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7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7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7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7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8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0</v>
      </c>
      <c r="D22" s="255">
        <f>+D23+D24+D25+D26+D27</f>
        <v>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6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7"/>
      <c r="E24" s="105"/>
    </row>
    <row r="25" spans="1:5" s="53" customFormat="1" ht="12" customHeight="1">
      <c r="A25" s="199" t="s">
        <v>55</v>
      </c>
      <c r="B25" s="182" t="s">
        <v>331</v>
      </c>
      <c r="C25" s="169"/>
      <c r="D25" s="257"/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7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7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8"/>
      <c r="E28" s="107"/>
    </row>
    <row r="29" spans="1:5" s="53" customFormat="1" ht="12" customHeight="1" thickBot="1">
      <c r="A29" s="25" t="s">
        <v>114</v>
      </c>
      <c r="B29" s="19" t="s">
        <v>483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3" customFormat="1" ht="12" customHeight="1">
      <c r="A30" s="198" t="s">
        <v>179</v>
      </c>
      <c r="B30" s="181" t="s">
        <v>484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9" t="s">
        <v>180</v>
      </c>
      <c r="B31" s="182" t="s">
        <v>485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486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487</v>
      </c>
      <c r="C33" s="169"/>
      <c r="D33" s="169"/>
      <c r="E33" s="105"/>
    </row>
    <row r="34" spans="1:5" s="53" customFormat="1" ht="12" customHeight="1">
      <c r="A34" s="199" t="s">
        <v>488</v>
      </c>
      <c r="B34" s="182" t="s">
        <v>183</v>
      </c>
      <c r="C34" s="169"/>
      <c r="D34" s="169"/>
      <c r="E34" s="105"/>
    </row>
    <row r="35" spans="1:5" s="53" customFormat="1" ht="12" customHeight="1">
      <c r="A35" s="199" t="s">
        <v>489</v>
      </c>
      <c r="B35" s="182" t="s">
        <v>184</v>
      </c>
      <c r="C35" s="169"/>
      <c r="D35" s="169"/>
      <c r="E35" s="105"/>
    </row>
    <row r="36" spans="1:5" s="53" customFormat="1" ht="12" customHeight="1" thickBot="1">
      <c r="A36" s="200" t="s">
        <v>490</v>
      </c>
      <c r="B36" s="331" t="s">
        <v>185</v>
      </c>
      <c r="C36" s="171"/>
      <c r="D36" s="171"/>
      <c r="E36" s="107"/>
    </row>
    <row r="37" spans="1:5" s="53" customFormat="1" ht="12" customHeight="1" thickBot="1">
      <c r="A37" s="25" t="s">
        <v>10</v>
      </c>
      <c r="B37" s="19" t="s">
        <v>339</v>
      </c>
      <c r="C37" s="168">
        <f>SUM(C38:C48)</f>
        <v>16685167</v>
      </c>
      <c r="D37" s="255">
        <f>SUM(D38:D48)</f>
        <v>22836039</v>
      </c>
      <c r="E37" s="104">
        <f>SUM(E38:E48)</f>
        <v>23069874</v>
      </c>
    </row>
    <row r="38" spans="1:5" s="53" customFormat="1" ht="12" customHeight="1">
      <c r="A38" s="198" t="s">
        <v>57</v>
      </c>
      <c r="B38" s="181" t="s">
        <v>188</v>
      </c>
      <c r="C38" s="170"/>
      <c r="D38" s="256"/>
      <c r="E38" s="106"/>
    </row>
    <row r="39" spans="1:5" s="53" customFormat="1" ht="12" customHeight="1">
      <c r="A39" s="199" t="s">
        <v>58</v>
      </c>
      <c r="B39" s="182" t="s">
        <v>189</v>
      </c>
      <c r="C39" s="681">
        <v>11716082</v>
      </c>
      <c r="D39" s="169">
        <v>16153333</v>
      </c>
      <c r="E39" s="105">
        <v>19240426</v>
      </c>
    </row>
    <row r="40" spans="1:5" s="53" customFormat="1" ht="12" customHeight="1">
      <c r="A40" s="199" t="s">
        <v>59</v>
      </c>
      <c r="B40" s="182" t="s">
        <v>190</v>
      </c>
      <c r="C40" s="681"/>
      <c r="D40" s="169"/>
      <c r="E40" s="105"/>
    </row>
    <row r="41" spans="1:5" s="53" customFormat="1" ht="12" customHeight="1">
      <c r="A41" s="199" t="s">
        <v>116</v>
      </c>
      <c r="B41" s="182" t="s">
        <v>191</v>
      </c>
      <c r="C41" s="681">
        <v>2500000</v>
      </c>
      <c r="D41" s="169">
        <v>2500000</v>
      </c>
      <c r="E41" s="105">
        <v>0</v>
      </c>
    </row>
    <row r="42" spans="1:5" s="53" customFormat="1" ht="12" customHeight="1">
      <c r="A42" s="199" t="s">
        <v>117</v>
      </c>
      <c r="B42" s="182" t="s">
        <v>192</v>
      </c>
      <c r="C42" s="681"/>
      <c r="D42" s="169"/>
      <c r="E42" s="105"/>
    </row>
    <row r="43" spans="1:5" s="53" customFormat="1" ht="12" customHeight="1">
      <c r="A43" s="199" t="s">
        <v>118</v>
      </c>
      <c r="B43" s="182" t="s">
        <v>193</v>
      </c>
      <c r="C43" s="681">
        <v>2469085</v>
      </c>
      <c r="D43" s="169">
        <v>4182706</v>
      </c>
      <c r="E43" s="105">
        <v>3829448</v>
      </c>
    </row>
    <row r="44" spans="1:5" s="53" customFormat="1" ht="12" customHeight="1">
      <c r="A44" s="199" t="s">
        <v>119</v>
      </c>
      <c r="B44" s="182" t="s">
        <v>194</v>
      </c>
      <c r="C44" s="169"/>
      <c r="D44" s="257"/>
      <c r="E44" s="105"/>
    </row>
    <row r="45" spans="1:5" s="53" customFormat="1" ht="12" customHeight="1">
      <c r="A45" s="199" t="s">
        <v>120</v>
      </c>
      <c r="B45" s="182" t="s">
        <v>491</v>
      </c>
      <c r="C45" s="169"/>
      <c r="D45" s="257"/>
      <c r="E45" s="105"/>
    </row>
    <row r="46" spans="1:5" s="53" customFormat="1" ht="12" customHeight="1">
      <c r="A46" s="199" t="s">
        <v>186</v>
      </c>
      <c r="B46" s="182" t="s">
        <v>196</v>
      </c>
      <c r="C46" s="172"/>
      <c r="D46" s="316"/>
      <c r="E46" s="108"/>
    </row>
    <row r="47" spans="1:5" s="53" customFormat="1" ht="12" customHeight="1">
      <c r="A47" s="200" t="s">
        <v>187</v>
      </c>
      <c r="B47" s="183" t="s">
        <v>341</v>
      </c>
      <c r="C47" s="173"/>
      <c r="D47" s="317"/>
      <c r="E47" s="109"/>
    </row>
    <row r="48" spans="1:5" s="53" customFormat="1" ht="12" customHeight="1" thickBot="1">
      <c r="A48" s="200" t="s">
        <v>340</v>
      </c>
      <c r="B48" s="183" t="s">
        <v>197</v>
      </c>
      <c r="C48" s="173"/>
      <c r="D48" s="317"/>
      <c r="E48" s="109"/>
    </row>
    <row r="49" spans="1:5" s="53" customFormat="1" ht="12" customHeight="1" thickBot="1">
      <c r="A49" s="25" t="s">
        <v>11</v>
      </c>
      <c r="B49" s="19" t="s">
        <v>198</v>
      </c>
      <c r="C49" s="168">
        <f>SUM(C50:C54)</f>
        <v>0</v>
      </c>
      <c r="D49" s="255">
        <f>SUM(D50:D54)</f>
        <v>0</v>
      </c>
      <c r="E49" s="104">
        <f>SUM(E50:E54)</f>
        <v>0</v>
      </c>
    </row>
    <row r="50" spans="1:5" s="53" customFormat="1" ht="12" customHeight="1">
      <c r="A50" s="198" t="s">
        <v>60</v>
      </c>
      <c r="B50" s="181" t="s">
        <v>202</v>
      </c>
      <c r="C50" s="221"/>
      <c r="D50" s="318"/>
      <c r="E50" s="110"/>
    </row>
    <row r="51" spans="1:5" s="53" customFormat="1" ht="12" customHeight="1">
      <c r="A51" s="199" t="s">
        <v>61</v>
      </c>
      <c r="B51" s="182" t="s">
        <v>203</v>
      </c>
      <c r="C51" s="172"/>
      <c r="D51" s="316"/>
      <c r="E51" s="108"/>
    </row>
    <row r="52" spans="1:5" s="53" customFormat="1" ht="12" customHeight="1">
      <c r="A52" s="199" t="s">
        <v>199</v>
      </c>
      <c r="B52" s="182" t="s">
        <v>204</v>
      </c>
      <c r="C52" s="172"/>
      <c r="D52" s="316"/>
      <c r="E52" s="108"/>
    </row>
    <row r="53" spans="1:5" s="53" customFormat="1" ht="12" customHeight="1">
      <c r="A53" s="199" t="s">
        <v>200</v>
      </c>
      <c r="B53" s="182" t="s">
        <v>205</v>
      </c>
      <c r="C53" s="172"/>
      <c r="D53" s="316"/>
      <c r="E53" s="108"/>
    </row>
    <row r="54" spans="1:5" s="53" customFormat="1" ht="12" customHeight="1" thickBot="1">
      <c r="A54" s="200" t="s">
        <v>201</v>
      </c>
      <c r="B54" s="183" t="s">
        <v>206</v>
      </c>
      <c r="C54" s="173"/>
      <c r="D54" s="317"/>
      <c r="E54" s="109"/>
    </row>
    <row r="55" spans="1:5" s="53" customFormat="1" ht="12" customHeight="1" thickBot="1">
      <c r="A55" s="25" t="s">
        <v>121</v>
      </c>
      <c r="B55" s="19" t="s">
        <v>207</v>
      </c>
      <c r="C55" s="168">
        <f>SUM(C56:C58)</f>
        <v>0</v>
      </c>
      <c r="D55" s="255">
        <f>SUM(D56:D58)</f>
        <v>0</v>
      </c>
      <c r="E55" s="104">
        <f>SUM(E56:E58)</f>
        <v>0</v>
      </c>
    </row>
    <row r="56" spans="1:5" s="53" customFormat="1" ht="12" customHeight="1">
      <c r="A56" s="198" t="s">
        <v>62</v>
      </c>
      <c r="B56" s="181" t="s">
        <v>208</v>
      </c>
      <c r="C56" s="170"/>
      <c r="D56" s="256"/>
      <c r="E56" s="106"/>
    </row>
    <row r="57" spans="1:5" s="53" customFormat="1" ht="12" customHeight="1">
      <c r="A57" s="199" t="s">
        <v>63</v>
      </c>
      <c r="B57" s="182" t="s">
        <v>333</v>
      </c>
      <c r="C57" s="169"/>
      <c r="D57" s="257"/>
      <c r="E57" s="105"/>
    </row>
    <row r="58" spans="1:5" s="53" customFormat="1" ht="12" customHeight="1">
      <c r="A58" s="199" t="s">
        <v>211</v>
      </c>
      <c r="B58" s="182" t="s">
        <v>209</v>
      </c>
      <c r="C58" s="169"/>
      <c r="D58" s="257"/>
      <c r="E58" s="105"/>
    </row>
    <row r="59" spans="1:5" s="53" customFormat="1" ht="12" customHeight="1" thickBot="1">
      <c r="A59" s="200" t="s">
        <v>212</v>
      </c>
      <c r="B59" s="183" t="s">
        <v>210</v>
      </c>
      <c r="C59" s="171"/>
      <c r="D59" s="258"/>
      <c r="E59" s="107"/>
    </row>
    <row r="60" spans="1:5" s="53" customFormat="1" ht="12" customHeight="1" thickBot="1">
      <c r="A60" s="25" t="s">
        <v>13</v>
      </c>
      <c r="B60" s="111" t="s">
        <v>213</v>
      </c>
      <c r="C60" s="168">
        <f>SUM(C61:C63)</f>
        <v>372742</v>
      </c>
      <c r="D60" s="255">
        <f>SUM(D61:D63)</f>
        <v>372742</v>
      </c>
      <c r="E60" s="104">
        <f>SUM(E61:E63)</f>
        <v>462242</v>
      </c>
    </row>
    <row r="61" spans="1:5" s="53" customFormat="1" ht="12" customHeight="1">
      <c r="A61" s="198" t="s">
        <v>122</v>
      </c>
      <c r="B61" s="181" t="s">
        <v>215</v>
      </c>
      <c r="C61" s="172"/>
      <c r="D61" s="316"/>
      <c r="E61" s="108"/>
    </row>
    <row r="62" spans="1:5" s="53" customFormat="1" ht="12" customHeight="1">
      <c r="A62" s="199" t="s">
        <v>123</v>
      </c>
      <c r="B62" s="182" t="s">
        <v>334</v>
      </c>
      <c r="C62" s="172">
        <v>372742</v>
      </c>
      <c r="D62" s="316">
        <v>372742</v>
      </c>
      <c r="E62" s="108">
        <v>462242</v>
      </c>
    </row>
    <row r="63" spans="1:5" s="53" customFormat="1" ht="12" customHeight="1">
      <c r="A63" s="199" t="s">
        <v>146</v>
      </c>
      <c r="B63" s="182" t="s">
        <v>216</v>
      </c>
      <c r="C63" s="172"/>
      <c r="D63" s="316"/>
      <c r="E63" s="108"/>
    </row>
    <row r="64" spans="1:5" s="53" customFormat="1" ht="12" customHeight="1" thickBot="1">
      <c r="A64" s="200" t="s">
        <v>214</v>
      </c>
      <c r="B64" s="183" t="s">
        <v>217</v>
      </c>
      <c r="C64" s="172"/>
      <c r="D64" s="316"/>
      <c r="E64" s="108"/>
    </row>
    <row r="65" spans="1:5" s="53" customFormat="1" ht="12" customHeight="1" thickBot="1">
      <c r="A65" s="25" t="s">
        <v>14</v>
      </c>
      <c r="B65" s="19" t="s">
        <v>218</v>
      </c>
      <c r="C65" s="174">
        <f>+C8+C15+C22+C29+C37+C49+C55+C60</f>
        <v>17057909</v>
      </c>
      <c r="D65" s="259">
        <f>+D8+D15+D22+D29+D37+D49+D55+D60</f>
        <v>23208781</v>
      </c>
      <c r="E65" s="210">
        <f>+E8+E15+E22+E29+E37+E49+E55+E60</f>
        <v>23532116</v>
      </c>
    </row>
    <row r="66" spans="1:5" s="53" customFormat="1" ht="12" customHeight="1" thickBot="1">
      <c r="A66" s="201" t="s">
        <v>303</v>
      </c>
      <c r="B66" s="111" t="s">
        <v>220</v>
      </c>
      <c r="C66" s="168">
        <f>SUM(C67:C69)</f>
        <v>0</v>
      </c>
      <c r="D66" s="255">
        <f>SUM(D67:D69)</f>
        <v>0</v>
      </c>
      <c r="E66" s="104">
        <f>SUM(E67:E69)</f>
        <v>0</v>
      </c>
    </row>
    <row r="67" spans="1:5" s="53" customFormat="1" ht="12" customHeight="1">
      <c r="A67" s="198" t="s">
        <v>248</v>
      </c>
      <c r="B67" s="181" t="s">
        <v>221</v>
      </c>
      <c r="C67" s="172"/>
      <c r="D67" s="316"/>
      <c r="E67" s="108"/>
    </row>
    <row r="68" spans="1:5" s="53" customFormat="1" ht="12" customHeight="1">
      <c r="A68" s="199" t="s">
        <v>257</v>
      </c>
      <c r="B68" s="182" t="s">
        <v>222</v>
      </c>
      <c r="C68" s="172"/>
      <c r="D68" s="316"/>
      <c r="E68" s="108"/>
    </row>
    <row r="69" spans="1:5" s="53" customFormat="1" ht="12" customHeight="1" thickBot="1">
      <c r="A69" s="200" t="s">
        <v>258</v>
      </c>
      <c r="B69" s="184" t="s">
        <v>223</v>
      </c>
      <c r="C69" s="172"/>
      <c r="D69" s="319"/>
      <c r="E69" s="108"/>
    </row>
    <row r="70" spans="1:5" s="53" customFormat="1" ht="12" customHeight="1" thickBot="1">
      <c r="A70" s="201" t="s">
        <v>224</v>
      </c>
      <c r="B70" s="111" t="s">
        <v>225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3" customFormat="1" ht="12" customHeight="1">
      <c r="A71" s="198" t="s">
        <v>100</v>
      </c>
      <c r="B71" s="359" t="s">
        <v>226</v>
      </c>
      <c r="C71" s="172"/>
      <c r="D71" s="172"/>
      <c r="E71" s="108"/>
    </row>
    <row r="72" spans="1:5" s="53" customFormat="1" ht="12" customHeight="1">
      <c r="A72" s="199" t="s">
        <v>101</v>
      </c>
      <c r="B72" s="359" t="s">
        <v>498</v>
      </c>
      <c r="C72" s="172"/>
      <c r="D72" s="172"/>
      <c r="E72" s="108"/>
    </row>
    <row r="73" spans="1:5" s="53" customFormat="1" ht="12" customHeight="1">
      <c r="A73" s="199" t="s">
        <v>249</v>
      </c>
      <c r="B73" s="359" t="s">
        <v>227</v>
      </c>
      <c r="C73" s="172"/>
      <c r="D73" s="172"/>
      <c r="E73" s="108"/>
    </row>
    <row r="74" spans="1:5" s="53" customFormat="1" ht="12" customHeight="1" thickBot="1">
      <c r="A74" s="200" t="s">
        <v>250</v>
      </c>
      <c r="B74" s="360" t="s">
        <v>499</v>
      </c>
      <c r="C74" s="172"/>
      <c r="D74" s="172"/>
      <c r="E74" s="108"/>
    </row>
    <row r="75" spans="1:5" s="53" customFormat="1" ht="12" customHeight="1" thickBot="1">
      <c r="A75" s="201" t="s">
        <v>228</v>
      </c>
      <c r="B75" s="111" t="s">
        <v>229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3" customFormat="1" ht="12" customHeight="1">
      <c r="A76" s="198" t="s">
        <v>251</v>
      </c>
      <c r="B76" s="181" t="s">
        <v>230</v>
      </c>
      <c r="C76" s="172"/>
      <c r="D76" s="172"/>
      <c r="E76" s="108"/>
    </row>
    <row r="77" spans="1:5" s="53" customFormat="1" ht="12" customHeight="1" thickBot="1">
      <c r="A77" s="200" t="s">
        <v>252</v>
      </c>
      <c r="B77" s="183" t="s">
        <v>231</v>
      </c>
      <c r="C77" s="172"/>
      <c r="D77" s="172"/>
      <c r="E77" s="108"/>
    </row>
    <row r="78" spans="1:5" s="52" customFormat="1" ht="12" customHeight="1" thickBot="1">
      <c r="A78" s="201" t="s">
        <v>232</v>
      </c>
      <c r="B78" s="111" t="s">
        <v>233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3" customFormat="1" ht="12" customHeight="1">
      <c r="A79" s="198" t="s">
        <v>253</v>
      </c>
      <c r="B79" s="181" t="s">
        <v>234</v>
      </c>
      <c r="C79" s="172"/>
      <c r="D79" s="172"/>
      <c r="E79" s="108"/>
    </row>
    <row r="80" spans="1:5" s="53" customFormat="1" ht="12" customHeight="1">
      <c r="A80" s="199" t="s">
        <v>254</v>
      </c>
      <c r="B80" s="182" t="s">
        <v>235</v>
      </c>
      <c r="C80" s="172"/>
      <c r="D80" s="172"/>
      <c r="E80" s="108"/>
    </row>
    <row r="81" spans="1:5" s="53" customFormat="1" ht="12" customHeight="1" thickBot="1">
      <c r="A81" s="200" t="s">
        <v>255</v>
      </c>
      <c r="B81" s="183" t="s">
        <v>500</v>
      </c>
      <c r="C81" s="172"/>
      <c r="D81" s="172"/>
      <c r="E81" s="108"/>
    </row>
    <row r="82" spans="1:5" s="53" customFormat="1" ht="12" customHeight="1" thickBot="1">
      <c r="A82" s="201" t="s">
        <v>236</v>
      </c>
      <c r="B82" s="111" t="s">
        <v>256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3" customFormat="1" ht="12" customHeight="1">
      <c r="A83" s="202" t="s">
        <v>237</v>
      </c>
      <c r="B83" s="181" t="s">
        <v>238</v>
      </c>
      <c r="C83" s="172"/>
      <c r="D83" s="172"/>
      <c r="E83" s="108"/>
    </row>
    <row r="84" spans="1:5" s="53" customFormat="1" ht="12" customHeight="1">
      <c r="A84" s="203" t="s">
        <v>239</v>
      </c>
      <c r="B84" s="182" t="s">
        <v>240</v>
      </c>
      <c r="C84" s="172"/>
      <c r="D84" s="172"/>
      <c r="E84" s="108"/>
    </row>
    <row r="85" spans="1:5" s="53" customFormat="1" ht="12" customHeight="1">
      <c r="A85" s="203" t="s">
        <v>241</v>
      </c>
      <c r="B85" s="182" t="s">
        <v>242</v>
      </c>
      <c r="C85" s="172"/>
      <c r="D85" s="172"/>
      <c r="E85" s="108"/>
    </row>
    <row r="86" spans="1:5" s="52" customFormat="1" ht="12" customHeight="1" thickBot="1">
      <c r="A86" s="204" t="s">
        <v>243</v>
      </c>
      <c r="B86" s="183" t="s">
        <v>244</v>
      </c>
      <c r="C86" s="172"/>
      <c r="D86" s="172"/>
      <c r="E86" s="108"/>
    </row>
    <row r="87" spans="1:5" s="52" customFormat="1" ht="12" customHeight="1" thickBot="1">
      <c r="A87" s="201" t="s">
        <v>245</v>
      </c>
      <c r="B87" s="111" t="s">
        <v>380</v>
      </c>
      <c r="C87" s="224"/>
      <c r="D87" s="224"/>
      <c r="E87" s="225"/>
    </row>
    <row r="88" spans="1:5" s="52" customFormat="1" ht="12" customHeight="1" thickBot="1">
      <c r="A88" s="201" t="s">
        <v>398</v>
      </c>
      <c r="B88" s="111" t="s">
        <v>246</v>
      </c>
      <c r="C88" s="224"/>
      <c r="D88" s="224"/>
      <c r="E88" s="225"/>
    </row>
    <row r="89" spans="1:5" s="52" customFormat="1" ht="12" customHeight="1" thickBot="1">
      <c r="A89" s="201" t="s">
        <v>399</v>
      </c>
      <c r="B89" s="188" t="s">
        <v>383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2" customFormat="1" ht="12" customHeight="1" thickBot="1">
      <c r="A90" s="205" t="s">
        <v>400</v>
      </c>
      <c r="B90" s="189" t="s">
        <v>401</v>
      </c>
      <c r="C90" s="174">
        <f>+C65+C89</f>
        <v>17057909</v>
      </c>
      <c r="D90" s="174">
        <f>+D65+D89</f>
        <v>23208781</v>
      </c>
      <c r="E90" s="210">
        <f>+E65+E89</f>
        <v>23532116</v>
      </c>
    </row>
    <row r="91" spans="1:3" s="53" customFormat="1" ht="15" customHeight="1" thickBot="1">
      <c r="A91" s="88"/>
      <c r="B91" s="89"/>
      <c r="C91" s="150"/>
    </row>
    <row r="92" spans="1:5" s="46" customFormat="1" ht="16.5" customHeight="1" thickBot="1">
      <c r="A92" s="903" t="s">
        <v>41</v>
      </c>
      <c r="B92" s="904"/>
      <c r="C92" s="904"/>
      <c r="D92" s="904"/>
      <c r="E92" s="905"/>
    </row>
    <row r="93" spans="1:5" s="54" customFormat="1" ht="12" customHeight="1" thickBot="1">
      <c r="A93" s="175" t="s">
        <v>6</v>
      </c>
      <c r="B93" s="24" t="s">
        <v>405</v>
      </c>
      <c r="C93" s="167">
        <f>+C94+C95+C96+C97+C98+C111</f>
        <v>1859725</v>
      </c>
      <c r="D93" s="167">
        <f>+D94+D95+D96+D97+D98+D111</f>
        <v>1739725</v>
      </c>
      <c r="E93" s="238">
        <f>+E94+E95+E96+E97+E98+E111</f>
        <v>1221563</v>
      </c>
    </row>
    <row r="94" spans="1:5" ht="12" customHeight="1">
      <c r="A94" s="206" t="s">
        <v>64</v>
      </c>
      <c r="B94" s="8" t="s">
        <v>35</v>
      </c>
      <c r="C94" s="245"/>
      <c r="D94" s="245"/>
      <c r="E94" s="239"/>
    </row>
    <row r="95" spans="1:5" ht="12" customHeight="1">
      <c r="A95" s="199" t="s">
        <v>65</v>
      </c>
      <c r="B95" s="6" t="s">
        <v>124</v>
      </c>
      <c r="C95" s="169"/>
      <c r="D95" s="169"/>
      <c r="E95" s="105"/>
    </row>
    <row r="96" spans="1:5" ht="12" customHeight="1">
      <c r="A96" s="199" t="s">
        <v>66</v>
      </c>
      <c r="B96" s="6" t="s">
        <v>92</v>
      </c>
      <c r="C96" s="171"/>
      <c r="D96" s="169"/>
      <c r="E96" s="107"/>
    </row>
    <row r="97" spans="1:5" ht="12" customHeight="1">
      <c r="A97" s="199" t="s">
        <v>67</v>
      </c>
      <c r="B97" s="9" t="s">
        <v>125</v>
      </c>
      <c r="C97" s="171"/>
      <c r="D97" s="258"/>
      <c r="E97" s="107"/>
    </row>
    <row r="98" spans="1:5" ht="12" customHeight="1">
      <c r="A98" s="199" t="s">
        <v>76</v>
      </c>
      <c r="B98" s="17" t="s">
        <v>126</v>
      </c>
      <c r="C98" s="682">
        <v>1859725</v>
      </c>
      <c r="D98" s="171">
        <v>1739725</v>
      </c>
      <c r="E98" s="107">
        <v>1221563</v>
      </c>
    </row>
    <row r="99" spans="1:5" ht="12" customHeight="1">
      <c r="A99" s="199" t="s">
        <v>68</v>
      </c>
      <c r="B99" s="6" t="s">
        <v>402</v>
      </c>
      <c r="C99" s="682"/>
      <c r="D99" s="171"/>
      <c r="E99" s="107"/>
    </row>
    <row r="100" spans="1:5" ht="12" customHeight="1">
      <c r="A100" s="199" t="s">
        <v>69</v>
      </c>
      <c r="B100" s="64" t="s">
        <v>346</v>
      </c>
      <c r="C100" s="682"/>
      <c r="D100" s="171"/>
      <c r="E100" s="107"/>
    </row>
    <row r="101" spans="1:5" ht="12" customHeight="1">
      <c r="A101" s="199" t="s">
        <v>77</v>
      </c>
      <c r="B101" s="64" t="s">
        <v>345</v>
      </c>
      <c r="C101" s="682"/>
      <c r="D101" s="171"/>
      <c r="E101" s="107"/>
    </row>
    <row r="102" spans="1:5" ht="12" customHeight="1">
      <c r="A102" s="199" t="s">
        <v>78</v>
      </c>
      <c r="B102" s="64" t="s">
        <v>262</v>
      </c>
      <c r="C102" s="682"/>
      <c r="D102" s="171"/>
      <c r="E102" s="107"/>
    </row>
    <row r="103" spans="1:5" ht="12" customHeight="1">
      <c r="A103" s="199" t="s">
        <v>79</v>
      </c>
      <c r="B103" s="65" t="s">
        <v>263</v>
      </c>
      <c r="C103" s="682"/>
      <c r="D103" s="171"/>
      <c r="E103" s="107"/>
    </row>
    <row r="104" spans="1:5" ht="12" customHeight="1">
      <c r="A104" s="199" t="s">
        <v>80</v>
      </c>
      <c r="B104" s="65" t="s">
        <v>264</v>
      </c>
      <c r="C104" s="682"/>
      <c r="D104" s="171"/>
      <c r="E104" s="107"/>
    </row>
    <row r="105" spans="1:5" ht="12" customHeight="1">
      <c r="A105" s="199" t="s">
        <v>82</v>
      </c>
      <c r="B105" s="64" t="s">
        <v>265</v>
      </c>
      <c r="C105" s="682"/>
      <c r="D105" s="171"/>
      <c r="E105" s="107"/>
    </row>
    <row r="106" spans="1:5" ht="12" customHeight="1">
      <c r="A106" s="199" t="s">
        <v>127</v>
      </c>
      <c r="B106" s="64" t="s">
        <v>266</v>
      </c>
      <c r="C106" s="682"/>
      <c r="D106" s="171"/>
      <c r="E106" s="107"/>
    </row>
    <row r="107" spans="1:5" ht="12" customHeight="1">
      <c r="A107" s="199" t="s">
        <v>260</v>
      </c>
      <c r="B107" s="65" t="s">
        <v>267</v>
      </c>
      <c r="C107" s="682"/>
      <c r="D107" s="171"/>
      <c r="E107" s="107"/>
    </row>
    <row r="108" spans="1:5" ht="12" customHeight="1">
      <c r="A108" s="207" t="s">
        <v>261</v>
      </c>
      <c r="B108" s="66" t="s">
        <v>268</v>
      </c>
      <c r="C108" s="682"/>
      <c r="D108" s="171"/>
      <c r="E108" s="107"/>
    </row>
    <row r="109" spans="1:5" ht="12" customHeight="1">
      <c r="A109" s="199" t="s">
        <v>343</v>
      </c>
      <c r="B109" s="66" t="s">
        <v>269</v>
      </c>
      <c r="C109" s="682"/>
      <c r="D109" s="171"/>
      <c r="E109" s="107"/>
    </row>
    <row r="110" spans="1:5" ht="12" customHeight="1">
      <c r="A110" s="199" t="s">
        <v>344</v>
      </c>
      <c r="B110" s="65" t="s">
        <v>270</v>
      </c>
      <c r="C110" s="681">
        <v>1859725</v>
      </c>
      <c r="D110" s="169">
        <v>1739725</v>
      </c>
      <c r="E110" s="105">
        <v>1221563</v>
      </c>
    </row>
    <row r="111" spans="1:5" ht="12" customHeight="1">
      <c r="A111" s="199" t="s">
        <v>348</v>
      </c>
      <c r="B111" s="9" t="s">
        <v>36</v>
      </c>
      <c r="C111" s="169"/>
      <c r="D111" s="257"/>
      <c r="E111" s="105"/>
    </row>
    <row r="112" spans="1:5" ht="12" customHeight="1">
      <c r="A112" s="200" t="s">
        <v>349</v>
      </c>
      <c r="B112" s="6" t="s">
        <v>403</v>
      </c>
      <c r="C112" s="171"/>
      <c r="D112" s="258"/>
      <c r="E112" s="107"/>
    </row>
    <row r="113" spans="1:5" ht="12" customHeight="1" thickBot="1">
      <c r="A113" s="208" t="s">
        <v>350</v>
      </c>
      <c r="B113" s="67" t="s">
        <v>404</v>
      </c>
      <c r="C113" s="246"/>
      <c r="D113" s="322"/>
      <c r="E113" s="240"/>
    </row>
    <row r="114" spans="1:5" ht="12" customHeight="1" thickBot="1">
      <c r="A114" s="25" t="s">
        <v>7</v>
      </c>
      <c r="B114" s="23" t="s">
        <v>271</v>
      </c>
      <c r="C114" s="168">
        <f>+C115+C117+C119</f>
        <v>2000000</v>
      </c>
      <c r="D114" s="255">
        <f>+D115+D117+D119</f>
        <v>2000000</v>
      </c>
      <c r="E114" s="104">
        <f>+E115+E117+E119</f>
        <v>500000</v>
      </c>
    </row>
    <row r="115" spans="1:5" ht="12" customHeight="1">
      <c r="A115" s="198" t="s">
        <v>70</v>
      </c>
      <c r="B115" s="6" t="s">
        <v>145</v>
      </c>
      <c r="C115" s="170"/>
      <c r="D115" s="256"/>
      <c r="E115" s="106"/>
    </row>
    <row r="116" spans="1:5" ht="12" customHeight="1">
      <c r="A116" s="198" t="s">
        <v>71</v>
      </c>
      <c r="B116" s="10" t="s">
        <v>275</v>
      </c>
      <c r="C116" s="170"/>
      <c r="D116" s="256"/>
      <c r="E116" s="106"/>
    </row>
    <row r="117" spans="1:5" ht="12" customHeight="1">
      <c r="A117" s="198" t="s">
        <v>72</v>
      </c>
      <c r="B117" s="10" t="s">
        <v>128</v>
      </c>
      <c r="C117" s="169"/>
      <c r="D117" s="257"/>
      <c r="E117" s="105"/>
    </row>
    <row r="118" spans="1:5" ht="12" customHeight="1">
      <c r="A118" s="198" t="s">
        <v>73</v>
      </c>
      <c r="B118" s="10" t="s">
        <v>276</v>
      </c>
      <c r="C118" s="169"/>
      <c r="D118" s="257"/>
      <c r="E118" s="105"/>
    </row>
    <row r="119" spans="1:5" ht="12" customHeight="1">
      <c r="A119" s="198" t="s">
        <v>74</v>
      </c>
      <c r="B119" s="113" t="s">
        <v>147</v>
      </c>
      <c r="C119" s="689">
        <v>2000000</v>
      </c>
      <c r="D119" s="169">
        <v>2000000</v>
      </c>
      <c r="E119" s="105">
        <v>500000</v>
      </c>
    </row>
    <row r="120" spans="1:5" ht="12" customHeight="1">
      <c r="A120" s="198" t="s">
        <v>81</v>
      </c>
      <c r="B120" s="112" t="s">
        <v>335</v>
      </c>
      <c r="C120" s="689"/>
      <c r="D120" s="169"/>
      <c r="E120" s="105"/>
    </row>
    <row r="121" spans="1:5" ht="12" customHeight="1">
      <c r="A121" s="198" t="s">
        <v>83</v>
      </c>
      <c r="B121" s="177" t="s">
        <v>281</v>
      </c>
      <c r="C121" s="689"/>
      <c r="D121" s="169"/>
      <c r="E121" s="105"/>
    </row>
    <row r="122" spans="1:5" ht="12" customHeight="1">
      <c r="A122" s="198" t="s">
        <v>129</v>
      </c>
      <c r="B122" s="65" t="s">
        <v>264</v>
      </c>
      <c r="C122" s="689"/>
      <c r="D122" s="169"/>
      <c r="E122" s="105"/>
    </row>
    <row r="123" spans="1:5" ht="12" customHeight="1">
      <c r="A123" s="198" t="s">
        <v>130</v>
      </c>
      <c r="B123" s="65" t="s">
        <v>280</v>
      </c>
      <c r="C123" s="689"/>
      <c r="D123" s="169"/>
      <c r="E123" s="105"/>
    </row>
    <row r="124" spans="1:5" ht="12" customHeight="1">
      <c r="A124" s="198" t="s">
        <v>131</v>
      </c>
      <c r="B124" s="65" t="s">
        <v>279</v>
      </c>
      <c r="C124" s="689"/>
      <c r="D124" s="169"/>
      <c r="E124" s="105"/>
    </row>
    <row r="125" spans="1:5" ht="12" customHeight="1">
      <c r="A125" s="198" t="s">
        <v>272</v>
      </c>
      <c r="B125" s="65" t="s">
        <v>267</v>
      </c>
      <c r="C125" s="689">
        <v>2000000</v>
      </c>
      <c r="D125" s="169">
        <v>2000000</v>
      </c>
      <c r="E125" s="105">
        <v>500000</v>
      </c>
    </row>
    <row r="126" spans="1:5" ht="12" customHeight="1">
      <c r="A126" s="198" t="s">
        <v>273</v>
      </c>
      <c r="B126" s="65" t="s">
        <v>278</v>
      </c>
      <c r="C126" s="169"/>
      <c r="D126" s="257"/>
      <c r="E126" s="105"/>
    </row>
    <row r="127" spans="1:5" ht="12" customHeight="1" thickBot="1">
      <c r="A127" s="207" t="s">
        <v>274</v>
      </c>
      <c r="B127" s="65" t="s">
        <v>277</v>
      </c>
      <c r="C127" s="171"/>
      <c r="D127" s="258"/>
      <c r="E127" s="107"/>
    </row>
    <row r="128" spans="1:5" ht="12" customHeight="1" thickBot="1">
      <c r="A128" s="25" t="s">
        <v>8</v>
      </c>
      <c r="B128" s="58" t="s">
        <v>353</v>
      </c>
      <c r="C128" s="168">
        <f>+C93+C114</f>
        <v>3859725</v>
      </c>
      <c r="D128" s="255">
        <f>+D93+D114</f>
        <v>3739725</v>
      </c>
      <c r="E128" s="104">
        <f>+E93+E114</f>
        <v>1721563</v>
      </c>
    </row>
    <row r="129" spans="1:5" ht="12" customHeight="1" thickBot="1">
      <c r="A129" s="25" t="s">
        <v>9</v>
      </c>
      <c r="B129" s="58" t="s">
        <v>354</v>
      </c>
      <c r="C129" s="168">
        <f>+C130+C131+C132</f>
        <v>0</v>
      </c>
      <c r="D129" s="255">
        <f>+D130+D131+D132</f>
        <v>0</v>
      </c>
      <c r="E129" s="104">
        <f>+E130+E131+E132</f>
        <v>0</v>
      </c>
    </row>
    <row r="130" spans="1:5" s="54" customFormat="1" ht="12" customHeight="1">
      <c r="A130" s="198" t="s">
        <v>179</v>
      </c>
      <c r="B130" s="7" t="s">
        <v>408</v>
      </c>
      <c r="C130" s="169"/>
      <c r="D130" s="257"/>
      <c r="E130" s="105"/>
    </row>
    <row r="131" spans="1:5" ht="12" customHeight="1">
      <c r="A131" s="198" t="s">
        <v>180</v>
      </c>
      <c r="B131" s="7" t="s">
        <v>362</v>
      </c>
      <c r="C131" s="169"/>
      <c r="D131" s="257"/>
      <c r="E131" s="105"/>
    </row>
    <row r="132" spans="1:5" ht="12" customHeight="1" thickBot="1">
      <c r="A132" s="207" t="s">
        <v>181</v>
      </c>
      <c r="B132" s="5" t="s">
        <v>407</v>
      </c>
      <c r="C132" s="169"/>
      <c r="D132" s="257"/>
      <c r="E132" s="105"/>
    </row>
    <row r="133" spans="1:5" ht="12" customHeight="1" thickBot="1">
      <c r="A133" s="25" t="s">
        <v>10</v>
      </c>
      <c r="B133" s="58" t="s">
        <v>355</v>
      </c>
      <c r="C133" s="168">
        <f>+C134+C135+C136+C137+C138+C139</f>
        <v>0</v>
      </c>
      <c r="D133" s="255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57</v>
      </c>
      <c r="B134" s="7" t="s">
        <v>364</v>
      </c>
      <c r="C134" s="169"/>
      <c r="D134" s="257"/>
      <c r="E134" s="105"/>
    </row>
    <row r="135" spans="1:5" ht="12" customHeight="1">
      <c r="A135" s="198" t="s">
        <v>58</v>
      </c>
      <c r="B135" s="7" t="s">
        <v>356</v>
      </c>
      <c r="C135" s="169"/>
      <c r="D135" s="257"/>
      <c r="E135" s="105"/>
    </row>
    <row r="136" spans="1:5" ht="12" customHeight="1">
      <c r="A136" s="198" t="s">
        <v>59</v>
      </c>
      <c r="B136" s="7" t="s">
        <v>357</v>
      </c>
      <c r="C136" s="169"/>
      <c r="D136" s="257"/>
      <c r="E136" s="105"/>
    </row>
    <row r="137" spans="1:5" ht="12" customHeight="1">
      <c r="A137" s="198" t="s">
        <v>116</v>
      </c>
      <c r="B137" s="7" t="s">
        <v>406</v>
      </c>
      <c r="C137" s="169"/>
      <c r="D137" s="257"/>
      <c r="E137" s="105"/>
    </row>
    <row r="138" spans="1:5" ht="12" customHeight="1">
      <c r="A138" s="198" t="s">
        <v>117</v>
      </c>
      <c r="B138" s="7" t="s">
        <v>359</v>
      </c>
      <c r="C138" s="169"/>
      <c r="D138" s="257"/>
      <c r="E138" s="105"/>
    </row>
    <row r="139" spans="1:5" s="54" customFormat="1" ht="12" customHeight="1" thickBot="1">
      <c r="A139" s="207" t="s">
        <v>118</v>
      </c>
      <c r="B139" s="5" t="s">
        <v>360</v>
      </c>
      <c r="C139" s="169"/>
      <c r="D139" s="257"/>
      <c r="E139" s="105"/>
    </row>
    <row r="140" spans="1:11" ht="12" customHeight="1" thickBot="1">
      <c r="A140" s="25" t="s">
        <v>11</v>
      </c>
      <c r="B140" s="58" t="s">
        <v>421</v>
      </c>
      <c r="C140" s="174">
        <f>+C141+C142+C144+C145+C143</f>
        <v>379000</v>
      </c>
      <c r="D140" s="259">
        <f>+D141+D142+D144+D145+D143</f>
        <v>379000</v>
      </c>
      <c r="E140" s="210">
        <f>+E141+E142+E144+E145+E143</f>
        <v>0</v>
      </c>
      <c r="K140" s="97"/>
    </row>
    <row r="141" spans="1:5" ht="12.75">
      <c r="A141" s="198" t="s">
        <v>60</v>
      </c>
      <c r="B141" s="7" t="s">
        <v>282</v>
      </c>
      <c r="C141" s="169"/>
      <c r="D141" s="257"/>
      <c r="E141" s="105"/>
    </row>
    <row r="142" spans="1:5" ht="12" customHeight="1">
      <c r="A142" s="198" t="s">
        <v>61</v>
      </c>
      <c r="B142" s="7" t="s">
        <v>283</v>
      </c>
      <c r="C142" s="169"/>
      <c r="D142" s="257"/>
      <c r="E142" s="105"/>
    </row>
    <row r="143" spans="1:5" ht="12" customHeight="1">
      <c r="A143" s="198" t="s">
        <v>199</v>
      </c>
      <c r="B143" s="7" t="s">
        <v>420</v>
      </c>
      <c r="C143" s="689">
        <v>379000</v>
      </c>
      <c r="D143" s="169">
        <v>379000</v>
      </c>
      <c r="E143" s="105"/>
    </row>
    <row r="144" spans="1:5" s="54" customFormat="1" ht="12" customHeight="1">
      <c r="A144" s="198" t="s">
        <v>200</v>
      </c>
      <c r="B144" s="7" t="s">
        <v>369</v>
      </c>
      <c r="C144" s="169"/>
      <c r="D144" s="257"/>
      <c r="E144" s="105"/>
    </row>
    <row r="145" spans="1:5" s="54" customFormat="1" ht="12" customHeight="1" thickBot="1">
      <c r="A145" s="207" t="s">
        <v>201</v>
      </c>
      <c r="B145" s="5" t="s">
        <v>299</v>
      </c>
      <c r="C145" s="169"/>
      <c r="D145" s="257"/>
      <c r="E145" s="105"/>
    </row>
    <row r="146" spans="1:5" s="54" customFormat="1" ht="12" customHeight="1" thickBot="1">
      <c r="A146" s="25" t="s">
        <v>12</v>
      </c>
      <c r="B146" s="58" t="s">
        <v>370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4" customFormat="1" ht="12" customHeight="1">
      <c r="A147" s="198" t="s">
        <v>62</v>
      </c>
      <c r="B147" s="7" t="s">
        <v>365</v>
      </c>
      <c r="C147" s="169"/>
      <c r="D147" s="257"/>
      <c r="E147" s="105"/>
    </row>
    <row r="148" spans="1:5" s="54" customFormat="1" ht="12" customHeight="1">
      <c r="A148" s="198" t="s">
        <v>63</v>
      </c>
      <c r="B148" s="7" t="s">
        <v>372</v>
      </c>
      <c r="C148" s="169"/>
      <c r="D148" s="257"/>
      <c r="E148" s="105"/>
    </row>
    <row r="149" spans="1:5" s="54" customFormat="1" ht="12" customHeight="1">
      <c r="A149" s="198" t="s">
        <v>211</v>
      </c>
      <c r="B149" s="7" t="s">
        <v>367</v>
      </c>
      <c r="C149" s="169"/>
      <c r="D149" s="257"/>
      <c r="E149" s="105"/>
    </row>
    <row r="150" spans="1:5" s="54" customFormat="1" ht="12" customHeight="1">
      <c r="A150" s="198" t="s">
        <v>212</v>
      </c>
      <c r="B150" s="7" t="s">
        <v>409</v>
      </c>
      <c r="C150" s="169"/>
      <c r="D150" s="257"/>
      <c r="E150" s="105"/>
    </row>
    <row r="151" spans="1:5" ht="12.75" customHeight="1" thickBot="1">
      <c r="A151" s="207" t="s">
        <v>371</v>
      </c>
      <c r="B151" s="5" t="s">
        <v>374</v>
      </c>
      <c r="C151" s="171"/>
      <c r="D151" s="258"/>
      <c r="E151" s="107"/>
    </row>
    <row r="152" spans="1:5" ht="12.75" customHeight="1" thickBot="1">
      <c r="A152" s="237" t="s">
        <v>13</v>
      </c>
      <c r="B152" s="58" t="s">
        <v>375</v>
      </c>
      <c r="C152" s="248"/>
      <c r="D152" s="260"/>
      <c r="E152" s="242"/>
    </row>
    <row r="153" spans="1:5" ht="12.75" customHeight="1" thickBot="1">
      <c r="A153" s="237" t="s">
        <v>14</v>
      </c>
      <c r="B153" s="58" t="s">
        <v>376</v>
      </c>
      <c r="C153" s="248"/>
      <c r="D153" s="260"/>
      <c r="E153" s="242"/>
    </row>
    <row r="154" spans="1:5" ht="12" customHeight="1" thickBot="1">
      <c r="A154" s="25" t="s">
        <v>15</v>
      </c>
      <c r="B154" s="58" t="s">
        <v>378</v>
      </c>
      <c r="C154" s="250">
        <f>+C129+C133+C140+C146+C152+C153</f>
        <v>379000</v>
      </c>
      <c r="D154" s="262">
        <f>+D129+D133+D140+D146+D152+D153</f>
        <v>379000</v>
      </c>
      <c r="E154" s="244">
        <f>+E129+E133+E140+E146+E152+E153</f>
        <v>0</v>
      </c>
    </row>
    <row r="155" spans="1:5" ht="15" customHeight="1" thickBot="1">
      <c r="A155" s="209" t="s">
        <v>16</v>
      </c>
      <c r="B155" s="155" t="s">
        <v>377</v>
      </c>
      <c r="C155" s="250">
        <f>+C128+C154</f>
        <v>4238725</v>
      </c>
      <c r="D155" s="262">
        <f>+D128+D154</f>
        <v>4118725</v>
      </c>
      <c r="E155" s="244">
        <f>+E128+E154</f>
        <v>1721563</v>
      </c>
    </row>
    <row r="156" spans="1:5" ht="13.5" thickBot="1">
      <c r="A156" s="158"/>
      <c r="B156" s="159"/>
      <c r="C156" s="646">
        <f>C90-C155</f>
        <v>12819184</v>
      </c>
      <c r="D156" s="646">
        <f>D90-D155</f>
        <v>19090056</v>
      </c>
      <c r="E156" s="160"/>
    </row>
    <row r="157" spans="1:5" ht="15" customHeight="1" thickBot="1">
      <c r="A157" s="332" t="s">
        <v>493</v>
      </c>
      <c r="B157" s="333"/>
      <c r="C157" s="321"/>
      <c r="D157" s="321"/>
      <c r="E157" s="320"/>
    </row>
    <row r="158" spans="1:5" ht="14.25" customHeight="1" thickBot="1">
      <c r="A158" s="334" t="s">
        <v>494</v>
      </c>
      <c r="B158" s="335"/>
      <c r="C158" s="321"/>
      <c r="D158" s="321"/>
      <c r="E158" s="320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58"/>
  <sheetViews>
    <sheetView zoomScale="120" zoomScaleNormal="120" zoomScaleSheetLayoutView="100" workbookViewId="0" topLeftCell="A1">
      <selection activeCell="G19" sqref="G19"/>
    </sheetView>
  </sheetViews>
  <sheetFormatPr defaultColWidth="9.37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907" t="str">
        <f>CONCATENATE("13. melléklet ",Z_ALAPADATOK!A7," ",Z_ALAPADATOK!B7," ",Z_ALAPADATOK!C7," ",Z_ALAPADATOK!D7," ",Z_ALAPADATOK!E7," ",Z_ALAPADATOK!F7," ",Z_ALAPADATOK!G7," ",Z_ALAPADATOK!H7)</f>
        <v>13. melléklet a  / 2023. ( V…... ) önkormányzati rendelethez</v>
      </c>
      <c r="C1" s="908"/>
      <c r="D1" s="908"/>
      <c r="E1" s="908"/>
    </row>
    <row r="2" spans="1:5" s="50" customFormat="1" ht="21" customHeight="1" thickBot="1">
      <c r="A2" s="388" t="s">
        <v>45</v>
      </c>
      <c r="B2" s="906" t="str">
        <f>CONCATENATE(Z_ALAPADATOK!A3)</f>
        <v>Balatonvilágos Község Önkormányzata</v>
      </c>
      <c r="C2" s="906"/>
      <c r="D2" s="906"/>
      <c r="E2" s="389" t="s">
        <v>39</v>
      </c>
    </row>
    <row r="3" spans="1:5" s="50" customFormat="1" ht="23.25" thickBot="1">
      <c r="A3" s="388" t="s">
        <v>137</v>
      </c>
      <c r="B3" s="906" t="s">
        <v>419</v>
      </c>
      <c r="C3" s="906"/>
      <c r="D3" s="906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'12'!E4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CONCATENATE('12'!E5)</f>
        <v>Teljesítés
2022.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5" t="s">
        <v>393</v>
      </c>
      <c r="E6" s="78" t="s">
        <v>392</v>
      </c>
    </row>
    <row r="7" spans="1:5" s="46" customFormat="1" ht="15.75" customHeight="1" thickBot="1">
      <c r="A7" s="903" t="s">
        <v>40</v>
      </c>
      <c r="B7" s="904"/>
      <c r="C7" s="904"/>
      <c r="D7" s="904"/>
      <c r="E7" s="905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5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6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7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7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7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7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7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5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6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7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7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7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7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8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0</v>
      </c>
      <c r="D22" s="255">
        <f>+D23+D24+D25+D26+D27</f>
        <v>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6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7"/>
      <c r="E24" s="105"/>
    </row>
    <row r="25" spans="1:5" s="53" customFormat="1" ht="12" customHeight="1">
      <c r="A25" s="199" t="s">
        <v>55</v>
      </c>
      <c r="B25" s="182" t="s">
        <v>331</v>
      </c>
      <c r="C25" s="169"/>
      <c r="D25" s="257"/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7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7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8"/>
      <c r="E28" s="107"/>
    </row>
    <row r="29" spans="1:5" s="53" customFormat="1" ht="12" customHeight="1" thickBot="1">
      <c r="A29" s="25" t="s">
        <v>114</v>
      </c>
      <c r="B29" s="19" t="s">
        <v>483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3" customFormat="1" ht="12" customHeight="1">
      <c r="A30" s="198" t="s">
        <v>179</v>
      </c>
      <c r="B30" s="181" t="s">
        <v>484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9" t="s">
        <v>180</v>
      </c>
      <c r="B31" s="182" t="s">
        <v>485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486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487</v>
      </c>
      <c r="C33" s="169"/>
      <c r="D33" s="169"/>
      <c r="E33" s="105"/>
    </row>
    <row r="34" spans="1:5" s="53" customFormat="1" ht="12" customHeight="1">
      <c r="A34" s="199" t="s">
        <v>488</v>
      </c>
      <c r="B34" s="182" t="s">
        <v>183</v>
      </c>
      <c r="C34" s="169"/>
      <c r="D34" s="169"/>
      <c r="E34" s="105"/>
    </row>
    <row r="35" spans="1:5" s="53" customFormat="1" ht="12" customHeight="1">
      <c r="A35" s="199" t="s">
        <v>489</v>
      </c>
      <c r="B35" s="182" t="s">
        <v>184</v>
      </c>
      <c r="C35" s="169"/>
      <c r="D35" s="169"/>
      <c r="E35" s="105"/>
    </row>
    <row r="36" spans="1:5" s="53" customFormat="1" ht="12" customHeight="1" thickBot="1">
      <c r="A36" s="200" t="s">
        <v>490</v>
      </c>
      <c r="B36" s="331" t="s">
        <v>185</v>
      </c>
      <c r="C36" s="171"/>
      <c r="D36" s="171"/>
      <c r="E36" s="107"/>
    </row>
    <row r="37" spans="1:5" s="53" customFormat="1" ht="12" customHeight="1" thickBot="1">
      <c r="A37" s="25" t="s">
        <v>10</v>
      </c>
      <c r="B37" s="19" t="s">
        <v>339</v>
      </c>
      <c r="C37" s="168">
        <f>SUM(C38:C48)</f>
        <v>0</v>
      </c>
      <c r="D37" s="255">
        <f>SUM(D38:D48)</f>
        <v>0</v>
      </c>
      <c r="E37" s="104">
        <f>SUM(E38:E48)</f>
        <v>0</v>
      </c>
    </row>
    <row r="38" spans="1:5" s="53" customFormat="1" ht="12" customHeight="1">
      <c r="A38" s="198" t="s">
        <v>57</v>
      </c>
      <c r="B38" s="181" t="s">
        <v>188</v>
      </c>
      <c r="C38" s="170"/>
      <c r="D38" s="256"/>
      <c r="E38" s="106"/>
    </row>
    <row r="39" spans="1:5" s="53" customFormat="1" ht="12" customHeight="1">
      <c r="A39" s="199" t="s">
        <v>58</v>
      </c>
      <c r="B39" s="182" t="s">
        <v>189</v>
      </c>
      <c r="C39" s="169"/>
      <c r="D39" s="257"/>
      <c r="E39" s="105"/>
    </row>
    <row r="40" spans="1:5" s="53" customFormat="1" ht="12" customHeight="1">
      <c r="A40" s="199" t="s">
        <v>59</v>
      </c>
      <c r="B40" s="182" t="s">
        <v>190</v>
      </c>
      <c r="C40" s="169"/>
      <c r="D40" s="257"/>
      <c r="E40" s="105"/>
    </row>
    <row r="41" spans="1:5" s="53" customFormat="1" ht="12" customHeight="1">
      <c r="A41" s="199" t="s">
        <v>116</v>
      </c>
      <c r="B41" s="182" t="s">
        <v>191</v>
      </c>
      <c r="C41" s="169"/>
      <c r="D41" s="257"/>
      <c r="E41" s="105"/>
    </row>
    <row r="42" spans="1:5" s="53" customFormat="1" ht="12" customHeight="1">
      <c r="A42" s="199" t="s">
        <v>117</v>
      </c>
      <c r="B42" s="182" t="s">
        <v>192</v>
      </c>
      <c r="C42" s="169"/>
      <c r="D42" s="257"/>
      <c r="E42" s="105"/>
    </row>
    <row r="43" spans="1:5" s="53" customFormat="1" ht="12" customHeight="1">
      <c r="A43" s="199" t="s">
        <v>118</v>
      </c>
      <c r="B43" s="182" t="s">
        <v>193</v>
      </c>
      <c r="C43" s="169"/>
      <c r="D43" s="257"/>
      <c r="E43" s="105"/>
    </row>
    <row r="44" spans="1:5" s="53" customFormat="1" ht="12" customHeight="1">
      <c r="A44" s="199" t="s">
        <v>119</v>
      </c>
      <c r="B44" s="182" t="s">
        <v>194</v>
      </c>
      <c r="C44" s="169"/>
      <c r="D44" s="257"/>
      <c r="E44" s="105"/>
    </row>
    <row r="45" spans="1:5" s="53" customFormat="1" ht="12" customHeight="1">
      <c r="A45" s="199" t="s">
        <v>120</v>
      </c>
      <c r="B45" s="182" t="s">
        <v>491</v>
      </c>
      <c r="C45" s="169"/>
      <c r="D45" s="257"/>
      <c r="E45" s="105"/>
    </row>
    <row r="46" spans="1:5" s="53" customFormat="1" ht="12" customHeight="1">
      <c r="A46" s="199" t="s">
        <v>186</v>
      </c>
      <c r="B46" s="182" t="s">
        <v>196</v>
      </c>
      <c r="C46" s="172"/>
      <c r="D46" s="316"/>
      <c r="E46" s="108"/>
    </row>
    <row r="47" spans="1:5" s="53" customFormat="1" ht="12" customHeight="1">
      <c r="A47" s="200" t="s">
        <v>187</v>
      </c>
      <c r="B47" s="183" t="s">
        <v>341</v>
      </c>
      <c r="C47" s="173"/>
      <c r="D47" s="317"/>
      <c r="E47" s="109"/>
    </row>
    <row r="48" spans="1:5" s="53" customFormat="1" ht="12" customHeight="1" thickBot="1">
      <c r="A48" s="200" t="s">
        <v>340</v>
      </c>
      <c r="B48" s="183" t="s">
        <v>197</v>
      </c>
      <c r="C48" s="173"/>
      <c r="D48" s="317"/>
      <c r="E48" s="109"/>
    </row>
    <row r="49" spans="1:5" s="53" customFormat="1" ht="12" customHeight="1" thickBot="1">
      <c r="A49" s="25" t="s">
        <v>11</v>
      </c>
      <c r="B49" s="19" t="s">
        <v>198</v>
      </c>
      <c r="C49" s="168">
        <f>SUM(C50:C54)</f>
        <v>0</v>
      </c>
      <c r="D49" s="255">
        <f>SUM(D50:D54)</f>
        <v>0</v>
      </c>
      <c r="E49" s="104">
        <f>SUM(E50:E54)</f>
        <v>0</v>
      </c>
    </row>
    <row r="50" spans="1:5" s="53" customFormat="1" ht="12" customHeight="1">
      <c r="A50" s="198" t="s">
        <v>60</v>
      </c>
      <c r="B50" s="181" t="s">
        <v>202</v>
      </c>
      <c r="C50" s="221"/>
      <c r="D50" s="318"/>
      <c r="E50" s="110"/>
    </row>
    <row r="51" spans="1:5" s="53" customFormat="1" ht="12" customHeight="1">
      <c r="A51" s="199" t="s">
        <v>61</v>
      </c>
      <c r="B51" s="182" t="s">
        <v>203</v>
      </c>
      <c r="C51" s="172"/>
      <c r="D51" s="316"/>
      <c r="E51" s="108"/>
    </row>
    <row r="52" spans="1:5" s="53" customFormat="1" ht="12" customHeight="1">
      <c r="A52" s="199" t="s">
        <v>199</v>
      </c>
      <c r="B52" s="182" t="s">
        <v>204</v>
      </c>
      <c r="C52" s="172"/>
      <c r="D52" s="316"/>
      <c r="E52" s="108"/>
    </row>
    <row r="53" spans="1:5" s="53" customFormat="1" ht="12" customHeight="1">
      <c r="A53" s="199" t="s">
        <v>200</v>
      </c>
      <c r="B53" s="182" t="s">
        <v>205</v>
      </c>
      <c r="C53" s="172"/>
      <c r="D53" s="316"/>
      <c r="E53" s="108"/>
    </row>
    <row r="54" spans="1:5" s="53" customFormat="1" ht="12" customHeight="1" thickBot="1">
      <c r="A54" s="200" t="s">
        <v>201</v>
      </c>
      <c r="B54" s="183" t="s">
        <v>206</v>
      </c>
      <c r="C54" s="173"/>
      <c r="D54" s="317"/>
      <c r="E54" s="109"/>
    </row>
    <row r="55" spans="1:5" s="53" customFormat="1" ht="12" customHeight="1" thickBot="1">
      <c r="A55" s="25" t="s">
        <v>121</v>
      </c>
      <c r="B55" s="19" t="s">
        <v>207</v>
      </c>
      <c r="C55" s="168">
        <f>SUM(C56:C58)</f>
        <v>0</v>
      </c>
      <c r="D55" s="255">
        <f>SUM(D56:D58)</f>
        <v>0</v>
      </c>
      <c r="E55" s="104">
        <f>SUM(E56:E58)</f>
        <v>0</v>
      </c>
    </row>
    <row r="56" spans="1:5" s="53" customFormat="1" ht="12" customHeight="1">
      <c r="A56" s="198" t="s">
        <v>62</v>
      </c>
      <c r="B56" s="181" t="s">
        <v>208</v>
      </c>
      <c r="C56" s="170"/>
      <c r="D56" s="256"/>
      <c r="E56" s="106"/>
    </row>
    <row r="57" spans="1:5" s="53" customFormat="1" ht="12" customHeight="1">
      <c r="A57" s="199" t="s">
        <v>63</v>
      </c>
      <c r="B57" s="182" t="s">
        <v>333</v>
      </c>
      <c r="C57" s="169"/>
      <c r="D57" s="257"/>
      <c r="E57" s="105"/>
    </row>
    <row r="58" spans="1:5" s="53" customFormat="1" ht="12" customHeight="1">
      <c r="A58" s="199" t="s">
        <v>211</v>
      </c>
      <c r="B58" s="182" t="s">
        <v>209</v>
      </c>
      <c r="C58" s="169"/>
      <c r="D58" s="257"/>
      <c r="E58" s="105"/>
    </row>
    <row r="59" spans="1:5" s="53" customFormat="1" ht="12" customHeight="1" thickBot="1">
      <c r="A59" s="200" t="s">
        <v>212</v>
      </c>
      <c r="B59" s="183" t="s">
        <v>210</v>
      </c>
      <c r="C59" s="171"/>
      <c r="D59" s="258"/>
      <c r="E59" s="107"/>
    </row>
    <row r="60" spans="1:5" s="53" customFormat="1" ht="12" customHeight="1" thickBot="1">
      <c r="A60" s="25" t="s">
        <v>13</v>
      </c>
      <c r="B60" s="111" t="s">
        <v>213</v>
      </c>
      <c r="C60" s="168">
        <f>SUM(C61:C63)</f>
        <v>0</v>
      </c>
      <c r="D60" s="255">
        <f>SUM(D61:D63)</f>
        <v>0</v>
      </c>
      <c r="E60" s="104">
        <f>SUM(E61:E63)</f>
        <v>0</v>
      </c>
    </row>
    <row r="61" spans="1:5" s="53" customFormat="1" ht="12" customHeight="1">
      <c r="A61" s="198" t="s">
        <v>122</v>
      </c>
      <c r="B61" s="181" t="s">
        <v>215</v>
      </c>
      <c r="C61" s="172"/>
      <c r="D61" s="316"/>
      <c r="E61" s="108"/>
    </row>
    <row r="62" spans="1:5" s="53" customFormat="1" ht="12" customHeight="1">
      <c r="A62" s="199" t="s">
        <v>123</v>
      </c>
      <c r="B62" s="182" t="s">
        <v>334</v>
      </c>
      <c r="C62" s="172"/>
      <c r="D62" s="316"/>
      <c r="E62" s="108"/>
    </row>
    <row r="63" spans="1:5" s="53" customFormat="1" ht="12" customHeight="1">
      <c r="A63" s="199" t="s">
        <v>146</v>
      </c>
      <c r="B63" s="182" t="s">
        <v>216</v>
      </c>
      <c r="C63" s="172"/>
      <c r="D63" s="316"/>
      <c r="E63" s="108"/>
    </row>
    <row r="64" spans="1:5" s="53" customFormat="1" ht="12" customHeight="1" thickBot="1">
      <c r="A64" s="200" t="s">
        <v>214</v>
      </c>
      <c r="B64" s="183" t="s">
        <v>217</v>
      </c>
      <c r="C64" s="172"/>
      <c r="D64" s="316"/>
      <c r="E64" s="108"/>
    </row>
    <row r="65" spans="1:5" s="53" customFormat="1" ht="12" customHeight="1" thickBot="1">
      <c r="A65" s="25" t="s">
        <v>14</v>
      </c>
      <c r="B65" s="19" t="s">
        <v>218</v>
      </c>
      <c r="C65" s="174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3" customFormat="1" ht="12" customHeight="1" thickBot="1">
      <c r="A66" s="201" t="s">
        <v>303</v>
      </c>
      <c r="B66" s="111" t="s">
        <v>220</v>
      </c>
      <c r="C66" s="168">
        <f>SUM(C67:C69)</f>
        <v>0</v>
      </c>
      <c r="D66" s="255">
        <f>SUM(D67:D69)</f>
        <v>0</v>
      </c>
      <c r="E66" s="104">
        <f>SUM(E67:E69)</f>
        <v>0</v>
      </c>
    </row>
    <row r="67" spans="1:5" s="53" customFormat="1" ht="12" customHeight="1">
      <c r="A67" s="198" t="s">
        <v>248</v>
      </c>
      <c r="B67" s="181" t="s">
        <v>221</v>
      </c>
      <c r="C67" s="172"/>
      <c r="D67" s="316"/>
      <c r="E67" s="108"/>
    </row>
    <row r="68" spans="1:5" s="53" customFormat="1" ht="12" customHeight="1">
      <c r="A68" s="199" t="s">
        <v>257</v>
      </c>
      <c r="B68" s="182" t="s">
        <v>222</v>
      </c>
      <c r="C68" s="172"/>
      <c r="D68" s="316"/>
      <c r="E68" s="108"/>
    </row>
    <row r="69" spans="1:5" s="53" customFormat="1" ht="12" customHeight="1" thickBot="1">
      <c r="A69" s="200" t="s">
        <v>258</v>
      </c>
      <c r="B69" s="184" t="s">
        <v>223</v>
      </c>
      <c r="C69" s="172"/>
      <c r="D69" s="319"/>
      <c r="E69" s="108"/>
    </row>
    <row r="70" spans="1:5" s="53" customFormat="1" ht="12" customHeight="1" thickBot="1">
      <c r="A70" s="201" t="s">
        <v>224</v>
      </c>
      <c r="B70" s="111" t="s">
        <v>225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3" customFormat="1" ht="12" customHeight="1">
      <c r="A71" s="198" t="s">
        <v>100</v>
      </c>
      <c r="B71" s="359" t="s">
        <v>226</v>
      </c>
      <c r="C71" s="172"/>
      <c r="D71" s="172"/>
      <c r="E71" s="108"/>
    </row>
    <row r="72" spans="1:5" s="53" customFormat="1" ht="12" customHeight="1">
      <c r="A72" s="199" t="s">
        <v>101</v>
      </c>
      <c r="B72" s="359" t="s">
        <v>498</v>
      </c>
      <c r="C72" s="172"/>
      <c r="D72" s="172"/>
      <c r="E72" s="108"/>
    </row>
    <row r="73" spans="1:5" s="53" customFormat="1" ht="12" customHeight="1">
      <c r="A73" s="199" t="s">
        <v>249</v>
      </c>
      <c r="B73" s="359" t="s">
        <v>227</v>
      </c>
      <c r="C73" s="172"/>
      <c r="D73" s="172"/>
      <c r="E73" s="108"/>
    </row>
    <row r="74" spans="1:5" s="53" customFormat="1" ht="12" customHeight="1" thickBot="1">
      <c r="A74" s="200" t="s">
        <v>250</v>
      </c>
      <c r="B74" s="360" t="s">
        <v>499</v>
      </c>
      <c r="C74" s="172"/>
      <c r="D74" s="172"/>
      <c r="E74" s="108"/>
    </row>
    <row r="75" spans="1:5" s="53" customFormat="1" ht="12" customHeight="1" thickBot="1">
      <c r="A75" s="201" t="s">
        <v>228</v>
      </c>
      <c r="B75" s="111" t="s">
        <v>229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3" customFormat="1" ht="12" customHeight="1">
      <c r="A76" s="198" t="s">
        <v>251</v>
      </c>
      <c r="B76" s="181" t="s">
        <v>230</v>
      </c>
      <c r="C76" s="172"/>
      <c r="D76" s="172"/>
      <c r="E76" s="108"/>
    </row>
    <row r="77" spans="1:5" s="53" customFormat="1" ht="12" customHeight="1" thickBot="1">
      <c r="A77" s="200" t="s">
        <v>252</v>
      </c>
      <c r="B77" s="183" t="s">
        <v>231</v>
      </c>
      <c r="C77" s="172"/>
      <c r="D77" s="172"/>
      <c r="E77" s="108"/>
    </row>
    <row r="78" spans="1:5" s="52" customFormat="1" ht="12" customHeight="1" thickBot="1">
      <c r="A78" s="201" t="s">
        <v>232</v>
      </c>
      <c r="B78" s="111" t="s">
        <v>233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3" customFormat="1" ht="12" customHeight="1">
      <c r="A79" s="198" t="s">
        <v>253</v>
      </c>
      <c r="B79" s="181" t="s">
        <v>234</v>
      </c>
      <c r="C79" s="172"/>
      <c r="D79" s="172"/>
      <c r="E79" s="108"/>
    </row>
    <row r="80" spans="1:5" s="53" customFormat="1" ht="12" customHeight="1">
      <c r="A80" s="199" t="s">
        <v>254</v>
      </c>
      <c r="B80" s="182" t="s">
        <v>235</v>
      </c>
      <c r="C80" s="172"/>
      <c r="D80" s="172"/>
      <c r="E80" s="108"/>
    </row>
    <row r="81" spans="1:5" s="53" customFormat="1" ht="12" customHeight="1" thickBot="1">
      <c r="A81" s="200" t="s">
        <v>255</v>
      </c>
      <c r="B81" s="183" t="s">
        <v>500</v>
      </c>
      <c r="C81" s="172"/>
      <c r="D81" s="172"/>
      <c r="E81" s="108"/>
    </row>
    <row r="82" spans="1:5" s="53" customFormat="1" ht="12" customHeight="1" thickBot="1">
      <c r="A82" s="201" t="s">
        <v>236</v>
      </c>
      <c r="B82" s="111" t="s">
        <v>256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3" customFormat="1" ht="12" customHeight="1">
      <c r="A83" s="202" t="s">
        <v>237</v>
      </c>
      <c r="B83" s="181" t="s">
        <v>238</v>
      </c>
      <c r="C83" s="172"/>
      <c r="D83" s="172"/>
      <c r="E83" s="108"/>
    </row>
    <row r="84" spans="1:5" s="53" customFormat="1" ht="12" customHeight="1">
      <c r="A84" s="203" t="s">
        <v>239</v>
      </c>
      <c r="B84" s="182" t="s">
        <v>240</v>
      </c>
      <c r="C84" s="172"/>
      <c r="D84" s="172"/>
      <c r="E84" s="108"/>
    </row>
    <row r="85" spans="1:5" s="53" customFormat="1" ht="12" customHeight="1">
      <c r="A85" s="203" t="s">
        <v>241</v>
      </c>
      <c r="B85" s="182" t="s">
        <v>242</v>
      </c>
      <c r="C85" s="172"/>
      <c r="D85" s="172"/>
      <c r="E85" s="108"/>
    </row>
    <row r="86" spans="1:5" s="52" customFormat="1" ht="12" customHeight="1" thickBot="1">
      <c r="A86" s="204" t="s">
        <v>243</v>
      </c>
      <c r="B86" s="183" t="s">
        <v>244</v>
      </c>
      <c r="C86" s="172"/>
      <c r="D86" s="172"/>
      <c r="E86" s="108"/>
    </row>
    <row r="87" spans="1:5" s="52" customFormat="1" ht="12" customHeight="1" thickBot="1">
      <c r="A87" s="201" t="s">
        <v>245</v>
      </c>
      <c r="B87" s="111" t="s">
        <v>380</v>
      </c>
      <c r="C87" s="224"/>
      <c r="D87" s="224"/>
      <c r="E87" s="225"/>
    </row>
    <row r="88" spans="1:5" s="52" customFormat="1" ht="12" customHeight="1" thickBot="1">
      <c r="A88" s="201" t="s">
        <v>398</v>
      </c>
      <c r="B88" s="111" t="s">
        <v>246</v>
      </c>
      <c r="C88" s="224"/>
      <c r="D88" s="224"/>
      <c r="E88" s="225"/>
    </row>
    <row r="89" spans="1:5" s="52" customFormat="1" ht="12" customHeight="1" thickBot="1">
      <c r="A89" s="201" t="s">
        <v>399</v>
      </c>
      <c r="B89" s="188" t="s">
        <v>383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2" customFormat="1" ht="12" customHeight="1" thickBot="1">
      <c r="A90" s="205" t="s">
        <v>400</v>
      </c>
      <c r="B90" s="189" t="s">
        <v>401</v>
      </c>
      <c r="C90" s="174">
        <f>+C65+C89</f>
        <v>0</v>
      </c>
      <c r="D90" s="174">
        <f>+D65+D89</f>
        <v>0</v>
      </c>
      <c r="E90" s="210">
        <f>+E65+E89</f>
        <v>0</v>
      </c>
    </row>
    <row r="91" spans="1:3" s="53" customFormat="1" ht="15" customHeight="1" thickBot="1">
      <c r="A91" s="88"/>
      <c r="B91" s="89"/>
      <c r="C91" s="150"/>
    </row>
    <row r="92" spans="1:5" s="46" customFormat="1" ht="16.5" customHeight="1" thickBot="1">
      <c r="A92" s="903" t="s">
        <v>41</v>
      </c>
      <c r="B92" s="904"/>
      <c r="C92" s="904"/>
      <c r="D92" s="904"/>
      <c r="E92" s="905"/>
    </row>
    <row r="93" spans="1:5" s="54" customFormat="1" ht="12" customHeight="1" thickBot="1">
      <c r="A93" s="175" t="s">
        <v>6</v>
      </c>
      <c r="B93" s="24" t="s">
        <v>405</v>
      </c>
      <c r="C93" s="167">
        <f>+C94+C95+C96+C97+C98+C111</f>
        <v>0</v>
      </c>
      <c r="D93" s="167">
        <f>+D94+D95+D96+D97+D98+D111</f>
        <v>0</v>
      </c>
      <c r="E93" s="238">
        <f>+E94+E95+E96+E97+E98+E111</f>
        <v>0</v>
      </c>
    </row>
    <row r="94" spans="1:5" ht="12" customHeight="1">
      <c r="A94" s="206" t="s">
        <v>64</v>
      </c>
      <c r="B94" s="8" t="s">
        <v>35</v>
      </c>
      <c r="C94" s="245"/>
      <c r="D94" s="245"/>
      <c r="E94" s="239"/>
    </row>
    <row r="95" spans="1:5" ht="12" customHeight="1">
      <c r="A95" s="199" t="s">
        <v>65</v>
      </c>
      <c r="B95" s="6" t="s">
        <v>124</v>
      </c>
      <c r="C95" s="169"/>
      <c r="D95" s="169"/>
      <c r="E95" s="105"/>
    </row>
    <row r="96" spans="1:5" ht="12" customHeight="1">
      <c r="A96" s="199" t="s">
        <v>66</v>
      </c>
      <c r="B96" s="6" t="s">
        <v>92</v>
      </c>
      <c r="C96" s="171"/>
      <c r="D96" s="169"/>
      <c r="E96" s="107"/>
    </row>
    <row r="97" spans="1:5" ht="12" customHeight="1">
      <c r="A97" s="199" t="s">
        <v>67</v>
      </c>
      <c r="B97" s="9" t="s">
        <v>125</v>
      </c>
      <c r="C97" s="171"/>
      <c r="D97" s="258"/>
      <c r="E97" s="107"/>
    </row>
    <row r="98" spans="1:5" ht="12" customHeight="1">
      <c r="A98" s="199" t="s">
        <v>76</v>
      </c>
      <c r="B98" s="17" t="s">
        <v>126</v>
      </c>
      <c r="C98" s="171"/>
      <c r="D98" s="258"/>
      <c r="E98" s="107"/>
    </row>
    <row r="99" spans="1:5" ht="12" customHeight="1">
      <c r="A99" s="199" t="s">
        <v>68</v>
      </c>
      <c r="B99" s="6" t="s">
        <v>402</v>
      </c>
      <c r="C99" s="171"/>
      <c r="D99" s="258"/>
      <c r="E99" s="107"/>
    </row>
    <row r="100" spans="1:5" ht="12" customHeight="1">
      <c r="A100" s="199" t="s">
        <v>69</v>
      </c>
      <c r="B100" s="64" t="s">
        <v>346</v>
      </c>
      <c r="C100" s="171"/>
      <c r="D100" s="258"/>
      <c r="E100" s="107"/>
    </row>
    <row r="101" spans="1:5" ht="12" customHeight="1">
      <c r="A101" s="199" t="s">
        <v>77</v>
      </c>
      <c r="B101" s="64" t="s">
        <v>345</v>
      </c>
      <c r="C101" s="171"/>
      <c r="D101" s="258"/>
      <c r="E101" s="107"/>
    </row>
    <row r="102" spans="1:5" ht="12" customHeight="1">
      <c r="A102" s="199" t="s">
        <v>78</v>
      </c>
      <c r="B102" s="64" t="s">
        <v>262</v>
      </c>
      <c r="C102" s="171"/>
      <c r="D102" s="258"/>
      <c r="E102" s="107"/>
    </row>
    <row r="103" spans="1:5" ht="12" customHeight="1">
      <c r="A103" s="199" t="s">
        <v>79</v>
      </c>
      <c r="B103" s="65" t="s">
        <v>263</v>
      </c>
      <c r="C103" s="171"/>
      <c r="D103" s="258"/>
      <c r="E103" s="107"/>
    </row>
    <row r="104" spans="1:5" ht="12" customHeight="1">
      <c r="A104" s="199" t="s">
        <v>80</v>
      </c>
      <c r="B104" s="65" t="s">
        <v>264</v>
      </c>
      <c r="C104" s="171"/>
      <c r="D104" s="258"/>
      <c r="E104" s="107"/>
    </row>
    <row r="105" spans="1:5" ht="12" customHeight="1">
      <c r="A105" s="199" t="s">
        <v>82</v>
      </c>
      <c r="B105" s="64" t="s">
        <v>265</v>
      </c>
      <c r="C105" s="171"/>
      <c r="D105" s="258"/>
      <c r="E105" s="107"/>
    </row>
    <row r="106" spans="1:5" ht="12" customHeight="1">
      <c r="A106" s="199" t="s">
        <v>127</v>
      </c>
      <c r="B106" s="64" t="s">
        <v>266</v>
      </c>
      <c r="C106" s="171"/>
      <c r="D106" s="258"/>
      <c r="E106" s="107"/>
    </row>
    <row r="107" spans="1:5" ht="12" customHeight="1">
      <c r="A107" s="199" t="s">
        <v>260</v>
      </c>
      <c r="B107" s="65" t="s">
        <v>267</v>
      </c>
      <c r="C107" s="169"/>
      <c r="D107" s="258"/>
      <c r="E107" s="107"/>
    </row>
    <row r="108" spans="1:5" ht="12" customHeight="1">
      <c r="A108" s="207" t="s">
        <v>261</v>
      </c>
      <c r="B108" s="66" t="s">
        <v>268</v>
      </c>
      <c r="C108" s="171"/>
      <c r="D108" s="258"/>
      <c r="E108" s="107"/>
    </row>
    <row r="109" spans="1:5" ht="12" customHeight="1">
      <c r="A109" s="199" t="s">
        <v>343</v>
      </c>
      <c r="B109" s="66" t="s">
        <v>269</v>
      </c>
      <c r="C109" s="171"/>
      <c r="D109" s="258"/>
      <c r="E109" s="107"/>
    </row>
    <row r="110" spans="1:5" ht="12" customHeight="1">
      <c r="A110" s="199" t="s">
        <v>344</v>
      </c>
      <c r="B110" s="65" t="s">
        <v>270</v>
      </c>
      <c r="C110" s="169"/>
      <c r="D110" s="257"/>
      <c r="E110" s="105"/>
    </row>
    <row r="111" spans="1:5" ht="12" customHeight="1">
      <c r="A111" s="199" t="s">
        <v>348</v>
      </c>
      <c r="B111" s="9" t="s">
        <v>36</v>
      </c>
      <c r="C111" s="169"/>
      <c r="D111" s="257"/>
      <c r="E111" s="105"/>
    </row>
    <row r="112" spans="1:5" ht="12" customHeight="1">
      <c r="A112" s="200" t="s">
        <v>349</v>
      </c>
      <c r="B112" s="6" t="s">
        <v>403</v>
      </c>
      <c r="C112" s="171"/>
      <c r="D112" s="258"/>
      <c r="E112" s="107"/>
    </row>
    <row r="113" spans="1:5" ht="12" customHeight="1" thickBot="1">
      <c r="A113" s="208" t="s">
        <v>350</v>
      </c>
      <c r="B113" s="67" t="s">
        <v>404</v>
      </c>
      <c r="C113" s="246"/>
      <c r="D113" s="322"/>
      <c r="E113" s="240"/>
    </row>
    <row r="114" spans="1:5" ht="12" customHeight="1" thickBot="1">
      <c r="A114" s="25" t="s">
        <v>7</v>
      </c>
      <c r="B114" s="23" t="s">
        <v>271</v>
      </c>
      <c r="C114" s="168">
        <f>+C115+C117+C119</f>
        <v>0</v>
      </c>
      <c r="D114" s="255">
        <f>+D115+D117+D119</f>
        <v>0</v>
      </c>
      <c r="E114" s="104">
        <f>+E115+E117+E119</f>
        <v>0</v>
      </c>
    </row>
    <row r="115" spans="1:5" ht="12" customHeight="1">
      <c r="A115" s="198" t="s">
        <v>70</v>
      </c>
      <c r="B115" s="6" t="s">
        <v>145</v>
      </c>
      <c r="C115" s="170"/>
      <c r="D115" s="256"/>
      <c r="E115" s="106"/>
    </row>
    <row r="116" spans="1:5" ht="12" customHeight="1">
      <c r="A116" s="198" t="s">
        <v>71</v>
      </c>
      <c r="B116" s="10" t="s">
        <v>275</v>
      </c>
      <c r="C116" s="170"/>
      <c r="D116" s="256"/>
      <c r="E116" s="106"/>
    </row>
    <row r="117" spans="1:5" ht="12" customHeight="1">
      <c r="A117" s="198" t="s">
        <v>72</v>
      </c>
      <c r="B117" s="10" t="s">
        <v>128</v>
      </c>
      <c r="C117" s="169"/>
      <c r="D117" s="257"/>
      <c r="E117" s="105"/>
    </row>
    <row r="118" spans="1:5" ht="12" customHeight="1">
      <c r="A118" s="198" t="s">
        <v>73</v>
      </c>
      <c r="B118" s="10" t="s">
        <v>276</v>
      </c>
      <c r="C118" s="169"/>
      <c r="D118" s="257"/>
      <c r="E118" s="105"/>
    </row>
    <row r="119" spans="1:5" ht="12" customHeight="1">
      <c r="A119" s="198" t="s">
        <v>74</v>
      </c>
      <c r="B119" s="113" t="s">
        <v>147</v>
      </c>
      <c r="C119" s="169"/>
      <c r="D119" s="257"/>
      <c r="E119" s="105"/>
    </row>
    <row r="120" spans="1:5" ht="12" customHeight="1">
      <c r="A120" s="198" t="s">
        <v>81</v>
      </c>
      <c r="B120" s="112" t="s">
        <v>335</v>
      </c>
      <c r="C120" s="169"/>
      <c r="D120" s="257"/>
      <c r="E120" s="105"/>
    </row>
    <row r="121" spans="1:5" ht="12" customHeight="1">
      <c r="A121" s="198" t="s">
        <v>83</v>
      </c>
      <c r="B121" s="177" t="s">
        <v>281</v>
      </c>
      <c r="C121" s="169"/>
      <c r="D121" s="257"/>
      <c r="E121" s="105"/>
    </row>
    <row r="122" spans="1:5" ht="12" customHeight="1">
      <c r="A122" s="198" t="s">
        <v>129</v>
      </c>
      <c r="B122" s="65" t="s">
        <v>264</v>
      </c>
      <c r="C122" s="169"/>
      <c r="D122" s="257"/>
      <c r="E122" s="105"/>
    </row>
    <row r="123" spans="1:5" ht="12" customHeight="1">
      <c r="A123" s="198" t="s">
        <v>130</v>
      </c>
      <c r="B123" s="65" t="s">
        <v>280</v>
      </c>
      <c r="C123" s="169"/>
      <c r="D123" s="257"/>
      <c r="E123" s="105"/>
    </row>
    <row r="124" spans="1:5" ht="12" customHeight="1">
      <c r="A124" s="198" t="s">
        <v>131</v>
      </c>
      <c r="B124" s="65" t="s">
        <v>279</v>
      </c>
      <c r="C124" s="169"/>
      <c r="D124" s="257"/>
      <c r="E124" s="105"/>
    </row>
    <row r="125" spans="1:5" ht="12" customHeight="1">
      <c r="A125" s="198" t="s">
        <v>272</v>
      </c>
      <c r="B125" s="65" t="s">
        <v>267</v>
      </c>
      <c r="C125" s="169"/>
      <c r="D125" s="257"/>
      <c r="E125" s="105"/>
    </row>
    <row r="126" spans="1:5" ht="12" customHeight="1">
      <c r="A126" s="198" t="s">
        <v>273</v>
      </c>
      <c r="B126" s="65" t="s">
        <v>278</v>
      </c>
      <c r="C126" s="169"/>
      <c r="D126" s="257"/>
      <c r="E126" s="105"/>
    </row>
    <row r="127" spans="1:5" ht="12" customHeight="1" thickBot="1">
      <c r="A127" s="207" t="s">
        <v>274</v>
      </c>
      <c r="B127" s="65" t="s">
        <v>277</v>
      </c>
      <c r="C127" s="171"/>
      <c r="D127" s="258"/>
      <c r="E127" s="107"/>
    </row>
    <row r="128" spans="1:5" ht="12" customHeight="1" thickBot="1">
      <c r="A128" s="25" t="s">
        <v>8</v>
      </c>
      <c r="B128" s="58" t="s">
        <v>353</v>
      </c>
      <c r="C128" s="168">
        <f>+C93+C114</f>
        <v>0</v>
      </c>
      <c r="D128" s="255">
        <f>+D93+D114</f>
        <v>0</v>
      </c>
      <c r="E128" s="104">
        <f>+E93+E114</f>
        <v>0</v>
      </c>
    </row>
    <row r="129" spans="1:5" ht="12" customHeight="1" thickBot="1">
      <c r="A129" s="25" t="s">
        <v>9</v>
      </c>
      <c r="B129" s="58" t="s">
        <v>354</v>
      </c>
      <c r="C129" s="168">
        <f>+C130+C131+C132</f>
        <v>0</v>
      </c>
      <c r="D129" s="255">
        <f>+D130+D131+D132</f>
        <v>0</v>
      </c>
      <c r="E129" s="104">
        <f>+E130+E131+E132</f>
        <v>0</v>
      </c>
    </row>
    <row r="130" spans="1:5" s="54" customFormat="1" ht="12" customHeight="1">
      <c r="A130" s="198" t="s">
        <v>179</v>
      </c>
      <c r="B130" s="7" t="s">
        <v>408</v>
      </c>
      <c r="C130" s="169"/>
      <c r="D130" s="257"/>
      <c r="E130" s="105"/>
    </row>
    <row r="131" spans="1:5" ht="12" customHeight="1">
      <c r="A131" s="198" t="s">
        <v>180</v>
      </c>
      <c r="B131" s="7" t="s">
        <v>362</v>
      </c>
      <c r="C131" s="169"/>
      <c r="D131" s="257"/>
      <c r="E131" s="105"/>
    </row>
    <row r="132" spans="1:5" ht="12" customHeight="1" thickBot="1">
      <c r="A132" s="207" t="s">
        <v>181</v>
      </c>
      <c r="B132" s="5" t="s">
        <v>407</v>
      </c>
      <c r="C132" s="169"/>
      <c r="D132" s="257"/>
      <c r="E132" s="105"/>
    </row>
    <row r="133" spans="1:5" ht="12" customHeight="1" thickBot="1">
      <c r="A133" s="25" t="s">
        <v>10</v>
      </c>
      <c r="B133" s="58" t="s">
        <v>355</v>
      </c>
      <c r="C133" s="168">
        <f>+C134+C135+C136+C137+C138+C139</f>
        <v>0</v>
      </c>
      <c r="D133" s="255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57</v>
      </c>
      <c r="B134" s="7" t="s">
        <v>364</v>
      </c>
      <c r="C134" s="169"/>
      <c r="D134" s="257"/>
      <c r="E134" s="105"/>
    </row>
    <row r="135" spans="1:5" ht="12" customHeight="1">
      <c r="A135" s="198" t="s">
        <v>58</v>
      </c>
      <c r="B135" s="7" t="s">
        <v>356</v>
      </c>
      <c r="C135" s="169"/>
      <c r="D135" s="257"/>
      <c r="E135" s="105"/>
    </row>
    <row r="136" spans="1:5" ht="12" customHeight="1">
      <c r="A136" s="198" t="s">
        <v>59</v>
      </c>
      <c r="B136" s="7" t="s">
        <v>357</v>
      </c>
      <c r="C136" s="169"/>
      <c r="D136" s="257"/>
      <c r="E136" s="105"/>
    </row>
    <row r="137" spans="1:5" ht="12" customHeight="1">
      <c r="A137" s="198" t="s">
        <v>116</v>
      </c>
      <c r="B137" s="7" t="s">
        <v>406</v>
      </c>
      <c r="C137" s="169"/>
      <c r="D137" s="257"/>
      <c r="E137" s="105"/>
    </row>
    <row r="138" spans="1:5" ht="12" customHeight="1">
      <c r="A138" s="198" t="s">
        <v>117</v>
      </c>
      <c r="B138" s="7" t="s">
        <v>359</v>
      </c>
      <c r="C138" s="169"/>
      <c r="D138" s="257"/>
      <c r="E138" s="105"/>
    </row>
    <row r="139" spans="1:5" s="54" customFormat="1" ht="12" customHeight="1" thickBot="1">
      <c r="A139" s="207" t="s">
        <v>118</v>
      </c>
      <c r="B139" s="5" t="s">
        <v>360</v>
      </c>
      <c r="C139" s="169"/>
      <c r="D139" s="257"/>
      <c r="E139" s="105"/>
    </row>
    <row r="140" spans="1:11" ht="12" customHeight="1" thickBot="1">
      <c r="A140" s="25" t="s">
        <v>11</v>
      </c>
      <c r="B140" s="58" t="s">
        <v>421</v>
      </c>
      <c r="C140" s="174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97"/>
    </row>
    <row r="141" spans="1:5" ht="12.75">
      <c r="A141" s="198" t="s">
        <v>60</v>
      </c>
      <c r="B141" s="7" t="s">
        <v>282</v>
      </c>
      <c r="C141" s="169"/>
      <c r="D141" s="257"/>
      <c r="E141" s="105"/>
    </row>
    <row r="142" spans="1:5" ht="12" customHeight="1">
      <c r="A142" s="198" t="s">
        <v>61</v>
      </c>
      <c r="B142" s="7" t="s">
        <v>283</v>
      </c>
      <c r="C142" s="169"/>
      <c r="D142" s="257"/>
      <c r="E142" s="105"/>
    </row>
    <row r="143" spans="1:5" ht="12" customHeight="1">
      <c r="A143" s="198" t="s">
        <v>199</v>
      </c>
      <c r="B143" s="7" t="s">
        <v>420</v>
      </c>
      <c r="C143" s="169"/>
      <c r="D143" s="257"/>
      <c r="E143" s="105"/>
    </row>
    <row r="144" spans="1:5" s="54" customFormat="1" ht="12" customHeight="1">
      <c r="A144" s="198" t="s">
        <v>200</v>
      </c>
      <c r="B144" s="7" t="s">
        <v>369</v>
      </c>
      <c r="C144" s="169"/>
      <c r="D144" s="257"/>
      <c r="E144" s="105"/>
    </row>
    <row r="145" spans="1:5" s="54" customFormat="1" ht="12" customHeight="1" thickBot="1">
      <c r="A145" s="207" t="s">
        <v>201</v>
      </c>
      <c r="B145" s="5" t="s">
        <v>299</v>
      </c>
      <c r="C145" s="169"/>
      <c r="D145" s="257"/>
      <c r="E145" s="105"/>
    </row>
    <row r="146" spans="1:5" s="54" customFormat="1" ht="12" customHeight="1" thickBot="1">
      <c r="A146" s="25" t="s">
        <v>12</v>
      </c>
      <c r="B146" s="58" t="s">
        <v>370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4" customFormat="1" ht="12" customHeight="1">
      <c r="A147" s="198" t="s">
        <v>62</v>
      </c>
      <c r="B147" s="7" t="s">
        <v>365</v>
      </c>
      <c r="C147" s="169"/>
      <c r="D147" s="257"/>
      <c r="E147" s="105"/>
    </row>
    <row r="148" spans="1:5" s="54" customFormat="1" ht="12" customHeight="1">
      <c r="A148" s="198" t="s">
        <v>63</v>
      </c>
      <c r="B148" s="7" t="s">
        <v>372</v>
      </c>
      <c r="C148" s="169"/>
      <c r="D148" s="257"/>
      <c r="E148" s="105"/>
    </row>
    <row r="149" spans="1:5" s="54" customFormat="1" ht="12" customHeight="1">
      <c r="A149" s="198" t="s">
        <v>211</v>
      </c>
      <c r="B149" s="7" t="s">
        <v>367</v>
      </c>
      <c r="C149" s="169"/>
      <c r="D149" s="257"/>
      <c r="E149" s="105"/>
    </row>
    <row r="150" spans="1:5" s="54" customFormat="1" ht="12" customHeight="1">
      <c r="A150" s="198" t="s">
        <v>212</v>
      </c>
      <c r="B150" s="7" t="s">
        <v>409</v>
      </c>
      <c r="C150" s="169"/>
      <c r="D150" s="257"/>
      <c r="E150" s="105"/>
    </row>
    <row r="151" spans="1:5" ht="12.75" customHeight="1" thickBot="1">
      <c r="A151" s="207" t="s">
        <v>371</v>
      </c>
      <c r="B151" s="5" t="s">
        <v>374</v>
      </c>
      <c r="C151" s="171"/>
      <c r="D151" s="258"/>
      <c r="E151" s="107"/>
    </row>
    <row r="152" spans="1:5" ht="12.75" customHeight="1" thickBot="1">
      <c r="A152" s="237" t="s">
        <v>13</v>
      </c>
      <c r="B152" s="58" t="s">
        <v>375</v>
      </c>
      <c r="C152" s="248"/>
      <c r="D152" s="260"/>
      <c r="E152" s="242"/>
    </row>
    <row r="153" spans="1:5" ht="12.75" customHeight="1" thickBot="1">
      <c r="A153" s="237" t="s">
        <v>14</v>
      </c>
      <c r="B153" s="58" t="s">
        <v>376</v>
      </c>
      <c r="C153" s="248"/>
      <c r="D153" s="260"/>
      <c r="E153" s="242"/>
    </row>
    <row r="154" spans="1:5" ht="12" customHeight="1" thickBot="1">
      <c r="A154" s="25" t="s">
        <v>15</v>
      </c>
      <c r="B154" s="58" t="s">
        <v>378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" customHeight="1" thickBot="1">
      <c r="A155" s="209" t="s">
        <v>16</v>
      </c>
      <c r="B155" s="155" t="s">
        <v>377</v>
      </c>
      <c r="C155" s="250">
        <f>+C128+C154</f>
        <v>0</v>
      </c>
      <c r="D155" s="262">
        <f>+D128+D154</f>
        <v>0</v>
      </c>
      <c r="E155" s="244">
        <f>+E128+E154</f>
        <v>0</v>
      </c>
    </row>
    <row r="156" spans="1:5" ht="13.5" thickBot="1">
      <c r="A156" s="158"/>
      <c r="B156" s="159"/>
      <c r="C156" s="646">
        <f>C90-C155</f>
        <v>0</v>
      </c>
      <c r="D156" s="646">
        <f>D90-D155</f>
        <v>0</v>
      </c>
      <c r="E156" s="160"/>
    </row>
    <row r="157" spans="1:5" ht="15" customHeight="1" thickBot="1">
      <c r="A157" s="332" t="s">
        <v>493</v>
      </c>
      <c r="B157" s="333"/>
      <c r="C157" s="321"/>
      <c r="D157" s="321"/>
      <c r="E157" s="320"/>
    </row>
    <row r="158" spans="1:5" ht="14.25" customHeight="1" thickBot="1">
      <c r="A158" s="334" t="s">
        <v>494</v>
      </c>
      <c r="B158" s="335"/>
      <c r="C158" s="321"/>
      <c r="D158" s="321"/>
      <c r="E158" s="320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16">
      <selection activeCell="H27" sqref="H27"/>
    </sheetView>
  </sheetViews>
  <sheetFormatPr defaultColWidth="9.375" defaultRowHeight="12.75"/>
  <cols>
    <col min="1" max="1" width="13.00390625" style="93" customWidth="1"/>
    <col min="2" max="2" width="59.00390625" style="94" customWidth="1"/>
    <col min="3" max="5" width="15.75390625" style="94" customWidth="1"/>
    <col min="6" max="16384" width="9.375" style="94" customWidth="1"/>
  </cols>
  <sheetData>
    <row r="1" spans="1:5" s="84" customFormat="1" ht="15.75" thickBot="1">
      <c r="A1" s="379"/>
      <c r="B1" s="907" t="str">
        <f>CONCATENATE("14. melléklet ",Z_ALAPADATOK!A7," ",Z_ALAPADATOK!B7," ",Z_ALAPADATOK!C7," ",Z_ALAPADATOK!D7," ",Z_ALAPADATOK!E7," ",Z_ALAPADATOK!F7," ",Z_ALAPADATOK!G7," ",Z_ALAPADATOK!H7)</f>
        <v>14. melléklet a  / 2023. ( V…... ) önkormányzati rendelethez</v>
      </c>
      <c r="C1" s="908"/>
      <c r="D1" s="908"/>
      <c r="E1" s="908"/>
    </row>
    <row r="2" spans="1:5" s="216" customFormat="1" ht="23.25" thickBot="1">
      <c r="A2" s="380" t="s">
        <v>460</v>
      </c>
      <c r="B2" s="909" t="s">
        <v>692</v>
      </c>
      <c r="C2" s="910"/>
      <c r="D2" s="911"/>
      <c r="E2" s="381" t="s">
        <v>43</v>
      </c>
    </row>
    <row r="3" spans="1:5" s="216" customFormat="1" ht="23.25" thickBot="1">
      <c r="A3" s="380" t="s">
        <v>137</v>
      </c>
      <c r="B3" s="909" t="s">
        <v>307</v>
      </c>
      <c r="C3" s="910"/>
      <c r="D3" s="911"/>
      <c r="E3" s="381" t="s">
        <v>39</v>
      </c>
    </row>
    <row r="4" spans="1:5" s="217" customFormat="1" ht="15.75" customHeight="1" thickBot="1">
      <c r="A4" s="382"/>
      <c r="B4" s="382"/>
      <c r="C4" s="383"/>
      <c r="D4" s="384"/>
      <c r="E4" s="383" t="str">
        <f>'13'!E4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CONCATENATE('13'!E5)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23075000</v>
      </c>
      <c r="D8" s="121">
        <f>SUM(D9:D19)</f>
        <v>23075000</v>
      </c>
      <c r="E8" s="149">
        <f>SUM(E9:E19)</f>
        <v>25711098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>
        <v>9410000</v>
      </c>
      <c r="D10" s="118">
        <v>9410000</v>
      </c>
      <c r="E10" s="269">
        <v>8878442</v>
      </c>
    </row>
    <row r="11" spans="1:5" s="154" customFormat="1" ht="12" customHeight="1">
      <c r="A11" s="212" t="s">
        <v>66</v>
      </c>
      <c r="B11" s="6" t="s">
        <v>190</v>
      </c>
      <c r="C11" s="118">
        <v>3625000</v>
      </c>
      <c r="D11" s="118">
        <v>3625000</v>
      </c>
      <c r="E11" s="269">
        <v>2523018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>
        <v>11000</v>
      </c>
    </row>
    <row r="13" spans="1:5" s="154" customFormat="1" ht="12" customHeight="1">
      <c r="A13" s="212" t="s">
        <v>99</v>
      </c>
      <c r="B13" s="6" t="s">
        <v>192</v>
      </c>
      <c r="C13" s="118">
        <v>5921000</v>
      </c>
      <c r="D13" s="118">
        <v>5921000</v>
      </c>
      <c r="E13" s="269">
        <v>9612344</v>
      </c>
    </row>
    <row r="14" spans="1:5" s="154" customFormat="1" ht="12" customHeight="1">
      <c r="A14" s="212" t="s">
        <v>68</v>
      </c>
      <c r="B14" s="6" t="s">
        <v>308</v>
      </c>
      <c r="C14" s="118">
        <v>4094000</v>
      </c>
      <c r="D14" s="118">
        <v>4094000</v>
      </c>
      <c r="E14" s="269">
        <v>4623915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>
        <v>12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>
        <v>25000</v>
      </c>
      <c r="D19" s="120">
        <v>25000</v>
      </c>
      <c r="E19" s="270">
        <v>62367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593928</v>
      </c>
      <c r="E20" s="149">
        <f>SUM(E21:E23)</f>
        <v>687717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>
        <v>593928</v>
      </c>
      <c r="E23" s="269">
        <v>687717</v>
      </c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23075000</v>
      </c>
      <c r="D37" s="121">
        <f>+D8+D20+D25+D26+D31+D35+D36</f>
        <v>23668928</v>
      </c>
      <c r="E37" s="149">
        <f>+E8+E20+E25+E26+E31+E35+E36</f>
        <v>26398815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313242424</v>
      </c>
      <c r="D38" s="121">
        <f>+D39+D40+D41</f>
        <v>315490156</v>
      </c>
      <c r="E38" s="149">
        <f>+E39+E40+E41</f>
        <v>278753590</v>
      </c>
    </row>
    <row r="39" spans="1:5" s="154" customFormat="1" ht="12" customHeight="1">
      <c r="A39" s="213" t="s">
        <v>319</v>
      </c>
      <c r="B39" s="214" t="s">
        <v>152</v>
      </c>
      <c r="C39" s="276">
        <v>6521043</v>
      </c>
      <c r="D39" s="276">
        <v>6508983</v>
      </c>
      <c r="E39" s="274">
        <v>6508983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>
        <v>306721381</v>
      </c>
      <c r="D41" s="49">
        <v>308981173</v>
      </c>
      <c r="E41" s="325">
        <v>272244607</v>
      </c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336317424</v>
      </c>
      <c r="D42" s="327">
        <f>+D37+D38</f>
        <v>339159084</v>
      </c>
      <c r="E42" s="152">
        <f>+E37+E38</f>
        <v>305152405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324657674</v>
      </c>
      <c r="D46" s="121">
        <f>SUM(D47:D51)</f>
        <v>326203418</v>
      </c>
      <c r="E46" s="149">
        <f>SUM(E47:E51)</f>
        <v>280744998</v>
      </c>
    </row>
    <row r="47" spans="1:5" ht="12" customHeight="1">
      <c r="A47" s="212" t="s">
        <v>64</v>
      </c>
      <c r="B47" s="7" t="s">
        <v>35</v>
      </c>
      <c r="C47" s="276">
        <v>141916064</v>
      </c>
      <c r="D47" s="276">
        <v>141773188</v>
      </c>
      <c r="E47" s="274">
        <v>136276588</v>
      </c>
    </row>
    <row r="48" spans="1:5" ht="12" customHeight="1">
      <c r="A48" s="212" t="s">
        <v>65</v>
      </c>
      <c r="B48" s="6" t="s">
        <v>124</v>
      </c>
      <c r="C48" s="48">
        <v>21635610</v>
      </c>
      <c r="D48" s="48">
        <v>22701817</v>
      </c>
      <c r="E48" s="272">
        <v>21483875</v>
      </c>
    </row>
    <row r="49" spans="1:5" ht="12" customHeight="1">
      <c r="A49" s="212" t="s">
        <v>66</v>
      </c>
      <c r="B49" s="6" t="s">
        <v>92</v>
      </c>
      <c r="C49" s="48">
        <v>161106000</v>
      </c>
      <c r="D49" s="48">
        <v>161728413</v>
      </c>
      <c r="E49" s="272">
        <v>122984535</v>
      </c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11659750</v>
      </c>
      <c r="D52" s="121">
        <f>SUM(D53:D55)</f>
        <v>12955666</v>
      </c>
      <c r="E52" s="149">
        <f>SUM(E53:E55)</f>
        <v>11542432</v>
      </c>
    </row>
    <row r="53" spans="1:5" s="220" customFormat="1" ht="12" customHeight="1">
      <c r="A53" s="212" t="s">
        <v>70</v>
      </c>
      <c r="B53" s="7" t="s">
        <v>145</v>
      </c>
      <c r="C53" s="276">
        <v>11659750</v>
      </c>
      <c r="D53" s="276">
        <v>12955666</v>
      </c>
      <c r="E53" s="274">
        <v>11542432</v>
      </c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336317424</v>
      </c>
      <c r="D58" s="327">
        <f>+D46+D52+D57</f>
        <v>339159084</v>
      </c>
      <c r="E58" s="152">
        <f>+E46+E52+E57</f>
        <v>292287430</v>
      </c>
    </row>
    <row r="59" spans="3:5" ht="13.5" thickBot="1">
      <c r="C59" s="646">
        <f>C42-C58</f>
        <v>0</v>
      </c>
      <c r="D59" s="646">
        <f>D42-D58</f>
        <v>0</v>
      </c>
      <c r="E59" s="153"/>
    </row>
    <row r="60" spans="1:5" ht="15" customHeight="1" thickBot="1">
      <c r="A60" s="332" t="s">
        <v>493</v>
      </c>
      <c r="B60" s="333"/>
      <c r="C60" s="321"/>
      <c r="D60" s="321"/>
      <c r="E60" s="320"/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40">
      <selection activeCell="G55" sqref="G55"/>
    </sheetView>
  </sheetViews>
  <sheetFormatPr defaultColWidth="9.375" defaultRowHeight="12.75"/>
  <cols>
    <col min="1" max="1" width="13.00390625" style="93" customWidth="1"/>
    <col min="2" max="2" width="59.00390625" style="94" customWidth="1"/>
    <col min="3" max="5" width="15.75390625" style="94" customWidth="1"/>
    <col min="6" max="16384" width="9.375" style="94" customWidth="1"/>
  </cols>
  <sheetData>
    <row r="1" spans="1:5" s="84" customFormat="1" ht="15.75" thickBot="1">
      <c r="A1" s="379"/>
      <c r="B1" s="907" t="str">
        <f>CONCATENATE("15. melléklet ",Z_ALAPADATOK!A7," ",Z_ALAPADATOK!B7," ",Z_ALAPADATOK!C7," ",Z_ALAPADATOK!D7," ",Z_ALAPADATOK!E7," ",Z_ALAPADATOK!F7," ",Z_ALAPADATOK!G7," ",Z_ALAPADATOK!H7)</f>
        <v>15. melléklet a  / 2023. ( V…... ) önkormányzati rendelethez</v>
      </c>
      <c r="C1" s="908"/>
      <c r="D1" s="908"/>
      <c r="E1" s="908"/>
    </row>
    <row r="2" spans="1:5" s="216" customFormat="1" ht="23.25" thickBot="1">
      <c r="A2" s="380" t="s">
        <v>460</v>
      </c>
      <c r="B2" s="909" t="str">
        <f>CONCATENATE('14'!B2:D2)</f>
        <v>Balatonvilágos Község Önkormányzat Gazdasági Ellátó és Vagyongazdálkodó Szervezete</v>
      </c>
      <c r="C2" s="910"/>
      <c r="D2" s="911"/>
      <c r="E2" s="381" t="s">
        <v>43</v>
      </c>
    </row>
    <row r="3" spans="1:5" s="216" customFormat="1" ht="23.25" thickBot="1">
      <c r="A3" s="380" t="s">
        <v>137</v>
      </c>
      <c r="B3" s="909" t="s">
        <v>326</v>
      </c>
      <c r="C3" s="910"/>
      <c r="D3" s="911"/>
      <c r="E3" s="381" t="s">
        <v>43</v>
      </c>
    </row>
    <row r="4" spans="1:5" s="217" customFormat="1" ht="15.75" customHeight="1" thickBot="1">
      <c r="A4" s="382"/>
      <c r="B4" s="382"/>
      <c r="C4" s="383"/>
      <c r="D4" s="384"/>
      <c r="E4" s="383" t="str">
        <f>'14'!E4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CONCATENATE('14'!E5)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17214000</v>
      </c>
      <c r="D8" s="121">
        <f>SUM(D9:D19)</f>
        <v>20614000</v>
      </c>
      <c r="E8" s="149">
        <f>SUM(E9:E19)</f>
        <v>24339048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>
        <v>4795000</v>
      </c>
      <c r="D10" s="118">
        <v>8195000</v>
      </c>
      <c r="E10" s="269">
        <v>7798088</v>
      </c>
    </row>
    <row r="11" spans="1:5" s="154" customFormat="1" ht="12" customHeight="1">
      <c r="A11" s="212" t="s">
        <v>66</v>
      </c>
      <c r="B11" s="6" t="s">
        <v>190</v>
      </c>
      <c r="C11" s="118">
        <v>3625000</v>
      </c>
      <c r="D11" s="118">
        <v>3625000</v>
      </c>
      <c r="E11" s="269">
        <v>2523018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>
        <v>11000</v>
      </c>
    </row>
    <row r="13" spans="1:5" s="154" customFormat="1" ht="12" customHeight="1">
      <c r="A13" s="212" t="s">
        <v>99</v>
      </c>
      <c r="B13" s="6" t="s">
        <v>192</v>
      </c>
      <c r="C13" s="118">
        <v>5921000</v>
      </c>
      <c r="D13" s="118">
        <v>5921000</v>
      </c>
      <c r="E13" s="269">
        <v>9612344</v>
      </c>
    </row>
    <row r="14" spans="1:5" s="154" customFormat="1" ht="12" customHeight="1">
      <c r="A14" s="212" t="s">
        <v>68</v>
      </c>
      <c r="B14" s="6" t="s">
        <v>308</v>
      </c>
      <c r="C14" s="118">
        <v>2848000</v>
      </c>
      <c r="D14" s="118">
        <v>2848000</v>
      </c>
      <c r="E14" s="269">
        <v>4332219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>
        <v>12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>
        <v>25000</v>
      </c>
      <c r="D19" s="120">
        <v>25000</v>
      </c>
      <c r="E19" s="270">
        <v>62367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593928</v>
      </c>
      <c r="E20" s="149">
        <f>SUM(E21:E23)</f>
        <v>687717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>
        <v>593928</v>
      </c>
      <c r="E23" s="269">
        <v>687717</v>
      </c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17214000</v>
      </c>
      <c r="D37" s="121">
        <f>+D8+D20+D25+D26+D31+D35+D36</f>
        <v>21207928</v>
      </c>
      <c r="E37" s="149">
        <f>+E8+E20+E25+E26+E31+E35+E36</f>
        <v>25026765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313242424</v>
      </c>
      <c r="D38" s="121">
        <f>+D39+D40+D41</f>
        <v>315490156</v>
      </c>
      <c r="E38" s="149">
        <f>+E39+E40+E41</f>
        <v>278753590</v>
      </c>
    </row>
    <row r="39" spans="1:5" s="154" customFormat="1" ht="12" customHeight="1">
      <c r="A39" s="213" t="s">
        <v>319</v>
      </c>
      <c r="B39" s="214" t="s">
        <v>152</v>
      </c>
      <c r="C39" s="276">
        <v>6521043</v>
      </c>
      <c r="D39" s="276">
        <v>6508983</v>
      </c>
      <c r="E39" s="274">
        <v>6508983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>
        <v>306721381</v>
      </c>
      <c r="D41" s="49">
        <v>308981173</v>
      </c>
      <c r="E41" s="325">
        <v>272244607</v>
      </c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330456424</v>
      </c>
      <c r="D42" s="327">
        <f>+D37+D38</f>
        <v>336698084</v>
      </c>
      <c r="E42" s="152">
        <f>+E37+E38</f>
        <v>303780355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318417674</v>
      </c>
      <c r="D46" s="121">
        <f>SUM(D47:D51)</f>
        <v>319963418</v>
      </c>
      <c r="E46" s="149">
        <f>SUM(E47:E51)</f>
        <v>277519199</v>
      </c>
    </row>
    <row r="47" spans="1:5" ht="12" customHeight="1">
      <c r="A47" s="212" t="s">
        <v>64</v>
      </c>
      <c r="B47" s="7" t="s">
        <v>35</v>
      </c>
      <c r="C47" s="276">
        <v>141916064</v>
      </c>
      <c r="D47" s="276">
        <v>141773188</v>
      </c>
      <c r="E47" s="274">
        <v>136276588</v>
      </c>
    </row>
    <row r="48" spans="1:5" ht="12" customHeight="1">
      <c r="A48" s="212" t="s">
        <v>65</v>
      </c>
      <c r="B48" s="6" t="s">
        <v>124</v>
      </c>
      <c r="C48" s="48">
        <v>21635610</v>
      </c>
      <c r="D48" s="48">
        <v>22701817</v>
      </c>
      <c r="E48" s="272">
        <v>21483875</v>
      </c>
    </row>
    <row r="49" spans="1:5" ht="12" customHeight="1">
      <c r="A49" s="212" t="s">
        <v>66</v>
      </c>
      <c r="B49" s="6" t="s">
        <v>92</v>
      </c>
      <c r="C49" s="48">
        <v>154866000</v>
      </c>
      <c r="D49" s="48">
        <v>155488413</v>
      </c>
      <c r="E49" s="272">
        <v>119758736</v>
      </c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11659750</v>
      </c>
      <c r="D52" s="121">
        <f>SUM(D53:D55)</f>
        <v>12955666</v>
      </c>
      <c r="E52" s="149">
        <f>SUM(E53:E55)</f>
        <v>11542432</v>
      </c>
    </row>
    <row r="53" spans="1:5" s="220" customFormat="1" ht="12" customHeight="1">
      <c r="A53" s="212" t="s">
        <v>70</v>
      </c>
      <c r="B53" s="7" t="s">
        <v>145</v>
      </c>
      <c r="C53" s="276">
        <v>11659750</v>
      </c>
      <c r="D53" s="276">
        <v>12955666</v>
      </c>
      <c r="E53" s="274">
        <v>11542432</v>
      </c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330077424</v>
      </c>
      <c r="D58" s="327">
        <f>+D46+D52+D57</f>
        <v>332919084</v>
      </c>
      <c r="E58" s="152">
        <f>+E46+E52+E57</f>
        <v>289061631</v>
      </c>
    </row>
    <row r="59" spans="3:5" ht="13.5" thickBot="1">
      <c r="C59" s="646">
        <f>C42-C58</f>
        <v>379000</v>
      </c>
      <c r="D59" s="646">
        <f>D42-D58</f>
        <v>3779000</v>
      </c>
      <c r="E59" s="153"/>
    </row>
    <row r="60" spans="1:5" ht="15" customHeight="1" thickBot="1">
      <c r="A60" s="332" t="s">
        <v>493</v>
      </c>
      <c r="B60" s="333"/>
      <c r="C60" s="321">
        <v>33</v>
      </c>
      <c r="D60" s="321">
        <v>33</v>
      </c>
      <c r="E60" s="320">
        <v>33</v>
      </c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1">
      <selection activeCell="H12" sqref="H12"/>
    </sheetView>
  </sheetViews>
  <sheetFormatPr defaultColWidth="9.375" defaultRowHeight="12.75"/>
  <cols>
    <col min="1" max="1" width="13.00390625" style="93" customWidth="1"/>
    <col min="2" max="2" width="59.00390625" style="94" customWidth="1"/>
    <col min="3" max="5" width="15.75390625" style="94" customWidth="1"/>
    <col min="6" max="16384" width="9.375" style="94" customWidth="1"/>
  </cols>
  <sheetData>
    <row r="1" spans="1:5" s="84" customFormat="1" ht="15.75" thickBot="1">
      <c r="A1" s="379"/>
      <c r="B1" s="907" t="str">
        <f>CONCATENATE("16. melléklet ",Z_ALAPADATOK!A7," ",Z_ALAPADATOK!B7," ",Z_ALAPADATOK!C7," ",Z_ALAPADATOK!D7," ",Z_ALAPADATOK!E7," ",Z_ALAPADATOK!F7," ",Z_ALAPADATOK!G7," ",Z_ALAPADATOK!H7)</f>
        <v>16. melléklet a  / 2023. ( V…... ) önkormányzati rendelethez</v>
      </c>
      <c r="C1" s="908"/>
      <c r="D1" s="908"/>
      <c r="E1" s="908"/>
    </row>
    <row r="2" spans="1:5" s="216" customFormat="1" ht="23.25" thickBot="1">
      <c r="A2" s="380" t="s">
        <v>460</v>
      </c>
      <c r="B2" s="909" t="str">
        <f>CONCATENATE('15'!B2:D2)</f>
        <v>Balatonvilágos Község Önkormányzat Gazdasági Ellátó és Vagyongazdálkodó Szervezete</v>
      </c>
      <c r="C2" s="910"/>
      <c r="D2" s="911"/>
      <c r="E2" s="381" t="s">
        <v>43</v>
      </c>
    </row>
    <row r="3" spans="1:5" s="216" customFormat="1" ht="23.25" thickBot="1">
      <c r="A3" s="380" t="s">
        <v>137</v>
      </c>
      <c r="B3" s="909" t="s">
        <v>327</v>
      </c>
      <c r="C3" s="910"/>
      <c r="D3" s="911"/>
      <c r="E3" s="381" t="s">
        <v>44</v>
      </c>
    </row>
    <row r="4" spans="1:5" s="217" customFormat="1" ht="15.75" customHeight="1" thickBot="1">
      <c r="A4" s="382"/>
      <c r="B4" s="382"/>
      <c r="C4" s="383"/>
      <c r="D4" s="384"/>
      <c r="E4" s="383" t="str">
        <f>'15'!E4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CONCATENATE('15'!E5)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5861000</v>
      </c>
      <c r="D8" s="121">
        <f>SUM(D9:D19)</f>
        <v>2461000</v>
      </c>
      <c r="E8" s="149">
        <f>SUM(E9:E19)</f>
        <v>1372050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>
        <v>4615000</v>
      </c>
      <c r="D10" s="118">
        <v>1215000</v>
      </c>
      <c r="E10" s="269">
        <v>1080354</v>
      </c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9"/>
    </row>
    <row r="14" spans="1:5" s="154" customFormat="1" ht="12" customHeight="1">
      <c r="A14" s="212" t="s">
        <v>68</v>
      </c>
      <c r="B14" s="6" t="s">
        <v>308</v>
      </c>
      <c r="C14" s="118">
        <v>1246000</v>
      </c>
      <c r="D14" s="118">
        <v>1246000</v>
      </c>
      <c r="E14" s="269">
        <v>291696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9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5861000</v>
      </c>
      <c r="D37" s="121">
        <f>+D8+D20+D25+D26+D31+D35+D36</f>
        <v>2461000</v>
      </c>
      <c r="E37" s="149">
        <f>+E8+E20+E25+E26+E31+E35+E36</f>
        <v>1372050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6"/>
      <c r="D39" s="276"/>
      <c r="E39" s="274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5"/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5861000</v>
      </c>
      <c r="D42" s="327">
        <f>+D37+D38</f>
        <v>2461000</v>
      </c>
      <c r="E42" s="152">
        <f>+E37+E38</f>
        <v>1372050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6240000</v>
      </c>
      <c r="D46" s="121">
        <f>SUM(D47:D51)</f>
        <v>6240000</v>
      </c>
      <c r="E46" s="149">
        <f>SUM(E47:E51)</f>
        <v>3225799</v>
      </c>
    </row>
    <row r="47" spans="1:5" ht="12" customHeight="1">
      <c r="A47" s="212" t="s">
        <v>64</v>
      </c>
      <c r="B47" s="7" t="s">
        <v>35</v>
      </c>
      <c r="C47" s="276"/>
      <c r="D47" s="276"/>
      <c r="E47" s="274"/>
    </row>
    <row r="48" spans="1:5" ht="12" customHeight="1">
      <c r="A48" s="212" t="s">
        <v>65</v>
      </c>
      <c r="B48" s="6" t="s">
        <v>124</v>
      </c>
      <c r="C48" s="48"/>
      <c r="D48" s="48"/>
      <c r="E48" s="272"/>
    </row>
    <row r="49" spans="1:5" ht="12" customHeight="1">
      <c r="A49" s="212" t="s">
        <v>66</v>
      </c>
      <c r="B49" s="6" t="s">
        <v>92</v>
      </c>
      <c r="C49" s="48">
        <v>6240000</v>
      </c>
      <c r="D49" s="48">
        <v>6240000</v>
      </c>
      <c r="E49" s="272">
        <v>3225799</v>
      </c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6"/>
      <c r="D53" s="276"/>
      <c r="E53" s="274"/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6240000</v>
      </c>
      <c r="D58" s="327">
        <f>+D46+D52+D57</f>
        <v>6240000</v>
      </c>
      <c r="E58" s="152">
        <f>+E46+E52+E57</f>
        <v>3225799</v>
      </c>
    </row>
    <row r="59" spans="3:5" ht="13.5" thickBot="1">
      <c r="C59" s="646">
        <f>C42-C58</f>
        <v>-379000</v>
      </c>
      <c r="D59" s="646">
        <f>D42-D58</f>
        <v>-3779000</v>
      </c>
      <c r="E59" s="153"/>
    </row>
    <row r="60" spans="1:5" ht="15" customHeight="1" thickBot="1">
      <c r="A60" s="332" t="s">
        <v>493</v>
      </c>
      <c r="B60" s="333"/>
      <c r="C60" s="321"/>
      <c r="D60" s="321"/>
      <c r="E60" s="320"/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78" t="s">
        <v>506</v>
      </c>
      <c r="B1" s="81"/>
    </row>
    <row r="2" spans="1:2" ht="12.75">
      <c r="A2" s="81"/>
      <c r="B2" s="81"/>
    </row>
    <row r="3" spans="1:2" ht="12.75">
      <c r="A3" s="280"/>
      <c r="B3" s="280"/>
    </row>
    <row r="4" spans="1:2" ht="15">
      <c r="A4" s="83"/>
      <c r="B4" s="284"/>
    </row>
    <row r="5" spans="1:2" ht="15">
      <c r="A5" s="83"/>
      <c r="B5" s="284"/>
    </row>
    <row r="6" spans="1:2" s="68" customFormat="1" ht="15">
      <c r="A6" s="83" t="s">
        <v>688</v>
      </c>
      <c r="B6" s="280"/>
    </row>
    <row r="7" spans="1:2" s="68" customFormat="1" ht="12.75">
      <c r="A7" s="280"/>
      <c r="B7" s="280"/>
    </row>
    <row r="8" spans="1:2" s="68" customFormat="1" ht="12.75">
      <c r="A8" s="280"/>
      <c r="B8" s="280"/>
    </row>
    <row r="9" spans="1:2" ht="12.75">
      <c r="A9" s="280" t="s">
        <v>463</v>
      </c>
      <c r="B9" s="280" t="s">
        <v>428</v>
      </c>
    </row>
    <row r="10" spans="1:2" ht="12.75">
      <c r="A10" s="280" t="s">
        <v>461</v>
      </c>
      <c r="B10" s="280" t="s">
        <v>434</v>
      </c>
    </row>
    <row r="11" spans="1:2" ht="12.75">
      <c r="A11" s="280" t="s">
        <v>462</v>
      </c>
      <c r="B11" s="280" t="s">
        <v>435</v>
      </c>
    </row>
    <row r="12" spans="1:2" ht="12.75">
      <c r="A12" s="280"/>
      <c r="B12" s="280"/>
    </row>
    <row r="13" spans="1:2" ht="15">
      <c r="A13" s="83" t="str">
        <f>+CONCATENATE(LEFT(A6,4),". évi módosított előirányzat BEVÉTELEK")</f>
        <v>2022. évi módosított előirányzat BEVÉTELEK</v>
      </c>
      <c r="B13" s="284"/>
    </row>
    <row r="14" spans="1:2" ht="12.75">
      <c r="A14" s="280"/>
      <c r="B14" s="280"/>
    </row>
    <row r="15" spans="1:2" s="68" customFormat="1" ht="12.75">
      <c r="A15" s="280" t="s">
        <v>464</v>
      </c>
      <c r="B15" s="280" t="s">
        <v>429</v>
      </c>
    </row>
    <row r="16" spans="1:2" ht="12.75">
      <c r="A16" s="280" t="s">
        <v>465</v>
      </c>
      <c r="B16" s="280" t="s">
        <v>436</v>
      </c>
    </row>
    <row r="17" spans="1:2" ht="12.75">
      <c r="A17" s="280" t="s">
        <v>466</v>
      </c>
      <c r="B17" s="280" t="s">
        <v>437</v>
      </c>
    </row>
    <row r="18" spans="1:2" ht="12.75">
      <c r="A18" s="280"/>
      <c r="B18" s="280"/>
    </row>
    <row r="19" spans="1:2" ht="13.5">
      <c r="A19" s="287" t="str">
        <f>+CONCATENATE(LEFT(A6,4),".évi teljesített BEVÉTELEK")</f>
        <v>2022.évi teljesített BEVÉTELEK</v>
      </c>
      <c r="B19" s="284"/>
    </row>
    <row r="20" spans="1:2" ht="12.75">
      <c r="A20" s="280"/>
      <c r="B20" s="280"/>
    </row>
    <row r="21" spans="1:2" ht="12.75">
      <c r="A21" s="280" t="s">
        <v>467</v>
      </c>
      <c r="B21" s="280" t="s">
        <v>430</v>
      </c>
    </row>
    <row r="22" spans="1:2" ht="12.75">
      <c r="A22" s="280" t="s">
        <v>468</v>
      </c>
      <c r="B22" s="280" t="s">
        <v>438</v>
      </c>
    </row>
    <row r="23" spans="1:2" ht="12.75">
      <c r="A23" s="280" t="s">
        <v>469</v>
      </c>
      <c r="B23" s="280" t="s">
        <v>439</v>
      </c>
    </row>
    <row r="24" spans="1:2" ht="12.75">
      <c r="A24" s="280"/>
      <c r="B24" s="280"/>
    </row>
    <row r="25" spans="1:2" ht="15">
      <c r="A25" s="83" t="str">
        <f>+CONCATENATE(LEFT(A6,4),". évi eredeti előirányzat KIADÁSOK")</f>
        <v>2022.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470</v>
      </c>
      <c r="B27" s="280" t="s">
        <v>431</v>
      </c>
    </row>
    <row r="28" spans="1:2" ht="12.75">
      <c r="A28" s="280" t="s">
        <v>471</v>
      </c>
      <c r="B28" s="280" t="s">
        <v>440</v>
      </c>
    </row>
    <row r="29" spans="1:2" ht="12.75">
      <c r="A29" s="280" t="s">
        <v>472</v>
      </c>
      <c r="B29" s="280" t="s">
        <v>441</v>
      </c>
    </row>
    <row r="30" spans="1:2" ht="12.75">
      <c r="A30" s="280"/>
      <c r="B30" s="280"/>
    </row>
    <row r="31" spans="1:2" ht="15">
      <c r="A31" s="83" t="str">
        <f>+CONCATENATE(LEFT(A6,4),". évi módosított előirányzat KIADÁSOK")</f>
        <v>2022. évi módosított előirányzat KIADÁSOK</v>
      </c>
      <c r="B31" s="284"/>
    </row>
    <row r="32" spans="1:2" ht="12.75">
      <c r="A32" s="280"/>
      <c r="B32" s="280"/>
    </row>
    <row r="33" spans="1:2" ht="12.75">
      <c r="A33" s="280" t="s">
        <v>473</v>
      </c>
      <c r="B33" s="280" t="s">
        <v>432</v>
      </c>
    </row>
    <row r="34" spans="1:2" ht="12.75">
      <c r="A34" s="280" t="s">
        <v>474</v>
      </c>
      <c r="B34" s="280" t="s">
        <v>442</v>
      </c>
    </row>
    <row r="35" spans="1:2" ht="12.75">
      <c r="A35" s="280" t="s">
        <v>475</v>
      </c>
      <c r="B35" s="280" t="s">
        <v>443</v>
      </c>
    </row>
    <row r="36" spans="1:2" ht="12.75">
      <c r="A36" s="280"/>
      <c r="B36" s="280"/>
    </row>
    <row r="37" spans="1:2" ht="15">
      <c r="A37" s="286" t="str">
        <f>+CONCATENATE(LEFT(A6,4),".évi teljesített KIADÁSOK")</f>
        <v>2022.évi teljesített KIADÁSOK</v>
      </c>
      <c r="B37" s="284"/>
    </row>
    <row r="38" spans="1:2" ht="12.75">
      <c r="A38" s="280"/>
      <c r="B38" s="280"/>
    </row>
    <row r="39" spans="1:2" ht="12.75">
      <c r="A39" s="280" t="s">
        <v>476</v>
      </c>
      <c r="B39" s="280" t="s">
        <v>433</v>
      </c>
    </row>
    <row r="40" spans="1:2" ht="12.75">
      <c r="A40" s="280" t="s">
        <v>477</v>
      </c>
      <c r="B40" s="280" t="s">
        <v>444</v>
      </c>
    </row>
    <row r="41" spans="1:2" ht="12.75">
      <c r="A41" s="280" t="s">
        <v>478</v>
      </c>
      <c r="B41" s="280" t="s">
        <v>445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1">
      <selection activeCell="B2" sqref="B2:D2"/>
    </sheetView>
  </sheetViews>
  <sheetFormatPr defaultColWidth="9.375" defaultRowHeight="12.75"/>
  <cols>
    <col min="1" max="1" width="13.00390625" style="93" customWidth="1"/>
    <col min="2" max="2" width="59.00390625" style="94" customWidth="1"/>
    <col min="3" max="5" width="15.75390625" style="94" customWidth="1"/>
    <col min="6" max="16384" width="9.375" style="94" customWidth="1"/>
  </cols>
  <sheetData>
    <row r="1" spans="1:5" s="84" customFormat="1" ht="21" customHeight="1" thickBot="1">
      <c r="A1" s="379"/>
      <c r="B1" s="912" t="str">
        <f>CONCATENATE("17. melléklet ",Z_ALAPADATOK!A7," ",Z_ALAPADATOK!B7," ",Z_ALAPADATOK!C7," ",Z_ALAPADATOK!D7," ",Z_ALAPADATOK!E7," ",Z_ALAPADATOK!F7," ",Z_ALAPADATOK!G7," ",Z_ALAPADATOK!H7)</f>
        <v>17. melléklet a  / 2023. ( V…... ) önkormányzati rendelethez</v>
      </c>
      <c r="C1" s="913"/>
      <c r="D1" s="913"/>
      <c r="E1" s="913"/>
    </row>
    <row r="2" spans="1:5" s="216" customFormat="1" ht="23.25" thickBot="1">
      <c r="A2" s="380" t="s">
        <v>460</v>
      </c>
      <c r="B2" s="909" t="str">
        <f>CONCATENATE('16'!B2:D2)</f>
        <v>Balatonvilágos Község Önkormányzat Gazdasági Ellátó és Vagyongazdálkodó Szervezete</v>
      </c>
      <c r="C2" s="910"/>
      <c r="D2" s="911"/>
      <c r="E2" s="381" t="s">
        <v>43</v>
      </c>
    </row>
    <row r="3" spans="1:5" s="216" customFormat="1" ht="23.25" thickBot="1">
      <c r="A3" s="380" t="s">
        <v>137</v>
      </c>
      <c r="B3" s="909" t="s">
        <v>419</v>
      </c>
      <c r="C3" s="910"/>
      <c r="D3" s="911"/>
      <c r="E3" s="381" t="s">
        <v>336</v>
      </c>
    </row>
    <row r="4" spans="1:5" s="217" customFormat="1" ht="15.75" customHeight="1" thickBot="1">
      <c r="A4" s="382"/>
      <c r="B4" s="382"/>
      <c r="C4" s="383"/>
      <c r="D4" s="384"/>
      <c r="E4" s="383" t="str">
        <f>'16'!E4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CONCATENATE('16'!E5)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49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118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118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275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9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6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6"/>
      <c r="D27" s="276"/>
      <c r="E27" s="274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9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9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5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6"/>
      <c r="D32" s="276"/>
      <c r="E32" s="274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1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5"/>
    </row>
    <row r="35" spans="1:5" s="154" customFormat="1" ht="12" customHeight="1" thickBot="1">
      <c r="A35" s="80" t="s">
        <v>11</v>
      </c>
      <c r="B35" s="58" t="s">
        <v>287</v>
      </c>
      <c r="C35" s="326"/>
      <c r="D35" s="326"/>
      <c r="E35" s="148"/>
    </row>
    <row r="36" spans="1:5" s="154" customFormat="1" ht="12" customHeight="1" thickBot="1">
      <c r="A36" s="80" t="s">
        <v>12</v>
      </c>
      <c r="B36" s="58" t="s">
        <v>316</v>
      </c>
      <c r="C36" s="326"/>
      <c r="D36" s="326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0</v>
      </c>
      <c r="D37" s="121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6"/>
      <c r="D39" s="276"/>
      <c r="E39" s="274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1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5"/>
    </row>
    <row r="42" spans="1:5" s="219" customFormat="1" ht="15" customHeight="1" thickBot="1">
      <c r="A42" s="86" t="s">
        <v>15</v>
      </c>
      <c r="B42" s="87" t="s">
        <v>323</v>
      </c>
      <c r="C42" s="327">
        <f>+C37+C38</f>
        <v>0</v>
      </c>
      <c r="D42" s="327">
        <f>+D37+D38</f>
        <v>0</v>
      </c>
      <c r="E42" s="152">
        <f>+E37+E38</f>
        <v>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03" t="s">
        <v>41</v>
      </c>
      <c r="B45" s="904"/>
      <c r="C45" s="904"/>
      <c r="D45" s="904"/>
      <c r="E45" s="905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0</v>
      </c>
      <c r="D46" s="121">
        <f>SUM(D47:D51)</f>
        <v>0</v>
      </c>
      <c r="E46" s="149">
        <f>SUM(E47:E51)</f>
        <v>0</v>
      </c>
    </row>
    <row r="47" spans="1:5" ht="12" customHeight="1">
      <c r="A47" s="212" t="s">
        <v>64</v>
      </c>
      <c r="B47" s="7" t="s">
        <v>35</v>
      </c>
      <c r="C47" s="276"/>
      <c r="D47" s="276"/>
      <c r="E47" s="274"/>
    </row>
    <row r="48" spans="1:5" ht="12" customHeight="1">
      <c r="A48" s="212" t="s">
        <v>65</v>
      </c>
      <c r="B48" s="6" t="s">
        <v>124</v>
      </c>
      <c r="C48" s="48"/>
      <c r="D48" s="48"/>
      <c r="E48" s="272"/>
    </row>
    <row r="49" spans="1:5" ht="12" customHeight="1">
      <c r="A49" s="212" t="s">
        <v>66</v>
      </c>
      <c r="B49" s="6" t="s">
        <v>92</v>
      </c>
      <c r="C49" s="48"/>
      <c r="D49" s="48"/>
      <c r="E49" s="272"/>
    </row>
    <row r="50" spans="1:5" ht="12" customHeight="1">
      <c r="A50" s="212" t="s">
        <v>67</v>
      </c>
      <c r="B50" s="6" t="s">
        <v>125</v>
      </c>
      <c r="C50" s="48"/>
      <c r="D50" s="48"/>
      <c r="E50" s="272"/>
    </row>
    <row r="51" spans="1:5" ht="12" customHeight="1" thickBot="1">
      <c r="A51" s="212" t="s">
        <v>99</v>
      </c>
      <c r="B51" s="6" t="s">
        <v>126</v>
      </c>
      <c r="C51" s="48"/>
      <c r="D51" s="48"/>
      <c r="E51" s="272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6"/>
      <c r="D53" s="276"/>
      <c r="E53" s="274"/>
    </row>
    <row r="54" spans="1:5" ht="12" customHeight="1">
      <c r="A54" s="212" t="s">
        <v>71</v>
      </c>
      <c r="B54" s="6" t="s">
        <v>128</v>
      </c>
      <c r="C54" s="48"/>
      <c r="D54" s="48"/>
      <c r="E54" s="272"/>
    </row>
    <row r="55" spans="1:5" ht="12" customHeight="1">
      <c r="A55" s="212" t="s">
        <v>72</v>
      </c>
      <c r="B55" s="6" t="s">
        <v>42</v>
      </c>
      <c r="C55" s="48"/>
      <c r="D55" s="48"/>
      <c r="E55" s="272"/>
    </row>
    <row r="56" spans="1:5" ht="12" customHeight="1" thickBot="1">
      <c r="A56" s="212" t="s">
        <v>73</v>
      </c>
      <c r="B56" s="6" t="s">
        <v>414</v>
      </c>
      <c r="C56" s="48"/>
      <c r="D56" s="48"/>
      <c r="E56" s="272"/>
    </row>
    <row r="57" spans="1:5" ht="12" customHeight="1" thickBot="1">
      <c r="A57" s="80" t="s">
        <v>8</v>
      </c>
      <c r="B57" s="58" t="s">
        <v>2</v>
      </c>
      <c r="C57" s="326"/>
      <c r="D57" s="326"/>
      <c r="E57" s="148"/>
    </row>
    <row r="58" spans="1:5" ht="15" customHeight="1" thickBot="1">
      <c r="A58" s="80" t="s">
        <v>9</v>
      </c>
      <c r="B58" s="92" t="s">
        <v>418</v>
      </c>
      <c r="C58" s="327">
        <f>+C46+C52+C57</f>
        <v>0</v>
      </c>
      <c r="D58" s="327">
        <f>+D46+D52+D57</f>
        <v>0</v>
      </c>
      <c r="E58" s="152">
        <f>+E46+E52+E57</f>
        <v>0</v>
      </c>
    </row>
    <row r="59" spans="3:5" ht="13.5" thickBot="1">
      <c r="C59" s="646">
        <f>C42-C58</f>
        <v>0</v>
      </c>
      <c r="D59" s="646">
        <f>D42-D58</f>
        <v>0</v>
      </c>
      <c r="E59" s="153"/>
    </row>
    <row r="60" spans="1:5" ht="15" customHeight="1" thickBot="1">
      <c r="A60" s="332" t="s">
        <v>493</v>
      </c>
      <c r="B60" s="333"/>
      <c r="C60" s="321"/>
      <c r="D60" s="321"/>
      <c r="E60" s="320"/>
    </row>
    <row r="61" spans="1:5" ht="14.25" customHeight="1" thickBot="1">
      <c r="A61" s="334" t="s">
        <v>494</v>
      </c>
      <c r="B61" s="335"/>
      <c r="C61" s="321"/>
      <c r="D61" s="321"/>
      <c r="E61" s="32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7">
      <selection activeCell="E38" activeCellId="1" sqref="E36 E38"/>
    </sheetView>
  </sheetViews>
  <sheetFormatPr defaultColWidth="9.375" defaultRowHeight="12.75"/>
  <cols>
    <col min="1" max="1" width="13.75390625" style="93" customWidth="1"/>
    <col min="2" max="2" width="54.50390625" style="94" customWidth="1"/>
    <col min="3" max="5" width="15.75390625" style="94" customWidth="1"/>
    <col min="6" max="16384" width="9.375" style="94" customWidth="1"/>
  </cols>
  <sheetData>
    <row r="1" spans="1:5" s="84" customFormat="1" ht="15.75" thickBot="1">
      <c r="A1" s="379"/>
      <c r="B1" s="907" t="str">
        <f>CONCATENATE("18. melléklet ",Z_ALAPADATOK!A7," ",Z_ALAPADATOK!B7," ",Z_ALAPADATOK!C7," ",Z_ALAPADATOK!D7," ",Z_ALAPADATOK!E7," ",Z_ALAPADATOK!F7," ",Z_ALAPADATOK!G7," ",Z_ALAPADATOK!H7)</f>
        <v>18. melléklet a  / 2023. ( V…... ) önkormányzati rendelethez</v>
      </c>
      <c r="C1" s="908"/>
      <c r="D1" s="908"/>
      <c r="E1" s="908"/>
    </row>
    <row r="2" spans="1:5" s="216" customFormat="1" ht="25.5" customHeight="1" thickBot="1">
      <c r="A2" s="380" t="s">
        <v>460</v>
      </c>
      <c r="B2" s="909" t="s">
        <v>694</v>
      </c>
      <c r="C2" s="910"/>
      <c r="D2" s="911"/>
      <c r="E2" s="381" t="s">
        <v>44</v>
      </c>
    </row>
    <row r="3" spans="1:5" s="216" customFormat="1" ht="23.25" thickBot="1">
      <c r="A3" s="380" t="s">
        <v>137</v>
      </c>
      <c r="B3" s="909" t="s">
        <v>307</v>
      </c>
      <c r="C3" s="910"/>
      <c r="D3" s="911"/>
      <c r="E3" s="381" t="s">
        <v>39</v>
      </c>
    </row>
    <row r="4" spans="1:5" s="217" customFormat="1" ht="15.75" customHeight="1" thickBot="1">
      <c r="A4" s="382"/>
      <c r="B4" s="382"/>
      <c r="C4" s="383"/>
      <c r="D4" s="384"/>
      <c r="E4" s="383" t="str">
        <f>'17'!E4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CONCATENATE('17'!E5)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4170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>
        <v>5</v>
      </c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>
        <v>4165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>
        <v>4325</v>
      </c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8495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62404811</v>
      </c>
      <c r="D37" s="266">
        <f>+D38+D39+D40</f>
        <v>64185175</v>
      </c>
      <c r="E37" s="149">
        <f>+E38+E39+E40</f>
        <v>64185175</v>
      </c>
    </row>
    <row r="38" spans="1:5" s="154" customFormat="1" ht="12" customHeight="1">
      <c r="A38" s="213" t="s">
        <v>319</v>
      </c>
      <c r="B38" s="214" t="s">
        <v>152</v>
      </c>
      <c r="C38" s="276">
        <v>2381703</v>
      </c>
      <c r="D38" s="60">
        <v>2316175</v>
      </c>
      <c r="E38" s="274">
        <v>2316175</v>
      </c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>
        <v>60023108</v>
      </c>
      <c r="D40" s="330">
        <v>61869000</v>
      </c>
      <c r="E40" s="325">
        <v>61869000</v>
      </c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62404811</v>
      </c>
      <c r="D41" s="323">
        <f>+D36+D37</f>
        <v>64185175</v>
      </c>
      <c r="E41" s="152">
        <f>+E36+E37</f>
        <v>64193670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61741811</v>
      </c>
      <c r="D45" s="266">
        <f>SUM(D46:D50)</f>
        <v>63248175</v>
      </c>
      <c r="E45" s="149">
        <f>SUM(E46:E50)</f>
        <v>56556276</v>
      </c>
    </row>
    <row r="46" spans="1:5" ht="12" customHeight="1">
      <c r="A46" s="212" t="s">
        <v>64</v>
      </c>
      <c r="B46" s="7" t="s">
        <v>35</v>
      </c>
      <c r="C46" s="276">
        <v>48215611</v>
      </c>
      <c r="D46" s="60">
        <v>49493433</v>
      </c>
      <c r="E46" s="274">
        <v>45036025</v>
      </c>
    </row>
    <row r="47" spans="1:5" ht="12" customHeight="1">
      <c r="A47" s="212" t="s">
        <v>65</v>
      </c>
      <c r="B47" s="6" t="s">
        <v>124</v>
      </c>
      <c r="C47" s="48">
        <v>6966200</v>
      </c>
      <c r="D47" s="61">
        <v>7308722</v>
      </c>
      <c r="E47" s="272">
        <v>7178854</v>
      </c>
    </row>
    <row r="48" spans="1:5" ht="12" customHeight="1">
      <c r="A48" s="212" t="s">
        <v>66</v>
      </c>
      <c r="B48" s="6" t="s">
        <v>92</v>
      </c>
      <c r="C48" s="48">
        <v>6560000</v>
      </c>
      <c r="D48" s="61">
        <v>6446020</v>
      </c>
      <c r="E48" s="272">
        <v>4341397</v>
      </c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663000</v>
      </c>
      <c r="D51" s="266">
        <f>SUM(D52:D54)</f>
        <v>937000</v>
      </c>
      <c r="E51" s="149">
        <f>SUM(E52:E54)</f>
        <v>770590</v>
      </c>
    </row>
    <row r="52" spans="1:5" s="220" customFormat="1" ht="12" customHeight="1">
      <c r="A52" s="212" t="s">
        <v>70</v>
      </c>
      <c r="B52" s="7" t="s">
        <v>145</v>
      </c>
      <c r="C52" s="276">
        <v>663000</v>
      </c>
      <c r="D52" s="60">
        <v>937000</v>
      </c>
      <c r="E52" s="274">
        <v>770590</v>
      </c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62404811</v>
      </c>
      <c r="D57" s="323">
        <f>+D45+D51+D56</f>
        <v>64185175</v>
      </c>
      <c r="E57" s="152">
        <f>+E45+E51+E56</f>
        <v>57326866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>
        <v>11</v>
      </c>
      <c r="D59" s="321">
        <v>11</v>
      </c>
      <c r="E59" s="320">
        <v>11</v>
      </c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19">
      <selection activeCell="I48" sqref="I48"/>
    </sheetView>
  </sheetViews>
  <sheetFormatPr defaultColWidth="9.375" defaultRowHeight="12.75"/>
  <cols>
    <col min="1" max="1" width="13.75390625" style="93" customWidth="1"/>
    <col min="2" max="2" width="54.50390625" style="94" customWidth="1"/>
    <col min="3" max="5" width="15.75390625" style="94" customWidth="1"/>
    <col min="6" max="16384" width="9.375" style="94" customWidth="1"/>
  </cols>
  <sheetData>
    <row r="1" spans="1:5" s="84" customFormat="1" ht="15.75" thickBot="1">
      <c r="A1" s="379"/>
      <c r="B1" s="912" t="str">
        <f>CONCATENATE("19. melléklet ",Z_ALAPADATOK!A7," ",Z_ALAPADATOK!B7," ",Z_ALAPADATOK!C7," ",Z_ALAPADATOK!D7," ",Z_ALAPADATOK!E7," ",Z_ALAPADATOK!F7," ",Z_ALAPADATOK!G7," ",Z_ALAPADATOK!H7)</f>
        <v>19. melléklet a  / 2023. ( V…... ) önkormányzati rendelethez</v>
      </c>
      <c r="C1" s="913"/>
      <c r="D1" s="913"/>
      <c r="E1" s="913"/>
    </row>
    <row r="2" spans="1:5" s="216" customFormat="1" ht="25.5" customHeight="1" thickBot="1">
      <c r="A2" s="380" t="s">
        <v>460</v>
      </c>
      <c r="B2" s="909" t="str">
        <f>CONCATENATE('18'!B2:D2)</f>
        <v>Balatonvilágosi Szivárvány óvoda</v>
      </c>
      <c r="C2" s="910"/>
      <c r="D2" s="911"/>
      <c r="E2" s="381" t="s">
        <v>44</v>
      </c>
    </row>
    <row r="3" spans="1:5" s="216" customFormat="1" ht="23.25" thickBot="1">
      <c r="A3" s="380" t="s">
        <v>137</v>
      </c>
      <c r="B3" s="909" t="s">
        <v>326</v>
      </c>
      <c r="C3" s="910"/>
      <c r="D3" s="911"/>
      <c r="E3" s="381" t="s">
        <v>43</v>
      </c>
    </row>
    <row r="4" spans="1:5" s="217" customFormat="1" ht="15.75" customHeight="1" thickBot="1">
      <c r="A4" s="382"/>
      <c r="B4" s="382"/>
      <c r="C4" s="383"/>
      <c r="D4" s="384"/>
      <c r="E4" s="383" t="str">
        <f>'18'!E4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CONCATENATE('18'!E5)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4170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>
        <v>5</v>
      </c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>
        <v>4165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>
        <v>4325</v>
      </c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8495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62404811</v>
      </c>
      <c r="D37" s="266">
        <f>+D38+D39+D40</f>
        <v>64185175</v>
      </c>
      <c r="E37" s="149">
        <f>+E38+E39+E40</f>
        <v>64185175</v>
      </c>
    </row>
    <row r="38" spans="1:5" s="154" customFormat="1" ht="12" customHeight="1">
      <c r="A38" s="213" t="s">
        <v>319</v>
      </c>
      <c r="B38" s="214" t="s">
        <v>152</v>
      </c>
      <c r="C38" s="276">
        <v>2381703</v>
      </c>
      <c r="D38" s="60">
        <v>2316175</v>
      </c>
      <c r="E38" s="274">
        <v>2316175</v>
      </c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>
        <v>60023108</v>
      </c>
      <c r="D40" s="330">
        <v>61869000</v>
      </c>
      <c r="E40" s="325">
        <v>61869000</v>
      </c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62404811</v>
      </c>
      <c r="D41" s="323">
        <f>+D36+D37</f>
        <v>64185175</v>
      </c>
      <c r="E41" s="152">
        <f>+E36+E37</f>
        <v>64193670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61741811</v>
      </c>
      <c r="D45" s="266">
        <f>SUM(D46:D50)</f>
        <v>63248175</v>
      </c>
      <c r="E45" s="149">
        <f>SUM(E46:E50)</f>
        <v>56556276</v>
      </c>
    </row>
    <row r="46" spans="1:5" ht="12" customHeight="1">
      <c r="A46" s="212" t="s">
        <v>64</v>
      </c>
      <c r="B46" s="7" t="s">
        <v>35</v>
      </c>
      <c r="C46" s="276">
        <v>48215611</v>
      </c>
      <c r="D46" s="60">
        <v>49493433</v>
      </c>
      <c r="E46" s="274">
        <v>45036025</v>
      </c>
    </row>
    <row r="47" spans="1:5" ht="12" customHeight="1">
      <c r="A47" s="212" t="s">
        <v>65</v>
      </c>
      <c r="B47" s="6" t="s">
        <v>124</v>
      </c>
      <c r="C47" s="48">
        <v>6966200</v>
      </c>
      <c r="D47" s="61">
        <v>7308722</v>
      </c>
      <c r="E47" s="272">
        <v>7178854</v>
      </c>
    </row>
    <row r="48" spans="1:5" ht="12" customHeight="1">
      <c r="A48" s="212" t="s">
        <v>66</v>
      </c>
      <c r="B48" s="6" t="s">
        <v>92</v>
      </c>
      <c r="C48" s="48">
        <v>6560000</v>
      </c>
      <c r="D48" s="61">
        <v>6446020</v>
      </c>
      <c r="E48" s="272">
        <v>4341397</v>
      </c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663000</v>
      </c>
      <c r="D51" s="266">
        <f>SUM(D52:D54)</f>
        <v>937000</v>
      </c>
      <c r="E51" s="149">
        <f>SUM(E52:E54)</f>
        <v>770590</v>
      </c>
    </row>
    <row r="52" spans="1:5" s="220" customFormat="1" ht="12" customHeight="1">
      <c r="A52" s="212" t="s">
        <v>70</v>
      </c>
      <c r="B52" s="7" t="s">
        <v>145</v>
      </c>
      <c r="C52" s="276">
        <v>663000</v>
      </c>
      <c r="D52" s="60">
        <v>937000</v>
      </c>
      <c r="E52" s="274">
        <v>770590</v>
      </c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62404811</v>
      </c>
      <c r="D57" s="323">
        <f>+D45+D51+D56</f>
        <v>64185175</v>
      </c>
      <c r="E57" s="152">
        <f>+E45+E51+E56</f>
        <v>57326866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/>
      <c r="D59" s="321"/>
      <c r="E59" s="320"/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46">
      <selection activeCell="G17" sqref="G17:G18"/>
    </sheetView>
  </sheetViews>
  <sheetFormatPr defaultColWidth="9.375" defaultRowHeight="12.75"/>
  <cols>
    <col min="1" max="1" width="13.75390625" style="93" customWidth="1"/>
    <col min="2" max="2" width="54.50390625" style="94" customWidth="1"/>
    <col min="3" max="5" width="15.75390625" style="94" customWidth="1"/>
    <col min="6" max="16384" width="9.375" style="94" customWidth="1"/>
  </cols>
  <sheetData>
    <row r="1" spans="1:5" s="84" customFormat="1" ht="15.75" thickBot="1">
      <c r="A1" s="379"/>
      <c r="B1" s="912" t="str">
        <f>CONCATENATE("20. melléklet ",Z_ALAPADATOK!A7," ",Z_ALAPADATOK!B7," ",Z_ALAPADATOK!C7," ",Z_ALAPADATOK!D7," ",Z_ALAPADATOK!E7," ",Z_ALAPADATOK!F7," ",Z_ALAPADATOK!G7," ",Z_ALAPADATOK!H7)</f>
        <v>20. melléklet a  / 2023. ( V…... ) önkormányzati rendelethez</v>
      </c>
      <c r="C1" s="913"/>
      <c r="D1" s="913"/>
      <c r="E1" s="913"/>
    </row>
    <row r="2" spans="1:5" s="216" customFormat="1" ht="25.5" customHeight="1" thickBot="1">
      <c r="A2" s="380" t="s">
        <v>460</v>
      </c>
      <c r="B2" s="909" t="str">
        <f>CONCATENATE('19'!B2:D2)</f>
        <v>Balatonvilágosi Szivárvány óvoda</v>
      </c>
      <c r="C2" s="910"/>
      <c r="D2" s="911"/>
      <c r="E2" s="381" t="s">
        <v>44</v>
      </c>
    </row>
    <row r="3" spans="1:5" s="216" customFormat="1" ht="23.25" thickBot="1">
      <c r="A3" s="380" t="s">
        <v>137</v>
      </c>
      <c r="B3" s="909" t="s">
        <v>327</v>
      </c>
      <c r="C3" s="910"/>
      <c r="D3" s="911"/>
      <c r="E3" s="381" t="s">
        <v>44</v>
      </c>
    </row>
    <row r="4" spans="1:5" s="217" customFormat="1" ht="15.75" customHeight="1" thickBot="1">
      <c r="A4" s="382"/>
      <c r="B4" s="382"/>
      <c r="C4" s="383"/>
      <c r="D4" s="384"/>
      <c r="E4" s="383" t="str">
        <f>'19'!E4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+CONCATENATE("Teljesítés",CHAR(10),LEFT(Z_ÖSSZEFÜGGÉSEK!A6,4),". XII. 31.")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/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6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6"/>
      <c r="D38" s="60"/>
      <c r="E38" s="274"/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/>
      <c r="D40" s="330"/>
      <c r="E40" s="325"/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0</v>
      </c>
      <c r="D41" s="323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6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6"/>
      <c r="D46" s="60"/>
      <c r="E46" s="274"/>
    </row>
    <row r="47" spans="1:5" ht="12" customHeight="1">
      <c r="A47" s="212" t="s">
        <v>65</v>
      </c>
      <c r="B47" s="6" t="s">
        <v>124</v>
      </c>
      <c r="C47" s="48"/>
      <c r="D47" s="61"/>
      <c r="E47" s="272"/>
    </row>
    <row r="48" spans="1:5" ht="12" customHeight="1">
      <c r="A48" s="212" t="s">
        <v>66</v>
      </c>
      <c r="B48" s="6" t="s">
        <v>92</v>
      </c>
      <c r="C48" s="48"/>
      <c r="D48" s="61"/>
      <c r="E48" s="272"/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6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6"/>
      <c r="D52" s="60"/>
      <c r="E52" s="274"/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0</v>
      </c>
      <c r="D57" s="323">
        <f>+D45+D51+D56</f>
        <v>0</v>
      </c>
      <c r="E57" s="152">
        <f>+E45+E51+E56</f>
        <v>0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/>
      <c r="D59" s="321"/>
      <c r="E59" s="320"/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4">
      <selection activeCell="H19" sqref="H19"/>
    </sheetView>
  </sheetViews>
  <sheetFormatPr defaultColWidth="9.375" defaultRowHeight="12.75"/>
  <cols>
    <col min="1" max="1" width="13.75390625" style="93" customWidth="1"/>
    <col min="2" max="2" width="54.50390625" style="94" customWidth="1"/>
    <col min="3" max="5" width="15.75390625" style="94" customWidth="1"/>
    <col min="6" max="16384" width="9.375" style="94" customWidth="1"/>
  </cols>
  <sheetData>
    <row r="1" spans="1:5" s="84" customFormat="1" ht="15.75" thickBot="1">
      <c r="A1" s="379"/>
      <c r="B1" s="912" t="str">
        <f>CONCATENATE("21. melléklet ",Z_ALAPADATOK!A7," ",Z_ALAPADATOK!B7," ",Z_ALAPADATOK!C7," ",Z_ALAPADATOK!D7," ",Z_ALAPADATOK!E7," ",Z_ALAPADATOK!F7," ",Z_ALAPADATOK!G7," ",Z_ALAPADATOK!H7)</f>
        <v>21. melléklet a  / 2023. ( V…... ) önkormányzati rendelethez</v>
      </c>
      <c r="C1" s="913"/>
      <c r="D1" s="913"/>
      <c r="E1" s="913"/>
    </row>
    <row r="2" spans="1:5" s="216" customFormat="1" ht="25.5" customHeight="1" thickBot="1">
      <c r="A2" s="380" t="s">
        <v>460</v>
      </c>
      <c r="B2" s="909" t="str">
        <f>CONCATENATE('20'!B2:D2)</f>
        <v>Balatonvilágosi Szivárvány óvoda</v>
      </c>
      <c r="C2" s="910"/>
      <c r="D2" s="911"/>
      <c r="E2" s="381" t="s">
        <v>44</v>
      </c>
    </row>
    <row r="3" spans="1:5" s="216" customFormat="1" ht="23.25" thickBot="1">
      <c r="A3" s="380" t="s">
        <v>137</v>
      </c>
      <c r="B3" s="909" t="s">
        <v>419</v>
      </c>
      <c r="C3" s="910"/>
      <c r="D3" s="911"/>
      <c r="E3" s="381" t="s">
        <v>336</v>
      </c>
    </row>
    <row r="4" spans="1:5" s="217" customFormat="1" ht="15.75" customHeight="1" thickBot="1">
      <c r="A4" s="382"/>
      <c r="B4" s="382"/>
      <c r="C4" s="383"/>
      <c r="D4" s="384"/>
      <c r="E4" s="383" t="str">
        <f>'20'!E4</f>
        <v> Forintban!</v>
      </c>
    </row>
    <row r="5" spans="1:5" ht="23.25" thickBot="1">
      <c r="A5" s="385" t="s">
        <v>138</v>
      </c>
      <c r="B5" s="386" t="s">
        <v>492</v>
      </c>
      <c r="C5" s="386" t="s">
        <v>458</v>
      </c>
      <c r="D5" s="387" t="s">
        <v>459</v>
      </c>
      <c r="E5" s="368" t="str">
        <f>CONCATENATE('20'!E5)</f>
        <v>Teljesítés
2022. XII. 31.</v>
      </c>
    </row>
    <row r="6" spans="1:5" s="218" customFormat="1" ht="12.75" customHeight="1" thickBot="1">
      <c r="A6" s="418" t="s">
        <v>389</v>
      </c>
      <c r="B6" s="419" t="s">
        <v>390</v>
      </c>
      <c r="C6" s="419" t="s">
        <v>391</v>
      </c>
      <c r="D6" s="420" t="s">
        <v>393</v>
      </c>
      <c r="E6" s="421" t="s">
        <v>392</v>
      </c>
    </row>
    <row r="7" spans="1:5" s="218" customFormat="1" ht="15.75" customHeight="1" thickBot="1">
      <c r="A7" s="903" t="s">
        <v>40</v>
      </c>
      <c r="B7" s="904"/>
      <c r="C7" s="904"/>
      <c r="D7" s="904"/>
      <c r="E7" s="905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7"/>
      <c r="D9" s="277"/>
      <c r="E9" s="324"/>
    </row>
    <row r="10" spans="1:5" s="154" customFormat="1" ht="12" customHeight="1">
      <c r="A10" s="212" t="s">
        <v>65</v>
      </c>
      <c r="B10" s="6" t="s">
        <v>189</v>
      </c>
      <c r="C10" s="118"/>
      <c r="D10" s="264"/>
      <c r="E10" s="269"/>
    </row>
    <row r="11" spans="1:5" s="154" customFormat="1" ht="12" customHeight="1">
      <c r="A11" s="212" t="s">
        <v>66</v>
      </c>
      <c r="B11" s="6" t="s">
        <v>190</v>
      </c>
      <c r="C11" s="118"/>
      <c r="D11" s="264"/>
      <c r="E11" s="269"/>
    </row>
    <row r="12" spans="1:5" s="154" customFormat="1" ht="12" customHeight="1">
      <c r="A12" s="212" t="s">
        <v>67</v>
      </c>
      <c r="B12" s="6" t="s">
        <v>191</v>
      </c>
      <c r="C12" s="118"/>
      <c r="D12" s="264"/>
      <c r="E12" s="269"/>
    </row>
    <row r="13" spans="1:5" s="154" customFormat="1" ht="12" customHeight="1">
      <c r="A13" s="212" t="s">
        <v>99</v>
      </c>
      <c r="B13" s="6" t="s">
        <v>192</v>
      </c>
      <c r="C13" s="118"/>
      <c r="D13" s="264"/>
      <c r="E13" s="269"/>
    </row>
    <row r="14" spans="1:5" s="154" customFormat="1" ht="12" customHeight="1">
      <c r="A14" s="212" t="s">
        <v>68</v>
      </c>
      <c r="B14" s="6" t="s">
        <v>308</v>
      </c>
      <c r="C14" s="118"/>
      <c r="D14" s="264"/>
      <c r="E14" s="269"/>
    </row>
    <row r="15" spans="1:5" s="154" customFormat="1" ht="12" customHeight="1">
      <c r="A15" s="212" t="s">
        <v>69</v>
      </c>
      <c r="B15" s="5" t="s">
        <v>309</v>
      </c>
      <c r="C15" s="118"/>
      <c r="D15" s="264"/>
      <c r="E15" s="269"/>
    </row>
    <row r="16" spans="1:5" s="154" customFormat="1" ht="12" customHeight="1">
      <c r="A16" s="212" t="s">
        <v>77</v>
      </c>
      <c r="B16" s="6" t="s">
        <v>195</v>
      </c>
      <c r="C16" s="275"/>
      <c r="D16" s="329"/>
      <c r="E16" s="273"/>
    </row>
    <row r="17" spans="1:5" s="219" customFormat="1" ht="12" customHeight="1">
      <c r="A17" s="212" t="s">
        <v>78</v>
      </c>
      <c r="B17" s="6" t="s">
        <v>196</v>
      </c>
      <c r="C17" s="118"/>
      <c r="D17" s="264"/>
      <c r="E17" s="269"/>
    </row>
    <row r="18" spans="1:5" s="219" customFormat="1" ht="12" customHeight="1">
      <c r="A18" s="212" t="s">
        <v>79</v>
      </c>
      <c r="B18" s="6" t="s">
        <v>341</v>
      </c>
      <c r="C18" s="120"/>
      <c r="D18" s="265"/>
      <c r="E18" s="270"/>
    </row>
    <row r="19" spans="1:5" s="219" customFormat="1" ht="12" customHeight="1" thickBot="1">
      <c r="A19" s="212" t="s">
        <v>80</v>
      </c>
      <c r="B19" s="5" t="s">
        <v>197</v>
      </c>
      <c r="C19" s="120"/>
      <c r="D19" s="265"/>
      <c r="E19" s="270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6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4"/>
      <c r="E21" s="269"/>
    </row>
    <row r="22" spans="1:5" s="219" customFormat="1" ht="12" customHeight="1">
      <c r="A22" s="212" t="s">
        <v>71</v>
      </c>
      <c r="B22" s="6" t="s">
        <v>311</v>
      </c>
      <c r="C22" s="118"/>
      <c r="D22" s="264"/>
      <c r="E22" s="269"/>
    </row>
    <row r="23" spans="1:5" s="219" customFormat="1" ht="12" customHeight="1">
      <c r="A23" s="212" t="s">
        <v>72</v>
      </c>
      <c r="B23" s="6" t="s">
        <v>312</v>
      </c>
      <c r="C23" s="118"/>
      <c r="D23" s="264"/>
      <c r="E23" s="269"/>
    </row>
    <row r="24" spans="1:5" s="219" customFormat="1" ht="12" customHeight="1" thickBot="1">
      <c r="A24" s="212" t="s">
        <v>73</v>
      </c>
      <c r="B24" s="6" t="s">
        <v>415</v>
      </c>
      <c r="C24" s="118"/>
      <c r="D24" s="264"/>
      <c r="E24" s="269"/>
    </row>
    <row r="25" spans="1:5" s="219" customFormat="1" ht="12" customHeight="1" thickBot="1">
      <c r="A25" s="80" t="s">
        <v>8</v>
      </c>
      <c r="B25" s="58" t="s">
        <v>115</v>
      </c>
      <c r="C25" s="326"/>
      <c r="D25" s="328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6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6"/>
      <c r="D27" s="60"/>
      <c r="E27" s="274"/>
    </row>
    <row r="28" spans="1:5" s="219" customFormat="1" ht="12" customHeight="1">
      <c r="A28" s="213" t="s">
        <v>180</v>
      </c>
      <c r="B28" s="215" t="s">
        <v>314</v>
      </c>
      <c r="C28" s="122"/>
      <c r="D28" s="267"/>
      <c r="E28" s="271"/>
    </row>
    <row r="29" spans="1:5" s="219" customFormat="1" ht="12" customHeight="1" thickBot="1">
      <c r="A29" s="212" t="s">
        <v>181</v>
      </c>
      <c r="B29" s="63" t="s">
        <v>416</v>
      </c>
      <c r="C29" s="49"/>
      <c r="D29" s="330"/>
      <c r="E29" s="325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6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6"/>
      <c r="D31" s="60"/>
      <c r="E31" s="274"/>
    </row>
    <row r="32" spans="1:5" s="219" customFormat="1" ht="12" customHeight="1">
      <c r="A32" s="213" t="s">
        <v>58</v>
      </c>
      <c r="B32" s="215" t="s">
        <v>203</v>
      </c>
      <c r="C32" s="122"/>
      <c r="D32" s="267"/>
      <c r="E32" s="271"/>
    </row>
    <row r="33" spans="1:5" s="219" customFormat="1" ht="12" customHeight="1" thickBot="1">
      <c r="A33" s="212" t="s">
        <v>59</v>
      </c>
      <c r="B33" s="63" t="s">
        <v>204</v>
      </c>
      <c r="C33" s="49"/>
      <c r="D33" s="330"/>
      <c r="E33" s="325"/>
    </row>
    <row r="34" spans="1:5" s="154" customFormat="1" ht="12" customHeight="1" thickBot="1">
      <c r="A34" s="80" t="s">
        <v>11</v>
      </c>
      <c r="B34" s="58" t="s">
        <v>287</v>
      </c>
      <c r="C34" s="326"/>
      <c r="D34" s="328"/>
      <c r="E34" s="148"/>
    </row>
    <row r="35" spans="1:5" s="154" customFormat="1" ht="12" customHeight="1" thickBot="1">
      <c r="A35" s="80" t="s">
        <v>12</v>
      </c>
      <c r="B35" s="58" t="s">
        <v>316</v>
      </c>
      <c r="C35" s="326"/>
      <c r="D35" s="328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6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6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6"/>
      <c r="D38" s="60"/>
      <c r="E38" s="274"/>
    </row>
    <row r="39" spans="1:5" s="154" customFormat="1" ht="12" customHeight="1">
      <c r="A39" s="213" t="s">
        <v>320</v>
      </c>
      <c r="B39" s="215" t="s">
        <v>0</v>
      </c>
      <c r="C39" s="122"/>
      <c r="D39" s="267"/>
      <c r="E39" s="271"/>
    </row>
    <row r="40" spans="1:5" s="219" customFormat="1" ht="12" customHeight="1" thickBot="1">
      <c r="A40" s="212" t="s">
        <v>321</v>
      </c>
      <c r="B40" s="63" t="s">
        <v>322</v>
      </c>
      <c r="C40" s="49"/>
      <c r="D40" s="330"/>
      <c r="E40" s="325"/>
    </row>
    <row r="41" spans="1:5" s="219" customFormat="1" ht="15" customHeight="1" thickBot="1">
      <c r="A41" s="86" t="s">
        <v>15</v>
      </c>
      <c r="B41" s="87" t="s">
        <v>323</v>
      </c>
      <c r="C41" s="327">
        <f>+C36+C37</f>
        <v>0</v>
      </c>
      <c r="D41" s="323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03" t="s">
        <v>41</v>
      </c>
      <c r="B44" s="904"/>
      <c r="C44" s="904"/>
      <c r="D44" s="904"/>
      <c r="E44" s="905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6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6"/>
      <c r="D46" s="60"/>
      <c r="E46" s="274"/>
    </row>
    <row r="47" spans="1:5" ht="12" customHeight="1">
      <c r="A47" s="212" t="s">
        <v>65</v>
      </c>
      <c r="B47" s="6" t="s">
        <v>124</v>
      </c>
      <c r="C47" s="48"/>
      <c r="D47" s="61"/>
      <c r="E47" s="272"/>
    </row>
    <row r="48" spans="1:5" ht="12" customHeight="1">
      <c r="A48" s="212" t="s">
        <v>66</v>
      </c>
      <c r="B48" s="6" t="s">
        <v>92</v>
      </c>
      <c r="C48" s="48"/>
      <c r="D48" s="61"/>
      <c r="E48" s="272"/>
    </row>
    <row r="49" spans="1:5" ht="12" customHeight="1">
      <c r="A49" s="212" t="s">
        <v>67</v>
      </c>
      <c r="B49" s="6" t="s">
        <v>125</v>
      </c>
      <c r="C49" s="48"/>
      <c r="D49" s="61"/>
      <c r="E49" s="272"/>
    </row>
    <row r="50" spans="1:5" ht="12" customHeight="1" thickBot="1">
      <c r="A50" s="212" t="s">
        <v>99</v>
      </c>
      <c r="B50" s="6" t="s">
        <v>126</v>
      </c>
      <c r="C50" s="48"/>
      <c r="D50" s="61"/>
      <c r="E50" s="272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6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6"/>
      <c r="D52" s="60"/>
      <c r="E52" s="274"/>
    </row>
    <row r="53" spans="1:5" ht="12" customHeight="1">
      <c r="A53" s="212" t="s">
        <v>71</v>
      </c>
      <c r="B53" s="6" t="s">
        <v>128</v>
      </c>
      <c r="C53" s="48"/>
      <c r="D53" s="61"/>
      <c r="E53" s="272"/>
    </row>
    <row r="54" spans="1:5" ht="12" customHeight="1">
      <c r="A54" s="212" t="s">
        <v>72</v>
      </c>
      <c r="B54" s="6" t="s">
        <v>42</v>
      </c>
      <c r="C54" s="48"/>
      <c r="D54" s="61"/>
      <c r="E54" s="272"/>
    </row>
    <row r="55" spans="1:5" ht="12" customHeight="1" thickBot="1">
      <c r="A55" s="212" t="s">
        <v>73</v>
      </c>
      <c r="B55" s="6" t="s">
        <v>414</v>
      </c>
      <c r="C55" s="48"/>
      <c r="D55" s="61"/>
      <c r="E55" s="272"/>
    </row>
    <row r="56" spans="1:5" ht="15" customHeight="1" thickBot="1">
      <c r="A56" s="80" t="s">
        <v>8</v>
      </c>
      <c r="B56" s="58" t="s">
        <v>2</v>
      </c>
      <c r="C56" s="326"/>
      <c r="D56" s="328"/>
      <c r="E56" s="148"/>
    </row>
    <row r="57" spans="1:5" ht="13.5" thickBot="1">
      <c r="A57" s="80" t="s">
        <v>9</v>
      </c>
      <c r="B57" s="92" t="s">
        <v>418</v>
      </c>
      <c r="C57" s="327">
        <f>+C45+C51+C56</f>
        <v>0</v>
      </c>
      <c r="D57" s="323">
        <f>+D45+D51+D56</f>
        <v>0</v>
      </c>
      <c r="E57" s="152">
        <f>+E45+E51+E56</f>
        <v>0</v>
      </c>
    </row>
    <row r="58" spans="3:4" ht="15" customHeight="1" thickBot="1">
      <c r="C58" s="646">
        <f>C41-C57</f>
        <v>0</v>
      </c>
      <c r="D58" s="646">
        <f>D41-D57</f>
        <v>0</v>
      </c>
    </row>
    <row r="59" spans="1:5" ht="14.25" customHeight="1" thickBot="1">
      <c r="A59" s="332" t="s">
        <v>493</v>
      </c>
      <c r="B59" s="333"/>
      <c r="C59" s="321"/>
      <c r="D59" s="321"/>
      <c r="E59" s="320"/>
    </row>
    <row r="60" spans="1:5" ht="13.5" thickBot="1">
      <c r="A60" s="334" t="s">
        <v>494</v>
      </c>
      <c r="B60" s="335"/>
      <c r="C60" s="321"/>
      <c r="D60" s="321"/>
      <c r="E60" s="320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="120" zoomScaleNormal="120" workbookViewId="0" topLeftCell="A1">
      <selection activeCell="K24" sqref="K24"/>
    </sheetView>
  </sheetViews>
  <sheetFormatPr defaultColWidth="9.375" defaultRowHeight="12.75"/>
  <cols>
    <col min="1" max="1" width="7.00390625" style="660" customWidth="1"/>
    <col min="2" max="2" width="32.00390625" style="94" customWidth="1"/>
    <col min="3" max="3" width="12.50390625" style="94" customWidth="1"/>
    <col min="4" max="6" width="11.75390625" style="94" customWidth="1"/>
    <col min="7" max="7" width="12.75390625" style="94" customWidth="1"/>
    <col min="8" max="16384" width="9.375" style="94" customWidth="1"/>
  </cols>
  <sheetData>
    <row r="1" spans="1:7" ht="18.75" customHeight="1">
      <c r="A1" s="918" t="str">
        <f>CONCATENATE("22. melléklet ",Z_ALAPADATOK!A7," ",Z_ALAPADATOK!B7," ",Z_ALAPADATOK!C7," ",Z_ALAPADATOK!D7," ",Z_ALAPADATOK!E7," ",Z_ALAPADATOK!F7," ",Z_ALAPADATOK!G7," ",Z_ALAPADATOK!H7)</f>
        <v>22. melléklet a  / 2023. ( V…... ) önkormányzati rendelethez</v>
      </c>
      <c r="B1" s="919"/>
      <c r="C1" s="919"/>
      <c r="D1" s="919"/>
      <c r="E1" s="919"/>
      <c r="F1" s="919"/>
      <c r="G1" s="919"/>
    </row>
    <row r="3" spans="1:7" ht="15">
      <c r="A3" s="916" t="s">
        <v>675</v>
      </c>
      <c r="B3" s="917"/>
      <c r="C3" s="917"/>
      <c r="D3" s="917"/>
      <c r="E3" s="917"/>
      <c r="F3" s="917"/>
      <c r="G3" s="917"/>
    </row>
    <row r="5" ht="14.25" thickBot="1">
      <c r="G5" s="661" t="s">
        <v>677</v>
      </c>
    </row>
    <row r="6" spans="1:7" ht="17.25" customHeight="1" thickBot="1">
      <c r="A6" s="920" t="s">
        <v>4</v>
      </c>
      <c r="B6" s="922" t="s">
        <v>667</v>
      </c>
      <c r="C6" s="922" t="s">
        <v>668</v>
      </c>
      <c r="D6" s="922" t="s">
        <v>669</v>
      </c>
      <c r="E6" s="924" t="s">
        <v>670</v>
      </c>
      <c r="F6" s="924"/>
      <c r="G6" s="925"/>
    </row>
    <row r="7" spans="1:7" s="664" customFormat="1" ht="57.75" customHeight="1" thickBot="1">
      <c r="A7" s="921"/>
      <c r="B7" s="923"/>
      <c r="C7" s="923"/>
      <c r="D7" s="923"/>
      <c r="E7" s="662" t="s">
        <v>671</v>
      </c>
      <c r="F7" s="662" t="s">
        <v>672</v>
      </c>
      <c r="G7" s="663" t="s">
        <v>673</v>
      </c>
    </row>
    <row r="8" spans="1:7" s="220" customFormat="1" ht="15" customHeight="1" thickBot="1">
      <c r="A8" s="76" t="s">
        <v>389</v>
      </c>
      <c r="B8" s="77" t="s">
        <v>390</v>
      </c>
      <c r="C8" s="77" t="s">
        <v>391</v>
      </c>
      <c r="D8" s="77" t="s">
        <v>393</v>
      </c>
      <c r="E8" s="77" t="s">
        <v>674</v>
      </c>
      <c r="F8" s="77" t="s">
        <v>394</v>
      </c>
      <c r="G8" s="78" t="s">
        <v>395</v>
      </c>
    </row>
    <row r="9" spans="1:7" ht="15" customHeight="1">
      <c r="A9" s="665" t="s">
        <v>6</v>
      </c>
      <c r="B9" s="666" t="s">
        <v>689</v>
      </c>
      <c r="C9" s="667">
        <v>238327545</v>
      </c>
      <c r="D9" s="667"/>
      <c r="E9" s="668">
        <f>C9+D9</f>
        <v>238327545</v>
      </c>
      <c r="F9" s="667">
        <v>230470744</v>
      </c>
      <c r="G9" s="669">
        <v>7856801</v>
      </c>
    </row>
    <row r="10" spans="1:7" ht="24.75" customHeight="1">
      <c r="A10" s="670" t="s">
        <v>7</v>
      </c>
      <c r="B10" s="671" t="s">
        <v>692</v>
      </c>
      <c r="C10" s="21">
        <v>12864975</v>
      </c>
      <c r="D10" s="21"/>
      <c r="E10" s="668">
        <f>C10+D10</f>
        <v>12864975</v>
      </c>
      <c r="F10" s="21">
        <v>12864975</v>
      </c>
      <c r="G10" s="507"/>
    </row>
    <row r="11" spans="1:7" ht="15" customHeight="1" thickBot="1">
      <c r="A11" s="670" t="s">
        <v>8</v>
      </c>
      <c r="B11" s="712" t="s">
        <v>693</v>
      </c>
      <c r="C11" s="21">
        <v>6866804</v>
      </c>
      <c r="D11" s="21"/>
      <c r="E11" s="668">
        <f>C11+D11</f>
        <v>6866804</v>
      </c>
      <c r="F11" s="21">
        <v>6866804</v>
      </c>
      <c r="G11" s="507"/>
    </row>
    <row r="12" spans="1:7" ht="15" customHeight="1" thickBot="1">
      <c r="A12" s="914" t="s">
        <v>38</v>
      </c>
      <c r="B12" s="915"/>
      <c r="C12" s="36">
        <f>SUM(C9:C11)</f>
        <v>258059324</v>
      </c>
      <c r="D12" s="36">
        <f>SUM(D9:D11)</f>
        <v>0</v>
      </c>
      <c r="E12" s="36">
        <f>SUM(E9:E11)</f>
        <v>258059324</v>
      </c>
      <c r="F12" s="36">
        <f>SUM(F9:F11)</f>
        <v>250202523</v>
      </c>
      <c r="G12" s="37">
        <f>SUM(G9:G11)</f>
        <v>7856801</v>
      </c>
    </row>
  </sheetData>
  <sheetProtection/>
  <mergeCells count="8">
    <mergeCell ref="A12:B12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2"/>
  <sheetViews>
    <sheetView zoomScale="120" zoomScaleNormal="120" zoomScalePageLayoutView="120" workbookViewId="0" topLeftCell="A1">
      <selection activeCell="G8" sqref="G8"/>
    </sheetView>
  </sheetViews>
  <sheetFormatPr defaultColWidth="9.375" defaultRowHeight="12.75"/>
  <cols>
    <col min="1" max="1" width="88.625" style="31" customWidth="1"/>
    <col min="2" max="4" width="15.75390625" style="31" customWidth="1"/>
    <col min="5" max="5" width="4.75390625" style="659" customWidth="1"/>
    <col min="6" max="16384" width="9.375" style="31" customWidth="1"/>
  </cols>
  <sheetData>
    <row r="1" spans="1:5" ht="47.25" customHeight="1">
      <c r="A1" s="926" t="s">
        <v>711</v>
      </c>
      <c r="B1" s="926"/>
      <c r="C1" s="926"/>
      <c r="D1" s="926"/>
      <c r="E1" s="927" t="str">
        <f>CONCATENATE("23. melléklet ",Z_ALAPADATOK!A7," ",Z_ALAPADATOK!B7," ",Z_ALAPADATOK!C7," ",Z_ALAPADATOK!D7," ",Z_ALAPADATOK!E7," ",Z_ALAPADATOK!F7," ",Z_ALAPADATOK!G7," ",Z_ALAPADATOK!H7)</f>
        <v>23. melléklet a  / 2023. ( V…... ) önkormányzati rendelethez</v>
      </c>
    </row>
    <row r="2" spans="1:5" ht="22.5" customHeight="1" thickBot="1">
      <c r="A2" s="928"/>
      <c r="B2" s="928"/>
      <c r="C2" s="928"/>
      <c r="D2" s="650" t="s">
        <v>663</v>
      </c>
      <c r="E2" s="927"/>
    </row>
    <row r="3" spans="1:5" s="32" customFormat="1" ht="54" customHeight="1" thickBot="1">
      <c r="A3" s="651" t="s">
        <v>664</v>
      </c>
      <c r="B3" s="652" t="str">
        <f>+CONCATENATE(Z_ALAPADATOK!B1,". évi tervezett támogatás összesen")</f>
        <v>2022. évi tervezett támogatás összesen</v>
      </c>
      <c r="C3" s="652" t="s">
        <v>665</v>
      </c>
      <c r="D3" s="653" t="s">
        <v>666</v>
      </c>
      <c r="E3" s="927"/>
    </row>
    <row r="4" spans="1:5" s="657" customFormat="1" ht="13.5" thickBot="1">
      <c r="A4" s="654" t="s">
        <v>389</v>
      </c>
      <c r="B4" s="655" t="s">
        <v>390</v>
      </c>
      <c r="C4" s="655" t="s">
        <v>391</v>
      </c>
      <c r="D4" s="656" t="s">
        <v>393</v>
      </c>
      <c r="E4" s="927"/>
    </row>
    <row r="5" spans="1:5" ht="12.75">
      <c r="A5" s="713" t="s">
        <v>773</v>
      </c>
      <c r="B5" s="720">
        <v>7086240</v>
      </c>
      <c r="C5" s="720">
        <v>7086240</v>
      </c>
      <c r="D5" s="720">
        <v>7086240</v>
      </c>
      <c r="E5" s="927"/>
    </row>
    <row r="6" spans="1:5" ht="12.75" customHeight="1">
      <c r="A6" s="713" t="s">
        <v>774</v>
      </c>
      <c r="B6" s="720">
        <v>11936000</v>
      </c>
      <c r="C6" s="720">
        <v>11936000</v>
      </c>
      <c r="D6" s="720">
        <v>11936000</v>
      </c>
      <c r="E6" s="927"/>
    </row>
    <row r="7" spans="1:5" ht="12.75">
      <c r="A7" s="713" t="s">
        <v>775</v>
      </c>
      <c r="B7" s="720">
        <v>100000</v>
      </c>
      <c r="C7" s="720">
        <v>100000</v>
      </c>
      <c r="D7" s="720">
        <v>100000</v>
      </c>
      <c r="E7" s="927"/>
    </row>
    <row r="8" spans="1:5" ht="12.75">
      <c r="A8" s="713" t="s">
        <v>776</v>
      </c>
      <c r="B8" s="720">
        <v>5286090</v>
      </c>
      <c r="C8" s="720">
        <v>5286090</v>
      </c>
      <c r="D8" s="720">
        <v>5286090</v>
      </c>
      <c r="E8" s="927"/>
    </row>
    <row r="9" spans="1:5" ht="12.75">
      <c r="A9" s="713" t="s">
        <v>777</v>
      </c>
      <c r="B9" s="720">
        <v>8000000</v>
      </c>
      <c r="C9" s="720">
        <v>8000000</v>
      </c>
      <c r="D9" s="720">
        <v>8000000</v>
      </c>
      <c r="E9" s="927"/>
    </row>
    <row r="10" spans="1:5" ht="13.5" thickBot="1">
      <c r="A10" s="714" t="s">
        <v>778</v>
      </c>
      <c r="B10" s="721">
        <v>313650</v>
      </c>
      <c r="C10" s="721">
        <v>313650</v>
      </c>
      <c r="D10" s="721">
        <v>313650</v>
      </c>
      <c r="E10" s="927"/>
    </row>
    <row r="11" spans="1:5" ht="12.75">
      <c r="A11" s="715" t="s">
        <v>779</v>
      </c>
      <c r="B11" s="720">
        <v>3153200</v>
      </c>
      <c r="C11" s="720">
        <v>3278000</v>
      </c>
      <c r="D11" s="720">
        <v>3278000</v>
      </c>
      <c r="E11" s="927"/>
    </row>
    <row r="12" spans="1:5" ht="12.75">
      <c r="A12" s="713" t="s">
        <v>780</v>
      </c>
      <c r="B12" s="720">
        <v>1576667</v>
      </c>
      <c r="C12" s="720">
        <v>1639000</v>
      </c>
      <c r="D12" s="720">
        <v>1639000</v>
      </c>
      <c r="E12" s="927"/>
    </row>
    <row r="13" spans="1:5" ht="12.75" customHeight="1">
      <c r="A13" s="716" t="s">
        <v>781</v>
      </c>
      <c r="B13" s="720">
        <v>23531200</v>
      </c>
      <c r="C13" s="720">
        <v>24179400</v>
      </c>
      <c r="D13" s="658">
        <v>24237000</v>
      </c>
      <c r="E13" s="927"/>
    </row>
    <row r="14" spans="1:5" ht="13.5" thickBot="1">
      <c r="A14" s="717" t="s">
        <v>782</v>
      </c>
      <c r="B14" s="722">
        <v>11765600</v>
      </c>
      <c r="C14" s="722">
        <v>12089700</v>
      </c>
      <c r="D14" s="719">
        <v>12118500</v>
      </c>
      <c r="E14" s="927"/>
    </row>
    <row r="15" spans="1:5" ht="12.75">
      <c r="A15" s="715" t="s">
        <v>783</v>
      </c>
      <c r="B15" s="720">
        <v>3457000</v>
      </c>
      <c r="C15" s="720">
        <v>3457000</v>
      </c>
      <c r="D15" s="720">
        <v>3457000</v>
      </c>
      <c r="E15" s="927"/>
    </row>
    <row r="16" spans="1:5" ht="12.75">
      <c r="A16" s="713" t="s">
        <v>784</v>
      </c>
      <c r="B16" s="720">
        <v>1559630</v>
      </c>
      <c r="C16" s="720">
        <v>2169920</v>
      </c>
      <c r="D16" s="658">
        <v>2237730</v>
      </c>
      <c r="E16" s="927"/>
    </row>
    <row r="17" spans="1:5" ht="13.5" thickBot="1">
      <c r="A17" s="714" t="s">
        <v>785</v>
      </c>
      <c r="B17" s="721">
        <v>4590600</v>
      </c>
      <c r="C17" s="721">
        <v>4590600</v>
      </c>
      <c r="D17" s="721">
        <v>4590600</v>
      </c>
      <c r="E17" s="927"/>
    </row>
    <row r="18" spans="1:5" ht="12.75">
      <c r="A18" s="715" t="s">
        <v>786</v>
      </c>
      <c r="B18" s="720">
        <v>11404140</v>
      </c>
      <c r="C18" s="720">
        <v>12649560</v>
      </c>
      <c r="D18" s="658">
        <v>12576300</v>
      </c>
      <c r="E18" s="927"/>
    </row>
    <row r="19" spans="1:5" ht="13.5" thickBot="1">
      <c r="A19" s="714" t="s">
        <v>787</v>
      </c>
      <c r="B19" s="721">
        <v>15325495</v>
      </c>
      <c r="C19" s="721">
        <v>10371235</v>
      </c>
      <c r="D19" s="721">
        <v>10371235</v>
      </c>
      <c r="E19" s="927"/>
    </row>
    <row r="20" spans="1:5" ht="13.5" thickBot="1">
      <c r="A20" s="715" t="s">
        <v>788</v>
      </c>
      <c r="B20" s="720">
        <v>3248684</v>
      </c>
      <c r="C20" s="720">
        <v>3248684</v>
      </c>
      <c r="D20" s="720">
        <v>3248684</v>
      </c>
      <c r="E20" s="927"/>
    </row>
    <row r="21" spans="1:5" ht="13.5" thickBot="1">
      <c r="A21" s="718" t="s">
        <v>38</v>
      </c>
      <c r="B21" s="723">
        <f>SUM(B5:B20)</f>
        <v>112334196</v>
      </c>
      <c r="C21" s="723">
        <f>SUM(C5:C20)</f>
        <v>110395079</v>
      </c>
      <c r="D21" s="723">
        <f>SUM(D5:D20)</f>
        <v>110476029</v>
      </c>
      <c r="E21" s="927"/>
    </row>
    <row r="22" ht="12.75">
      <c r="A22" s="676"/>
    </row>
  </sheetData>
  <sheetProtection/>
  <mergeCells count="3">
    <mergeCell ref="A1:D1"/>
    <mergeCell ref="E1:E21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view="pageBreakPreview" zoomScaleNormal="120" zoomScaleSheetLayoutView="100" workbookViewId="0" topLeftCell="B1">
      <selection activeCell="F97" sqref="F97"/>
    </sheetView>
  </sheetViews>
  <sheetFormatPr defaultColWidth="9.375" defaultRowHeight="12.75"/>
  <cols>
    <col min="1" max="1" width="9.00390625" style="156" customWidth="1"/>
    <col min="2" max="2" width="68.75390625" style="156" customWidth="1"/>
    <col min="3" max="4" width="18.75390625" style="156" customWidth="1"/>
    <col min="5" max="6" width="18.75390625" style="157" customWidth="1"/>
    <col min="7" max="16384" width="9.375" style="178" customWidth="1"/>
  </cols>
  <sheetData>
    <row r="1" spans="1:6" ht="15">
      <c r="A1" s="848" t="str">
        <f>CONCATENATE("24. melléklet ",Z_ALAPADATOK!A7," ",Z_ALAPADATOK!B7," ",Z_ALAPADATOK!C7," ",Z_ALAPADATOK!D7," ",Z_ALAPADATOK!E7," ",Z_ALAPADATOK!F7," ",Z_ALAPADATOK!G7," ",Z_ALAPADATOK!H7)</f>
        <v>24. melléklet a  / 2023. ( V…... ) önkormányzati rendelethez</v>
      </c>
      <c r="B1" s="849"/>
      <c r="C1" s="849"/>
      <c r="D1" s="849"/>
      <c r="E1" s="849"/>
      <c r="F1" s="849"/>
    </row>
    <row r="2" spans="1:6" ht="15">
      <c r="A2" s="850" t="str">
        <f>CONCATENATE(Z_ALAPADATOK!A3)</f>
        <v>Balatonvilágos Község Önkormányzata</v>
      </c>
      <c r="B2" s="851"/>
      <c r="C2" s="851"/>
      <c r="D2" s="851"/>
      <c r="E2" s="851"/>
      <c r="F2" s="851"/>
    </row>
    <row r="3" spans="1:6" ht="15">
      <c r="A3" s="850" t="s">
        <v>712</v>
      </c>
      <c r="B3" s="851"/>
      <c r="C3" s="851"/>
      <c r="D3" s="851"/>
      <c r="E3" s="851"/>
      <c r="F3" s="851"/>
    </row>
    <row r="4" spans="1:6" ht="15.75" customHeight="1">
      <c r="A4" s="844" t="s">
        <v>3</v>
      </c>
      <c r="B4" s="844"/>
      <c r="C4" s="844"/>
      <c r="D4" s="844"/>
      <c r="E4" s="844"/>
      <c r="F4" s="844"/>
    </row>
    <row r="5" spans="1:6" ht="15.75" customHeight="1" thickBot="1">
      <c r="A5" s="601" t="s">
        <v>102</v>
      </c>
      <c r="B5" s="601"/>
      <c r="C5" s="601"/>
      <c r="D5" s="601"/>
      <c r="E5" s="602"/>
      <c r="F5" s="602" t="str">
        <f>CONCATENATE('23'!D2)</f>
        <v>Forintban</v>
      </c>
    </row>
    <row r="6" spans="1:6" ht="15.75" customHeight="1">
      <c r="A6" s="929" t="s">
        <v>52</v>
      </c>
      <c r="B6" s="934" t="s">
        <v>5</v>
      </c>
      <c r="C6" s="936" t="s">
        <v>718</v>
      </c>
      <c r="D6" s="931" t="s">
        <v>717</v>
      </c>
      <c r="E6" s="932"/>
      <c r="F6" s="933"/>
    </row>
    <row r="7" spans="1:6" ht="37.5" customHeight="1" thickBot="1">
      <c r="A7" s="930"/>
      <c r="B7" s="935"/>
      <c r="C7" s="937"/>
      <c r="D7" s="677" t="s">
        <v>458</v>
      </c>
      <c r="E7" s="677" t="s">
        <v>459</v>
      </c>
      <c r="F7" s="724" t="s">
        <v>449</v>
      </c>
    </row>
    <row r="8" spans="1:6" s="179" customFormat="1" ht="12" customHeight="1" thickBot="1">
      <c r="A8" s="603" t="s">
        <v>389</v>
      </c>
      <c r="B8" s="604" t="s">
        <v>390</v>
      </c>
      <c r="C8" s="604" t="s">
        <v>391</v>
      </c>
      <c r="D8" s="604" t="s">
        <v>393</v>
      </c>
      <c r="E8" s="604" t="s">
        <v>392</v>
      </c>
      <c r="F8" s="605" t="s">
        <v>394</v>
      </c>
    </row>
    <row r="9" spans="1:6" s="180" customFormat="1" ht="12" customHeight="1" thickBot="1">
      <c r="A9" s="18" t="s">
        <v>6</v>
      </c>
      <c r="B9" s="424" t="s">
        <v>164</v>
      </c>
      <c r="C9" s="168">
        <f>+C10+C11+C12+C13+C14+C16+C15</f>
        <v>138642904</v>
      </c>
      <c r="D9" s="168">
        <f>+D10+D11+D12+D13+D14+D16+D15</f>
        <v>124238073</v>
      </c>
      <c r="E9" s="168">
        <f>+E10+E11+E12+E13+E14+E16+E15</f>
        <v>153956476</v>
      </c>
      <c r="F9" s="168">
        <f>+F10+F11+F12+F13+F14+F16+F15</f>
        <v>153956476</v>
      </c>
    </row>
    <row r="10" spans="1:6" s="180" customFormat="1" ht="12" customHeight="1">
      <c r="A10" s="13" t="s">
        <v>64</v>
      </c>
      <c r="B10" s="181" t="s">
        <v>165</v>
      </c>
      <c r="C10" s="245">
        <v>33400297</v>
      </c>
      <c r="D10" s="245">
        <v>34249830</v>
      </c>
      <c r="E10" s="256">
        <v>34249830</v>
      </c>
      <c r="F10" s="106">
        <v>34249830</v>
      </c>
    </row>
    <row r="11" spans="1:6" s="180" customFormat="1" ht="12" customHeight="1">
      <c r="A11" s="12" t="s">
        <v>65</v>
      </c>
      <c r="B11" s="182" t="s">
        <v>166</v>
      </c>
      <c r="C11" s="169">
        <v>40132170</v>
      </c>
      <c r="D11" s="169">
        <v>44591080</v>
      </c>
      <c r="E11" s="257">
        <v>45864660</v>
      </c>
      <c r="F11" s="105">
        <v>45864660</v>
      </c>
    </row>
    <row r="12" spans="1:6" s="180" customFormat="1" ht="12" customHeight="1">
      <c r="A12" s="12" t="s">
        <v>66</v>
      </c>
      <c r="B12" s="182" t="s">
        <v>167</v>
      </c>
      <c r="C12" s="169">
        <v>10036407</v>
      </c>
      <c r="D12" s="169">
        <v>10296930</v>
      </c>
      <c r="E12" s="257">
        <v>11814946</v>
      </c>
      <c r="F12" s="105">
        <v>11814946</v>
      </c>
    </row>
    <row r="13" spans="1:6" s="180" customFormat="1" ht="12" customHeight="1">
      <c r="A13" s="12" t="s">
        <v>67</v>
      </c>
      <c r="B13" s="182" t="s">
        <v>726</v>
      </c>
      <c r="C13" s="169">
        <v>27358771</v>
      </c>
      <c r="D13" s="169">
        <v>27935896</v>
      </c>
      <c r="E13" s="257">
        <v>24358789</v>
      </c>
      <c r="F13" s="105">
        <v>24358789</v>
      </c>
    </row>
    <row r="14" spans="1:6" s="180" customFormat="1" ht="12" customHeight="1">
      <c r="A14" s="12" t="s">
        <v>99</v>
      </c>
      <c r="B14" s="182" t="s">
        <v>168</v>
      </c>
      <c r="C14" s="169">
        <v>3258262</v>
      </c>
      <c r="D14" s="169">
        <v>3248684</v>
      </c>
      <c r="E14" s="257">
        <v>3248684</v>
      </c>
      <c r="F14" s="105">
        <v>3248684</v>
      </c>
    </row>
    <row r="15" spans="1:6" s="180" customFormat="1" ht="12" customHeight="1">
      <c r="A15" s="14" t="s">
        <v>68</v>
      </c>
      <c r="B15" s="182" t="s">
        <v>397</v>
      </c>
      <c r="C15" s="169">
        <v>23704197</v>
      </c>
      <c r="D15" s="169">
        <v>3915653</v>
      </c>
      <c r="E15" s="258">
        <v>26065958</v>
      </c>
      <c r="F15" s="107">
        <v>26065958</v>
      </c>
    </row>
    <row r="16" spans="1:6" s="180" customFormat="1" ht="12" customHeight="1" thickBot="1">
      <c r="A16" s="14" t="s">
        <v>69</v>
      </c>
      <c r="B16" s="427" t="s">
        <v>727</v>
      </c>
      <c r="C16" s="246">
        <v>752800</v>
      </c>
      <c r="D16" s="730"/>
      <c r="E16" s="171">
        <v>8353609</v>
      </c>
      <c r="F16" s="107">
        <v>8353609</v>
      </c>
    </row>
    <row r="17" spans="1:6" s="180" customFormat="1" ht="12" customHeight="1" thickBot="1">
      <c r="A17" s="18" t="s">
        <v>7</v>
      </c>
      <c r="B17" s="428" t="s">
        <v>169</v>
      </c>
      <c r="C17" s="168">
        <f>+C18+C19+C20+C21+C22</f>
        <v>28876906</v>
      </c>
      <c r="D17" s="168">
        <f>+D18+D19+D20+D21+D22</f>
        <v>19409000</v>
      </c>
      <c r="E17" s="168">
        <f>+E18+E19+E20+E21+E22</f>
        <v>28001653</v>
      </c>
      <c r="F17" s="104">
        <f>+F18+F19+F20+F21+F22</f>
        <v>29107403</v>
      </c>
    </row>
    <row r="18" spans="1:6" s="180" customFormat="1" ht="12" customHeight="1">
      <c r="A18" s="13" t="s">
        <v>70</v>
      </c>
      <c r="B18" s="425" t="s">
        <v>170</v>
      </c>
      <c r="C18" s="170"/>
      <c r="D18" s="170"/>
      <c r="E18" s="170"/>
      <c r="F18" s="106"/>
    </row>
    <row r="19" spans="1:6" s="180" customFormat="1" ht="12" customHeight="1">
      <c r="A19" s="12" t="s">
        <v>71</v>
      </c>
      <c r="B19" s="426" t="s">
        <v>171</v>
      </c>
      <c r="C19" s="169"/>
      <c r="D19" s="169"/>
      <c r="E19" s="169"/>
      <c r="F19" s="105"/>
    </row>
    <row r="20" spans="1:6" s="180" customFormat="1" ht="12" customHeight="1">
      <c r="A20" s="12" t="s">
        <v>72</v>
      </c>
      <c r="B20" s="426" t="s">
        <v>329</v>
      </c>
      <c r="C20" s="169"/>
      <c r="D20" s="169"/>
      <c r="E20" s="169"/>
      <c r="F20" s="105"/>
    </row>
    <row r="21" spans="1:6" s="180" customFormat="1" ht="12" customHeight="1">
      <c r="A21" s="12" t="s">
        <v>73</v>
      </c>
      <c r="B21" s="426" t="s">
        <v>330</v>
      </c>
      <c r="C21" s="169"/>
      <c r="D21" s="169"/>
      <c r="E21" s="169"/>
      <c r="F21" s="105"/>
    </row>
    <row r="22" spans="1:6" s="180" customFormat="1" ht="12" customHeight="1">
      <c r="A22" s="12" t="s">
        <v>74</v>
      </c>
      <c r="B22" s="426" t="s">
        <v>172</v>
      </c>
      <c r="C22" s="169">
        <v>28876906</v>
      </c>
      <c r="D22" s="169">
        <v>19409000</v>
      </c>
      <c r="E22" s="169">
        <v>28001653</v>
      </c>
      <c r="F22" s="105">
        <v>29107403</v>
      </c>
    </row>
    <row r="23" spans="1:6" s="180" customFormat="1" ht="12" customHeight="1" thickBot="1">
      <c r="A23" s="14" t="s">
        <v>81</v>
      </c>
      <c r="B23" s="427" t="s">
        <v>173</v>
      </c>
      <c r="C23" s="171"/>
      <c r="D23" s="171"/>
      <c r="E23" s="171"/>
      <c r="F23" s="107"/>
    </row>
    <row r="24" spans="1:6" s="180" customFormat="1" ht="12" customHeight="1" thickBot="1">
      <c r="A24" s="18" t="s">
        <v>8</v>
      </c>
      <c r="B24" s="424" t="s">
        <v>174</v>
      </c>
      <c r="C24" s="168">
        <f>+C25+C26+C27+C28+C29</f>
        <v>50735946</v>
      </c>
      <c r="D24" s="168">
        <f>+D25+D26+D27+D28+D29</f>
        <v>372742</v>
      </c>
      <c r="E24" s="168">
        <f>+E25+E26+E27+E28+E29</f>
        <v>22936106</v>
      </c>
      <c r="F24" s="104">
        <f>+F25+F26+F27+F28+F29</f>
        <v>23025606</v>
      </c>
    </row>
    <row r="25" spans="1:6" s="180" customFormat="1" ht="12" customHeight="1">
      <c r="A25" s="13" t="s">
        <v>53</v>
      </c>
      <c r="B25" s="425" t="s">
        <v>175</v>
      </c>
      <c r="C25" s="245">
        <v>50735946</v>
      </c>
      <c r="D25" s="256"/>
      <c r="E25" s="170"/>
      <c r="F25" s="106"/>
    </row>
    <row r="26" spans="1:6" s="180" customFormat="1" ht="12" customHeight="1">
      <c r="A26" s="12" t="s">
        <v>54</v>
      </c>
      <c r="B26" s="426" t="s">
        <v>176</v>
      </c>
      <c r="C26" s="169"/>
      <c r="D26" s="169"/>
      <c r="E26" s="169"/>
      <c r="F26" s="105"/>
    </row>
    <row r="27" spans="1:6" s="180" customFormat="1" ht="12" customHeight="1">
      <c r="A27" s="12" t="s">
        <v>55</v>
      </c>
      <c r="B27" s="426" t="s">
        <v>331</v>
      </c>
      <c r="C27" s="169"/>
      <c r="D27" s="169">
        <v>372742</v>
      </c>
      <c r="E27" s="169">
        <v>372742</v>
      </c>
      <c r="F27" s="105">
        <v>462242</v>
      </c>
    </row>
    <row r="28" spans="1:6" s="180" customFormat="1" ht="12" customHeight="1">
      <c r="A28" s="12" t="s">
        <v>56</v>
      </c>
      <c r="B28" s="426" t="s">
        <v>332</v>
      </c>
      <c r="C28" s="169"/>
      <c r="D28" s="169"/>
      <c r="E28" s="169"/>
      <c r="F28" s="105"/>
    </row>
    <row r="29" spans="1:6" s="180" customFormat="1" ht="12" customHeight="1">
      <c r="A29" s="12" t="s">
        <v>112</v>
      </c>
      <c r="B29" s="426" t="s">
        <v>177</v>
      </c>
      <c r="C29" s="169"/>
      <c r="D29" s="169"/>
      <c r="E29" s="169">
        <v>22563364</v>
      </c>
      <c r="F29" s="105">
        <v>22563364</v>
      </c>
    </row>
    <row r="30" spans="1:6" s="180" customFormat="1" ht="12" customHeight="1" thickBot="1">
      <c r="A30" s="14" t="s">
        <v>113</v>
      </c>
      <c r="B30" s="427" t="s">
        <v>178</v>
      </c>
      <c r="C30" s="171"/>
      <c r="D30" s="171"/>
      <c r="E30" s="171"/>
      <c r="F30" s="107"/>
    </row>
    <row r="31" spans="1:6" s="180" customFormat="1" ht="12" customHeight="1" thickBot="1">
      <c r="A31" s="235" t="s">
        <v>114</v>
      </c>
      <c r="B31" s="19" t="s">
        <v>511</v>
      </c>
      <c r="C31" s="174">
        <f>SUM(C32:C39)</f>
        <v>202623772</v>
      </c>
      <c r="D31" s="174">
        <f>SUM(D32:D39)</f>
        <v>181442270</v>
      </c>
      <c r="E31" s="174">
        <f>SUM(E32:E39)</f>
        <v>181442270</v>
      </c>
      <c r="F31" s="174">
        <f>SUM(F32:F39)</f>
        <v>251952188</v>
      </c>
    </row>
    <row r="32" spans="1:9" s="180" customFormat="1" ht="12" customHeight="1">
      <c r="A32" s="725" t="s">
        <v>179</v>
      </c>
      <c r="B32" s="181" t="s">
        <v>484</v>
      </c>
      <c r="C32" s="256">
        <v>133908220</v>
      </c>
      <c r="D32" s="256">
        <v>127000000</v>
      </c>
      <c r="E32" s="256">
        <v>127000000</v>
      </c>
      <c r="F32" s="106">
        <v>137920864</v>
      </c>
      <c r="H32" s="736"/>
      <c r="I32" s="737"/>
    </row>
    <row r="33" spans="1:9" s="180" customFormat="1" ht="12" customHeight="1">
      <c r="A33" s="725" t="s">
        <v>180</v>
      </c>
      <c r="B33" s="181" t="s">
        <v>729</v>
      </c>
      <c r="C33" s="257">
        <v>6818987</v>
      </c>
      <c r="D33" s="257">
        <v>10000000</v>
      </c>
      <c r="E33" s="257">
        <v>10000000</v>
      </c>
      <c r="F33" s="105">
        <v>15667834</v>
      </c>
      <c r="H33" s="737"/>
      <c r="I33" s="737"/>
    </row>
    <row r="34" spans="1:9" s="180" customFormat="1" ht="12" customHeight="1">
      <c r="A34" s="726" t="s">
        <v>181</v>
      </c>
      <c r="B34" s="182" t="s">
        <v>485</v>
      </c>
      <c r="C34" s="257">
        <v>14218800</v>
      </c>
      <c r="D34" s="257">
        <v>5000000</v>
      </c>
      <c r="E34" s="257">
        <v>5000000</v>
      </c>
      <c r="F34" s="105">
        <v>17813200</v>
      </c>
      <c r="H34" s="737"/>
      <c r="I34" s="737"/>
    </row>
    <row r="35" spans="1:9" s="180" customFormat="1" ht="12" customHeight="1">
      <c r="A35" s="726" t="s">
        <v>182</v>
      </c>
      <c r="B35" s="182" t="s">
        <v>486</v>
      </c>
      <c r="C35" s="257">
        <v>44694154</v>
      </c>
      <c r="D35" s="257">
        <v>35000000</v>
      </c>
      <c r="E35" s="257">
        <v>35000000</v>
      </c>
      <c r="F35" s="105">
        <v>71595099</v>
      </c>
      <c r="H35" s="737"/>
      <c r="I35" s="737"/>
    </row>
    <row r="36" spans="1:9" s="180" customFormat="1" ht="12" customHeight="1">
      <c r="A36" s="726" t="s">
        <v>488</v>
      </c>
      <c r="B36" s="182" t="s">
        <v>789</v>
      </c>
      <c r="C36" s="257">
        <v>943108</v>
      </c>
      <c r="D36" s="257">
        <v>650000</v>
      </c>
      <c r="E36" s="257">
        <v>650000</v>
      </c>
      <c r="F36" s="105">
        <v>841299</v>
      </c>
      <c r="H36" s="737"/>
      <c r="I36" s="737"/>
    </row>
    <row r="37" spans="1:9" s="180" customFormat="1" ht="12" customHeight="1">
      <c r="A37" s="726" t="s">
        <v>489</v>
      </c>
      <c r="B37" s="182" t="s">
        <v>790</v>
      </c>
      <c r="C37" s="257">
        <v>348180</v>
      </c>
      <c r="D37" s="258">
        <v>200000</v>
      </c>
      <c r="E37" s="258">
        <v>200000</v>
      </c>
      <c r="F37" s="107">
        <v>846000</v>
      </c>
      <c r="H37" s="737"/>
      <c r="I37" s="737"/>
    </row>
    <row r="38" spans="1:9" s="180" customFormat="1" ht="12" customHeight="1">
      <c r="A38" s="727" t="s">
        <v>490</v>
      </c>
      <c r="B38" s="182" t="s">
        <v>791</v>
      </c>
      <c r="C38" s="257">
        <v>130000</v>
      </c>
      <c r="D38" s="258">
        <v>150000</v>
      </c>
      <c r="E38" s="258">
        <v>150000</v>
      </c>
      <c r="F38" s="107">
        <v>129000</v>
      </c>
      <c r="H38" s="737"/>
      <c r="I38" s="737"/>
    </row>
    <row r="39" spans="1:9" s="180" customFormat="1" ht="12" customHeight="1" thickBot="1">
      <c r="A39" s="731" t="s">
        <v>732</v>
      </c>
      <c r="B39" s="732" t="s">
        <v>730</v>
      </c>
      <c r="C39" s="258">
        <v>1562323</v>
      </c>
      <c r="D39" s="734">
        <v>3442270</v>
      </c>
      <c r="E39" s="734">
        <v>3442270</v>
      </c>
      <c r="F39" s="735">
        <v>7138892</v>
      </c>
      <c r="H39" s="737"/>
      <c r="I39" s="737"/>
    </row>
    <row r="40" spans="1:6" s="180" customFormat="1" ht="12" customHeight="1" thickBot="1">
      <c r="A40" s="18" t="s">
        <v>10</v>
      </c>
      <c r="B40" s="728" t="s">
        <v>339</v>
      </c>
      <c r="C40" s="168">
        <f>SUM(C41:C51)</f>
        <v>71668783</v>
      </c>
      <c r="D40" s="729">
        <f>SUM(D41:D51)</f>
        <v>40274995</v>
      </c>
      <c r="E40" s="729">
        <f>SUM(E41:E51)</f>
        <v>46425867</v>
      </c>
      <c r="F40" s="733">
        <f>SUM(F41:F51)</f>
        <v>53510213</v>
      </c>
    </row>
    <row r="41" spans="1:6" s="180" customFormat="1" ht="12" customHeight="1">
      <c r="A41" s="13" t="s">
        <v>57</v>
      </c>
      <c r="B41" s="181" t="s">
        <v>188</v>
      </c>
      <c r="C41" s="170"/>
      <c r="D41" s="170"/>
      <c r="E41" s="170"/>
      <c r="F41" s="106"/>
    </row>
    <row r="42" spans="1:6" s="180" customFormat="1" ht="12" customHeight="1">
      <c r="A42" s="12" t="s">
        <v>58</v>
      </c>
      <c r="B42" s="182" t="s">
        <v>189</v>
      </c>
      <c r="C42" s="257">
        <v>35711917</v>
      </c>
      <c r="D42" s="169">
        <v>21126082</v>
      </c>
      <c r="E42" s="257">
        <v>25563333</v>
      </c>
      <c r="F42" s="105">
        <v>28118868</v>
      </c>
    </row>
    <row r="43" spans="1:6" s="180" customFormat="1" ht="12" customHeight="1">
      <c r="A43" s="12" t="s">
        <v>59</v>
      </c>
      <c r="B43" s="182" t="s">
        <v>190</v>
      </c>
      <c r="C43" s="257">
        <v>3541312</v>
      </c>
      <c r="D43" s="169">
        <v>4071664</v>
      </c>
      <c r="E43" s="257">
        <v>4071664</v>
      </c>
      <c r="F43" s="105">
        <v>2983075</v>
      </c>
    </row>
    <row r="44" spans="1:6" s="180" customFormat="1" ht="12" customHeight="1">
      <c r="A44" s="12" t="s">
        <v>116</v>
      </c>
      <c r="B44" s="182" t="s">
        <v>191</v>
      </c>
      <c r="C44" s="257">
        <v>1070817</v>
      </c>
      <c r="D44" s="169">
        <v>2500000</v>
      </c>
      <c r="E44" s="257">
        <v>2500000</v>
      </c>
      <c r="F44" s="105">
        <v>2617165</v>
      </c>
    </row>
    <row r="45" spans="1:6" s="180" customFormat="1" ht="12" customHeight="1">
      <c r="A45" s="12" t="s">
        <v>117</v>
      </c>
      <c r="B45" s="182" t="s">
        <v>192</v>
      </c>
      <c r="C45" s="257">
        <v>6060793</v>
      </c>
      <c r="D45" s="169">
        <v>5921000</v>
      </c>
      <c r="E45" s="257">
        <v>5921000</v>
      </c>
      <c r="F45" s="105">
        <v>9612344</v>
      </c>
    </row>
    <row r="46" spans="1:6" s="180" customFormat="1" ht="12" customHeight="1">
      <c r="A46" s="12" t="s">
        <v>118</v>
      </c>
      <c r="B46" s="182" t="s">
        <v>193</v>
      </c>
      <c r="C46" s="257">
        <v>14401312</v>
      </c>
      <c r="D46" s="169">
        <v>6621249</v>
      </c>
      <c r="E46" s="257">
        <v>8334870</v>
      </c>
      <c r="F46" s="105">
        <v>9163140</v>
      </c>
    </row>
    <row r="47" spans="1:6" s="180" customFormat="1" ht="12" customHeight="1">
      <c r="A47" s="12" t="s">
        <v>119</v>
      </c>
      <c r="B47" s="182" t="s">
        <v>194</v>
      </c>
      <c r="C47" s="257"/>
      <c r="D47" s="169"/>
      <c r="E47" s="257"/>
      <c r="F47" s="105"/>
    </row>
    <row r="48" spans="1:6" s="180" customFormat="1" ht="12" customHeight="1">
      <c r="A48" s="12" t="s">
        <v>120</v>
      </c>
      <c r="B48" s="182" t="s">
        <v>491</v>
      </c>
      <c r="C48" s="257">
        <v>10672761</v>
      </c>
      <c r="D48" s="169">
        <v>10000</v>
      </c>
      <c r="E48" s="257">
        <v>10000</v>
      </c>
      <c r="F48" s="105">
        <v>297</v>
      </c>
    </row>
    <row r="49" spans="1:6" s="180" customFormat="1" ht="12" customHeight="1">
      <c r="A49" s="12" t="s">
        <v>186</v>
      </c>
      <c r="B49" s="182" t="s">
        <v>196</v>
      </c>
      <c r="C49" s="316">
        <v>6251</v>
      </c>
      <c r="D49" s="172"/>
      <c r="E49" s="316"/>
      <c r="F49" s="108">
        <v>4688</v>
      </c>
    </row>
    <row r="50" spans="1:6" s="180" customFormat="1" ht="12" customHeight="1">
      <c r="A50" s="14" t="s">
        <v>187</v>
      </c>
      <c r="B50" s="183" t="s">
        <v>341</v>
      </c>
      <c r="C50" s="317"/>
      <c r="D50" s="173"/>
      <c r="E50" s="317"/>
      <c r="F50" s="109"/>
    </row>
    <row r="51" spans="1:6" s="180" customFormat="1" ht="12" customHeight="1" thickBot="1">
      <c r="A51" s="14" t="s">
        <v>340</v>
      </c>
      <c r="B51" s="113" t="s">
        <v>197</v>
      </c>
      <c r="C51" s="317">
        <v>203620</v>
      </c>
      <c r="D51" s="377">
        <v>25000</v>
      </c>
      <c r="E51" s="317">
        <v>25000</v>
      </c>
      <c r="F51" s="109">
        <v>1010636</v>
      </c>
    </row>
    <row r="52" spans="1:6" s="180" customFormat="1" ht="12" customHeight="1" thickBot="1">
      <c r="A52" s="18" t="s">
        <v>11</v>
      </c>
      <c r="B52" s="424" t="s">
        <v>198</v>
      </c>
      <c r="C52" s="168">
        <f>SUM(C53:C57)</f>
        <v>18200000</v>
      </c>
      <c r="D52" s="168"/>
      <c r="E52" s="168">
        <f>SUM(E53:E57)</f>
        <v>0</v>
      </c>
      <c r="F52" s="104">
        <f>SUM(F53:F57)</f>
        <v>0</v>
      </c>
    </row>
    <row r="53" spans="1:6" s="180" customFormat="1" ht="12" customHeight="1">
      <c r="A53" s="13" t="s">
        <v>60</v>
      </c>
      <c r="B53" s="425" t="s">
        <v>202</v>
      </c>
      <c r="C53" s="221"/>
      <c r="D53" s="221"/>
      <c r="E53" s="221"/>
      <c r="F53" s="110"/>
    </row>
    <row r="54" spans="1:6" s="180" customFormat="1" ht="12" customHeight="1">
      <c r="A54" s="12" t="s">
        <v>61</v>
      </c>
      <c r="B54" s="426" t="s">
        <v>203</v>
      </c>
      <c r="C54" s="316">
        <v>18200000</v>
      </c>
      <c r="D54" s="316"/>
      <c r="E54" s="172"/>
      <c r="F54" s="108"/>
    </row>
    <row r="55" spans="1:6" s="180" customFormat="1" ht="12" customHeight="1">
      <c r="A55" s="12" t="s">
        <v>199</v>
      </c>
      <c r="B55" s="426" t="s">
        <v>204</v>
      </c>
      <c r="C55" s="172"/>
      <c r="D55" s="172"/>
      <c r="E55" s="172"/>
      <c r="F55" s="108"/>
    </row>
    <row r="56" spans="1:6" s="180" customFormat="1" ht="12" customHeight="1">
      <c r="A56" s="12" t="s">
        <v>200</v>
      </c>
      <c r="B56" s="426" t="s">
        <v>205</v>
      </c>
      <c r="C56" s="172"/>
      <c r="D56" s="172"/>
      <c r="E56" s="172"/>
      <c r="F56" s="108"/>
    </row>
    <row r="57" spans="1:6" s="180" customFormat="1" ht="12" customHeight="1" thickBot="1">
      <c r="A57" s="14" t="s">
        <v>201</v>
      </c>
      <c r="B57" s="427" t="s">
        <v>206</v>
      </c>
      <c r="C57" s="173"/>
      <c r="D57" s="173"/>
      <c r="E57" s="173"/>
      <c r="F57" s="109"/>
    </row>
    <row r="58" spans="1:6" s="180" customFormat="1" ht="13.5" thickBot="1">
      <c r="A58" s="18" t="s">
        <v>121</v>
      </c>
      <c r="B58" s="424" t="s">
        <v>207</v>
      </c>
      <c r="C58" s="168">
        <f>SUM(C59:C61)</f>
        <v>0</v>
      </c>
      <c r="D58" s="168"/>
      <c r="E58" s="168">
        <f>SUM(E59:E61)</f>
        <v>1000000</v>
      </c>
      <c r="F58" s="104">
        <f>SUM(F59:F61)</f>
        <v>1004325</v>
      </c>
    </row>
    <row r="59" spans="1:6" s="180" customFormat="1" ht="12.75">
      <c r="A59" s="13" t="s">
        <v>62</v>
      </c>
      <c r="B59" s="425" t="s">
        <v>208</v>
      </c>
      <c r="C59" s="170"/>
      <c r="D59" s="170"/>
      <c r="E59" s="170"/>
      <c r="F59" s="106"/>
    </row>
    <row r="60" spans="1:6" s="180" customFormat="1" ht="14.25" customHeight="1">
      <c r="A60" s="12" t="s">
        <v>63</v>
      </c>
      <c r="B60" s="426" t="s">
        <v>512</v>
      </c>
      <c r="C60" s="169"/>
      <c r="D60" s="169"/>
      <c r="E60" s="169"/>
      <c r="F60" s="105"/>
    </row>
    <row r="61" spans="1:6" s="180" customFormat="1" ht="12.75">
      <c r="A61" s="12" t="s">
        <v>211</v>
      </c>
      <c r="B61" s="426" t="s">
        <v>209</v>
      </c>
      <c r="C61" s="169"/>
      <c r="D61" s="169"/>
      <c r="E61" s="169">
        <v>1000000</v>
      </c>
      <c r="F61" s="105">
        <v>1004325</v>
      </c>
    </row>
    <row r="62" spans="1:6" s="180" customFormat="1" ht="13.5" thickBot="1">
      <c r="A62" s="14" t="s">
        <v>212</v>
      </c>
      <c r="B62" s="427" t="s">
        <v>210</v>
      </c>
      <c r="C62" s="171"/>
      <c r="D62" s="171"/>
      <c r="E62" s="171"/>
      <c r="F62" s="107"/>
    </row>
    <row r="63" spans="1:6" s="180" customFormat="1" ht="13.5" thickBot="1">
      <c r="A63" s="18" t="s">
        <v>13</v>
      </c>
      <c r="B63" s="428" t="s">
        <v>213</v>
      </c>
      <c r="C63" s="168">
        <f>SUM(C64:C66)</f>
        <v>16278514</v>
      </c>
      <c r="D63" s="168"/>
      <c r="E63" s="168">
        <f>SUM(E64:E66)</f>
        <v>0</v>
      </c>
      <c r="F63" s="104">
        <f>SUM(F64:F66)</f>
        <v>0</v>
      </c>
    </row>
    <row r="64" spans="1:6" s="180" customFormat="1" ht="12.75">
      <c r="A64" s="12" t="s">
        <v>122</v>
      </c>
      <c r="B64" s="425" t="s">
        <v>215</v>
      </c>
      <c r="C64" s="172"/>
      <c r="D64" s="172"/>
      <c r="E64" s="172"/>
      <c r="F64" s="108"/>
    </row>
    <row r="65" spans="1:6" s="180" customFormat="1" ht="12.75" customHeight="1">
      <c r="A65" s="12" t="s">
        <v>123</v>
      </c>
      <c r="B65" s="426" t="s">
        <v>513</v>
      </c>
      <c r="C65" s="316">
        <v>15778514</v>
      </c>
      <c r="D65" s="316"/>
      <c r="E65" s="172"/>
      <c r="F65" s="108"/>
    </row>
    <row r="66" spans="1:6" s="180" customFormat="1" ht="12.75">
      <c r="A66" s="12" t="s">
        <v>146</v>
      </c>
      <c r="B66" s="426" t="s">
        <v>216</v>
      </c>
      <c r="C66" s="316">
        <v>500000</v>
      </c>
      <c r="D66" s="316"/>
      <c r="E66" s="172"/>
      <c r="F66" s="108"/>
    </row>
    <row r="67" spans="1:6" s="180" customFormat="1" ht="13.5" thickBot="1">
      <c r="A67" s="12" t="s">
        <v>214</v>
      </c>
      <c r="B67" s="427" t="s">
        <v>217</v>
      </c>
      <c r="C67" s="172"/>
      <c r="D67" s="316"/>
      <c r="E67" s="172"/>
      <c r="F67" s="108"/>
    </row>
    <row r="68" spans="1:6" s="180" customFormat="1" ht="13.5" thickBot="1">
      <c r="A68" s="18" t="s">
        <v>14</v>
      </c>
      <c r="B68" s="424" t="s">
        <v>218</v>
      </c>
      <c r="C68" s="174">
        <f>+C9+C17+C24+C31+C40+C52+C58+C63</f>
        <v>527026825</v>
      </c>
      <c r="D68" s="174">
        <f>+D9+D17+D24+D31+D40+D52+D58+D63</f>
        <v>365737080</v>
      </c>
      <c r="E68" s="174">
        <f>+E9+E17+E24+E31+E40+E52+E58+E63</f>
        <v>433762372</v>
      </c>
      <c r="F68" s="174">
        <f>+F9+F17+F24+F31+F40+F52+F58+F63</f>
        <v>512556211</v>
      </c>
    </row>
    <row r="69" spans="1:6" s="180" customFormat="1" ht="13.5" thickBot="1">
      <c r="A69" s="222" t="s">
        <v>219</v>
      </c>
      <c r="B69" s="428" t="s">
        <v>514</v>
      </c>
      <c r="C69" s="168">
        <f>SUM(C70:C72)</f>
        <v>0</v>
      </c>
      <c r="D69" s="168"/>
      <c r="E69" s="168">
        <f>SUM(E70:E72)</f>
        <v>0</v>
      </c>
      <c r="F69" s="104">
        <f>SUM(F70:F72)</f>
        <v>0</v>
      </c>
    </row>
    <row r="70" spans="1:6" s="180" customFormat="1" ht="12.75">
      <c r="A70" s="12" t="s">
        <v>248</v>
      </c>
      <c r="B70" s="425" t="s">
        <v>221</v>
      </c>
      <c r="C70" s="172"/>
      <c r="D70" s="172"/>
      <c r="E70" s="172"/>
      <c r="F70" s="108"/>
    </row>
    <row r="71" spans="1:6" s="180" customFormat="1" ht="12.75">
      <c r="A71" s="12" t="s">
        <v>257</v>
      </c>
      <c r="B71" s="426" t="s">
        <v>222</v>
      </c>
      <c r="C71" s="172"/>
      <c r="D71" s="172"/>
      <c r="E71" s="172"/>
      <c r="F71" s="108"/>
    </row>
    <row r="72" spans="1:6" s="180" customFormat="1" ht="13.5" thickBot="1">
      <c r="A72" s="12" t="s">
        <v>258</v>
      </c>
      <c r="B72" s="231" t="s">
        <v>366</v>
      </c>
      <c r="C72" s="172"/>
      <c r="D72" s="172"/>
      <c r="E72" s="172"/>
      <c r="F72" s="108"/>
    </row>
    <row r="73" spans="1:6" s="180" customFormat="1" ht="13.5" thickBot="1">
      <c r="A73" s="222" t="s">
        <v>224</v>
      </c>
      <c r="B73" s="428" t="s">
        <v>225</v>
      </c>
      <c r="C73" s="168">
        <f>SUM(C74:C77)</f>
        <v>0</v>
      </c>
      <c r="D73" s="168"/>
      <c r="E73" s="168">
        <f>SUM(E74:E77)</f>
        <v>0</v>
      </c>
      <c r="F73" s="104">
        <f>SUM(F74:F77)</f>
        <v>0</v>
      </c>
    </row>
    <row r="74" spans="1:6" s="180" customFormat="1" ht="12.75">
      <c r="A74" s="12" t="s">
        <v>100</v>
      </c>
      <c r="B74" s="429" t="s">
        <v>226</v>
      </c>
      <c r="C74" s="172"/>
      <c r="D74" s="172"/>
      <c r="E74" s="172"/>
      <c r="F74" s="108"/>
    </row>
    <row r="75" spans="1:6" s="180" customFormat="1" ht="12.75">
      <c r="A75" s="12" t="s">
        <v>101</v>
      </c>
      <c r="B75" s="429" t="s">
        <v>498</v>
      </c>
      <c r="C75" s="172"/>
      <c r="D75" s="172"/>
      <c r="E75" s="172"/>
      <c r="F75" s="108"/>
    </row>
    <row r="76" spans="1:6" s="180" customFormat="1" ht="12" customHeight="1">
      <c r="A76" s="12" t="s">
        <v>249</v>
      </c>
      <c r="B76" s="429" t="s">
        <v>227</v>
      </c>
      <c r="C76" s="172"/>
      <c r="D76" s="172"/>
      <c r="E76" s="172"/>
      <c r="F76" s="108"/>
    </row>
    <row r="77" spans="1:6" s="180" customFormat="1" ht="12" customHeight="1" thickBot="1">
      <c r="A77" s="12" t="s">
        <v>250</v>
      </c>
      <c r="B77" s="430" t="s">
        <v>499</v>
      </c>
      <c r="C77" s="172"/>
      <c r="D77" s="172"/>
      <c r="E77" s="172"/>
      <c r="F77" s="108"/>
    </row>
    <row r="78" spans="1:6" s="180" customFormat="1" ht="12" customHeight="1" thickBot="1">
      <c r="A78" s="222" t="s">
        <v>228</v>
      </c>
      <c r="B78" s="428" t="s">
        <v>229</v>
      </c>
      <c r="C78" s="168">
        <f>SUM(C79:C80)</f>
        <v>316649437</v>
      </c>
      <c r="D78" s="168">
        <f>SUM(D79:D80)</f>
        <v>239902746</v>
      </c>
      <c r="E78" s="168">
        <f>SUM(E79:E80)</f>
        <v>266713622</v>
      </c>
      <c r="F78" s="104">
        <f>SUM(F79:F80)</f>
        <v>266713622</v>
      </c>
    </row>
    <row r="79" spans="1:6" s="180" customFormat="1" ht="12" customHeight="1">
      <c r="A79" s="12" t="s">
        <v>251</v>
      </c>
      <c r="B79" s="425" t="s">
        <v>230</v>
      </c>
      <c r="C79" s="316">
        <v>316649437</v>
      </c>
      <c r="D79" s="694">
        <v>239902746</v>
      </c>
      <c r="E79" s="316">
        <v>266713622</v>
      </c>
      <c r="F79" s="108">
        <v>266713622</v>
      </c>
    </row>
    <row r="80" spans="1:6" s="180" customFormat="1" ht="12" customHeight="1" thickBot="1">
      <c r="A80" s="12" t="s">
        <v>252</v>
      </c>
      <c r="B80" s="427" t="s">
        <v>231</v>
      </c>
      <c r="C80" s="172"/>
      <c r="D80" s="172"/>
      <c r="E80" s="172"/>
      <c r="F80" s="108"/>
    </row>
    <row r="81" spans="1:6" s="180" customFormat="1" ht="12" customHeight="1" thickBot="1">
      <c r="A81" s="222" t="s">
        <v>232</v>
      </c>
      <c r="B81" s="428" t="s">
        <v>233</v>
      </c>
      <c r="C81" s="168">
        <f>SUM(C82:C84)</f>
        <v>4440354</v>
      </c>
      <c r="D81" s="168"/>
      <c r="E81" s="168">
        <f>SUM(E82:E84)</f>
        <v>16685273</v>
      </c>
      <c r="F81" s="104">
        <f>SUM(F82:F84)</f>
        <v>16685273</v>
      </c>
    </row>
    <row r="82" spans="1:6" s="180" customFormat="1" ht="12" customHeight="1">
      <c r="A82" s="12" t="s">
        <v>253</v>
      </c>
      <c r="B82" s="425" t="s">
        <v>234</v>
      </c>
      <c r="C82" s="316">
        <v>4440354</v>
      </c>
      <c r="D82" s="316"/>
      <c r="E82" s="172">
        <v>16685273</v>
      </c>
      <c r="F82" s="108">
        <v>16685273</v>
      </c>
    </row>
    <row r="83" spans="1:6" s="180" customFormat="1" ht="12" customHeight="1">
      <c r="A83" s="12" t="s">
        <v>254</v>
      </c>
      <c r="B83" s="426" t="s">
        <v>235</v>
      </c>
      <c r="C83" s="172"/>
      <c r="D83" s="172"/>
      <c r="E83" s="172"/>
      <c r="F83" s="108"/>
    </row>
    <row r="84" spans="1:6" s="180" customFormat="1" ht="12" customHeight="1" thickBot="1">
      <c r="A84" s="12" t="s">
        <v>255</v>
      </c>
      <c r="B84" s="431" t="s">
        <v>515</v>
      </c>
      <c r="C84" s="172"/>
      <c r="D84" s="172"/>
      <c r="E84" s="172"/>
      <c r="F84" s="108"/>
    </row>
    <row r="85" spans="1:6" s="180" customFormat="1" ht="12" customHeight="1" thickBot="1">
      <c r="A85" s="222" t="s">
        <v>236</v>
      </c>
      <c r="B85" s="428" t="s">
        <v>256</v>
      </c>
      <c r="C85" s="168">
        <f>SUM(C86:C89)</f>
        <v>0</v>
      </c>
      <c r="D85" s="168"/>
      <c r="E85" s="168">
        <f>SUM(E86:E89)</f>
        <v>0</v>
      </c>
      <c r="F85" s="104">
        <f>SUM(F86:F89)</f>
        <v>0</v>
      </c>
    </row>
    <row r="86" spans="1:6" s="180" customFormat="1" ht="12" customHeight="1">
      <c r="A86" s="432" t="s">
        <v>237</v>
      </c>
      <c r="B86" s="425" t="s">
        <v>238</v>
      </c>
      <c r="C86" s="172"/>
      <c r="D86" s="172"/>
      <c r="E86" s="172"/>
      <c r="F86" s="108"/>
    </row>
    <row r="87" spans="1:6" s="180" customFormat="1" ht="12" customHeight="1">
      <c r="A87" s="433" t="s">
        <v>239</v>
      </c>
      <c r="B87" s="426" t="s">
        <v>240</v>
      </c>
      <c r="C87" s="172"/>
      <c r="D87" s="172"/>
      <c r="E87" s="172"/>
      <c r="F87" s="108"/>
    </row>
    <row r="88" spans="1:6" s="180" customFormat="1" ht="12" customHeight="1">
      <c r="A88" s="433" t="s">
        <v>241</v>
      </c>
      <c r="B88" s="426" t="s">
        <v>242</v>
      </c>
      <c r="C88" s="172"/>
      <c r="D88" s="172"/>
      <c r="E88" s="172"/>
      <c r="F88" s="108"/>
    </row>
    <row r="89" spans="1:6" s="180" customFormat="1" ht="12" customHeight="1" thickBot="1">
      <c r="A89" s="434" t="s">
        <v>243</v>
      </c>
      <c r="B89" s="427" t="s">
        <v>244</v>
      </c>
      <c r="C89" s="172"/>
      <c r="D89" s="172"/>
      <c r="E89" s="172"/>
      <c r="F89" s="108"/>
    </row>
    <row r="90" spans="1:6" s="180" customFormat="1" ht="12" customHeight="1" thickBot="1">
      <c r="A90" s="222" t="s">
        <v>245</v>
      </c>
      <c r="B90" s="428" t="s">
        <v>246</v>
      </c>
      <c r="C90" s="224"/>
      <c r="D90" s="224"/>
      <c r="E90" s="224"/>
      <c r="F90" s="225"/>
    </row>
    <row r="91" spans="1:6" s="180" customFormat="1" ht="13.5" customHeight="1" thickBot="1">
      <c r="A91" s="222" t="s">
        <v>247</v>
      </c>
      <c r="B91" s="435" t="s">
        <v>516</v>
      </c>
      <c r="C91" s="174">
        <f>+C69+C73+C78+C81+C85+C90</f>
        <v>321089791</v>
      </c>
      <c r="D91" s="174">
        <f>+D69+D73+D78+D81+D85+D90</f>
        <v>239902746</v>
      </c>
      <c r="E91" s="174">
        <f>+E69+E73+E78+E81+E85+E90</f>
        <v>283398895</v>
      </c>
      <c r="F91" s="210">
        <f>+F69+F73+F78+F81+F85+F90</f>
        <v>283398895</v>
      </c>
    </row>
    <row r="92" spans="1:6" s="180" customFormat="1" ht="12" customHeight="1" thickBot="1">
      <c r="A92" s="223" t="s">
        <v>259</v>
      </c>
      <c r="B92" s="436" t="s">
        <v>517</v>
      </c>
      <c r="C92" s="174">
        <f>+C68+C91</f>
        <v>848116616</v>
      </c>
      <c r="D92" s="174">
        <f>+D68+D91</f>
        <v>605639826</v>
      </c>
      <c r="E92" s="174">
        <f>+E68+E91</f>
        <v>717161267</v>
      </c>
      <c r="F92" s="210">
        <f>+F68+F91</f>
        <v>795955106</v>
      </c>
    </row>
    <row r="93" spans="1:6" ht="16.5" customHeight="1">
      <c r="A93" s="845" t="s">
        <v>34</v>
      </c>
      <c r="B93" s="845"/>
      <c r="C93" s="845"/>
      <c r="D93" s="845"/>
      <c r="E93" s="845"/>
      <c r="F93" s="845"/>
    </row>
    <row r="94" spans="1:6" s="190" customFormat="1" ht="16.5" customHeight="1" thickBot="1">
      <c r="A94" s="437" t="s">
        <v>103</v>
      </c>
      <c r="B94" s="437"/>
      <c r="C94" s="437"/>
      <c r="D94" s="437"/>
      <c r="E94" s="62"/>
      <c r="F94" s="62" t="str">
        <f>F5</f>
        <v>Forintban</v>
      </c>
    </row>
    <row r="95" spans="1:6" s="190" customFormat="1" ht="16.5" customHeight="1">
      <c r="A95" s="938" t="s">
        <v>52</v>
      </c>
      <c r="B95" s="841" t="s">
        <v>424</v>
      </c>
      <c r="C95" s="856" t="str">
        <f>+C6</f>
        <v>2021. évi tény</v>
      </c>
      <c r="D95" s="941" t="str">
        <f>+D6</f>
        <v>2022. évi</v>
      </c>
      <c r="E95" s="942"/>
      <c r="F95" s="943"/>
    </row>
    <row r="96" spans="1:6" ht="37.5" customHeight="1" thickBot="1">
      <c r="A96" s="939"/>
      <c r="B96" s="940"/>
      <c r="C96" s="857"/>
      <c r="D96" s="677" t="s">
        <v>458</v>
      </c>
      <c r="E96" s="251" t="s">
        <v>459</v>
      </c>
      <c r="F96" s="423" t="s">
        <v>449</v>
      </c>
    </row>
    <row r="97" spans="1:6" s="179" customFormat="1" ht="12" customHeight="1" thickBot="1">
      <c r="A97" s="25" t="s">
        <v>389</v>
      </c>
      <c r="B97" s="26" t="s">
        <v>390</v>
      </c>
      <c r="C97" s="26" t="s">
        <v>391</v>
      </c>
      <c r="D97" s="26"/>
      <c r="E97" s="26" t="s">
        <v>392</v>
      </c>
      <c r="F97" s="438" t="s">
        <v>394</v>
      </c>
    </row>
    <row r="98" spans="1:6" ht="12" customHeight="1" thickBot="1">
      <c r="A98" s="20" t="s">
        <v>6</v>
      </c>
      <c r="B98" s="24" t="s">
        <v>518</v>
      </c>
      <c r="C98" s="167">
        <f>SUM(C99:C103)</f>
        <v>426440773</v>
      </c>
      <c r="D98" s="167">
        <f>SUM(D99:D103)</f>
        <v>528590791</v>
      </c>
      <c r="E98" s="167">
        <f>+E99+E100+E101+E102+E103</f>
        <v>551613355</v>
      </c>
      <c r="F98" s="238">
        <f>+F99+F100+F101+F102+F103</f>
        <v>469443602</v>
      </c>
    </row>
    <row r="99" spans="1:6" ht="12" customHeight="1">
      <c r="A99" s="15" t="s">
        <v>64</v>
      </c>
      <c r="B99" s="439" t="s">
        <v>35</v>
      </c>
      <c r="C99" s="245">
        <v>163979023</v>
      </c>
      <c r="D99" s="245">
        <v>216150465</v>
      </c>
      <c r="E99" s="798">
        <v>218069647</v>
      </c>
      <c r="F99" s="239">
        <v>199164001</v>
      </c>
    </row>
    <row r="100" spans="1:6" ht="12" customHeight="1">
      <c r="A100" s="12" t="s">
        <v>65</v>
      </c>
      <c r="B100" s="440" t="s">
        <v>124</v>
      </c>
      <c r="C100" s="169">
        <v>25040334</v>
      </c>
      <c r="D100" s="169">
        <v>31304262</v>
      </c>
      <c r="E100" s="257">
        <v>32917588</v>
      </c>
      <c r="F100" s="105">
        <v>30919657</v>
      </c>
    </row>
    <row r="101" spans="1:6" ht="12" customHeight="1">
      <c r="A101" s="12" t="s">
        <v>66</v>
      </c>
      <c r="B101" s="440" t="s">
        <v>92</v>
      </c>
      <c r="C101" s="171">
        <v>168005320</v>
      </c>
      <c r="D101" s="171">
        <v>217831160</v>
      </c>
      <c r="E101" s="258">
        <v>226488965</v>
      </c>
      <c r="F101" s="107">
        <v>169146820</v>
      </c>
    </row>
    <row r="102" spans="1:6" ht="12" customHeight="1">
      <c r="A102" s="12" t="s">
        <v>67</v>
      </c>
      <c r="B102" s="441" t="s">
        <v>125</v>
      </c>
      <c r="C102" s="169">
        <v>3623347</v>
      </c>
      <c r="D102" s="171">
        <v>5840000</v>
      </c>
      <c r="E102" s="258">
        <v>5840000</v>
      </c>
      <c r="F102" s="107">
        <v>2808500</v>
      </c>
    </row>
    <row r="103" spans="1:6" ht="12" customHeight="1">
      <c r="A103" s="12" t="s">
        <v>76</v>
      </c>
      <c r="B103" s="442" t="s">
        <v>126</v>
      </c>
      <c r="C103" s="169">
        <v>65792749</v>
      </c>
      <c r="D103" s="171">
        <v>57464904</v>
      </c>
      <c r="E103" s="258">
        <v>68297155</v>
      </c>
      <c r="F103" s="107">
        <v>67404624</v>
      </c>
    </row>
    <row r="104" spans="1:6" ht="12" customHeight="1">
      <c r="A104" s="12" t="s">
        <v>68</v>
      </c>
      <c r="B104" s="440" t="s">
        <v>519</v>
      </c>
      <c r="C104" s="171">
        <v>5892108</v>
      </c>
      <c r="D104" s="169">
        <v>2961554</v>
      </c>
      <c r="E104" s="258">
        <v>2961554</v>
      </c>
      <c r="F104" s="107">
        <v>2961554</v>
      </c>
    </row>
    <row r="105" spans="1:6" ht="12" customHeight="1">
      <c r="A105" s="12" t="s">
        <v>69</v>
      </c>
      <c r="B105" s="440" t="s">
        <v>792</v>
      </c>
      <c r="C105" s="171"/>
      <c r="D105" s="171">
        <v>696579</v>
      </c>
      <c r="E105" s="171"/>
      <c r="F105" s="107"/>
    </row>
    <row r="106" spans="1:6" ht="12" customHeight="1">
      <c r="A106" s="12" t="s">
        <v>77</v>
      </c>
      <c r="B106" s="443" t="s">
        <v>262</v>
      </c>
      <c r="C106" s="171"/>
      <c r="D106" s="171"/>
      <c r="E106" s="171"/>
      <c r="F106" s="107"/>
    </row>
    <row r="107" spans="1:6" ht="12" customHeight="1">
      <c r="A107" s="12" t="s">
        <v>78</v>
      </c>
      <c r="B107" s="440" t="s">
        <v>263</v>
      </c>
      <c r="C107" s="171"/>
      <c r="D107" s="171"/>
      <c r="E107" s="171">
        <v>36830</v>
      </c>
      <c r="F107" s="107">
        <v>36830</v>
      </c>
    </row>
    <row r="108" spans="1:6" ht="12" customHeight="1">
      <c r="A108" s="12" t="s">
        <v>79</v>
      </c>
      <c r="B108" s="440" t="s">
        <v>264</v>
      </c>
      <c r="C108" s="171"/>
      <c r="D108" s="171"/>
      <c r="E108" s="171"/>
      <c r="F108" s="107"/>
    </row>
    <row r="109" spans="1:6" ht="12" customHeight="1">
      <c r="A109" s="12" t="s">
        <v>80</v>
      </c>
      <c r="B109" s="443" t="s">
        <v>265</v>
      </c>
      <c r="C109" s="171">
        <v>45500540</v>
      </c>
      <c r="D109" s="171">
        <v>51405046</v>
      </c>
      <c r="E109" s="171">
        <v>51675046</v>
      </c>
      <c r="F109" s="107">
        <v>51400677</v>
      </c>
    </row>
    <row r="110" spans="1:6" ht="12" customHeight="1">
      <c r="A110" s="12" t="s">
        <v>82</v>
      </c>
      <c r="B110" s="443" t="s">
        <v>266</v>
      </c>
      <c r="C110" s="171"/>
      <c r="D110" s="171"/>
      <c r="E110" s="171"/>
      <c r="F110" s="107"/>
    </row>
    <row r="111" spans="1:6" ht="12" customHeight="1">
      <c r="A111" s="12" t="s">
        <v>127</v>
      </c>
      <c r="B111" s="440" t="s">
        <v>267</v>
      </c>
      <c r="C111" s="171"/>
      <c r="D111" s="171"/>
      <c r="E111" s="171"/>
      <c r="F111" s="107"/>
    </row>
    <row r="112" spans="1:6" ht="12" customHeight="1">
      <c r="A112" s="12" t="s">
        <v>260</v>
      </c>
      <c r="B112" s="444" t="s">
        <v>268</v>
      </c>
      <c r="C112" s="171"/>
      <c r="D112" s="171"/>
      <c r="E112" s="171"/>
      <c r="F112" s="107"/>
    </row>
    <row r="113" spans="1:6" ht="12" customHeight="1">
      <c r="A113" s="12" t="s">
        <v>261</v>
      </c>
      <c r="B113" s="444" t="s">
        <v>269</v>
      </c>
      <c r="C113" s="171"/>
      <c r="D113" s="171"/>
      <c r="E113" s="171"/>
      <c r="F113" s="107"/>
    </row>
    <row r="114" spans="1:6" ht="12" customHeight="1" thickBot="1">
      <c r="A114" s="12" t="s">
        <v>343</v>
      </c>
      <c r="B114" s="445" t="s">
        <v>270</v>
      </c>
      <c r="C114" s="246">
        <v>14400101</v>
      </c>
      <c r="D114" s="246">
        <v>2401725</v>
      </c>
      <c r="E114" s="246">
        <v>13623725</v>
      </c>
      <c r="F114" s="240">
        <v>13005563</v>
      </c>
    </row>
    <row r="115" spans="1:6" ht="12" customHeight="1" thickBot="1">
      <c r="A115" s="18" t="s">
        <v>7</v>
      </c>
      <c r="B115" s="23" t="s">
        <v>520</v>
      </c>
      <c r="C115" s="168">
        <f>+C116+C118+C120</f>
        <v>150585277</v>
      </c>
      <c r="D115" s="168">
        <f>+D116+D118+D120</f>
        <v>56326893</v>
      </c>
      <c r="E115" s="168">
        <f>+E116+E118+E120</f>
        <v>103139653</v>
      </c>
      <c r="F115" s="104">
        <f>+F116+F118+F120</f>
        <v>52804219</v>
      </c>
    </row>
    <row r="116" spans="1:6" ht="12" customHeight="1">
      <c r="A116" s="13" t="s">
        <v>70</v>
      </c>
      <c r="B116" s="440" t="s">
        <v>145</v>
      </c>
      <c r="C116" s="170">
        <v>112623429</v>
      </c>
      <c r="D116" s="256">
        <v>54326893</v>
      </c>
      <c r="E116" s="170">
        <v>97106810</v>
      </c>
      <c r="F116" s="106">
        <v>48271376</v>
      </c>
    </row>
    <row r="117" spans="1:6" ht="12" customHeight="1">
      <c r="A117" s="13" t="s">
        <v>71</v>
      </c>
      <c r="B117" s="444" t="s">
        <v>275</v>
      </c>
      <c r="C117" s="170">
        <v>22950066</v>
      </c>
      <c r="D117" s="256"/>
      <c r="E117" s="170"/>
      <c r="F117" s="106"/>
    </row>
    <row r="118" spans="1:6" ht="15">
      <c r="A118" s="13" t="s">
        <v>72</v>
      </c>
      <c r="B118" s="444" t="s">
        <v>128</v>
      </c>
      <c r="C118" s="169">
        <v>37961848</v>
      </c>
      <c r="D118" s="257"/>
      <c r="E118" s="169"/>
      <c r="F118" s="105"/>
    </row>
    <row r="119" spans="1:6" ht="12" customHeight="1">
      <c r="A119" s="13" t="s">
        <v>73</v>
      </c>
      <c r="B119" s="444" t="s">
        <v>276</v>
      </c>
      <c r="C119" s="169"/>
      <c r="D119" s="169"/>
      <c r="E119" s="169"/>
      <c r="F119" s="105"/>
    </row>
    <row r="120" spans="1:6" ht="12" customHeight="1">
      <c r="A120" s="13" t="s">
        <v>74</v>
      </c>
      <c r="B120" s="427" t="s">
        <v>147</v>
      </c>
      <c r="C120" s="169"/>
      <c r="D120" s="169">
        <v>2000000</v>
      </c>
      <c r="E120" s="169">
        <v>6032843</v>
      </c>
      <c r="F120" s="105">
        <v>4532843</v>
      </c>
    </row>
    <row r="121" spans="1:6" ht="15">
      <c r="A121" s="13" t="s">
        <v>81</v>
      </c>
      <c r="B121" s="426" t="s">
        <v>335</v>
      </c>
      <c r="C121" s="169"/>
      <c r="D121" s="169"/>
      <c r="E121" s="169"/>
      <c r="F121" s="105"/>
    </row>
    <row r="122" spans="1:6" ht="15">
      <c r="A122" s="13" t="s">
        <v>83</v>
      </c>
      <c r="B122" s="446" t="s">
        <v>281</v>
      </c>
      <c r="C122" s="169"/>
      <c r="D122" s="169"/>
      <c r="E122" s="169"/>
      <c r="F122" s="105"/>
    </row>
    <row r="123" spans="1:6" ht="12" customHeight="1">
      <c r="A123" s="13" t="s">
        <v>129</v>
      </c>
      <c r="B123" s="440" t="s">
        <v>264</v>
      </c>
      <c r="C123" s="169"/>
      <c r="D123" s="169"/>
      <c r="E123" s="169"/>
      <c r="F123" s="105"/>
    </row>
    <row r="124" spans="1:6" ht="12" customHeight="1">
      <c r="A124" s="13" t="s">
        <v>130</v>
      </c>
      <c r="B124" s="440" t="s">
        <v>280</v>
      </c>
      <c r="C124" s="169"/>
      <c r="D124" s="169"/>
      <c r="E124" s="169">
        <v>1028112</v>
      </c>
      <c r="F124" s="105">
        <v>1028112</v>
      </c>
    </row>
    <row r="125" spans="1:6" ht="12" customHeight="1">
      <c r="A125" s="13" t="s">
        <v>131</v>
      </c>
      <c r="B125" s="440" t="s">
        <v>279</v>
      </c>
      <c r="C125" s="169"/>
      <c r="D125" s="169"/>
      <c r="E125" s="169"/>
      <c r="F125" s="105"/>
    </row>
    <row r="126" spans="1:6" s="447" customFormat="1" ht="12" customHeight="1">
      <c r="A126" s="13" t="s">
        <v>272</v>
      </c>
      <c r="B126" s="440" t="s">
        <v>267</v>
      </c>
      <c r="C126" s="169"/>
      <c r="D126" s="169">
        <v>2000000</v>
      </c>
      <c r="E126" s="169">
        <v>2000000</v>
      </c>
      <c r="F126" s="105">
        <v>500000</v>
      </c>
    </row>
    <row r="127" spans="1:6" ht="12" customHeight="1">
      <c r="A127" s="13" t="s">
        <v>273</v>
      </c>
      <c r="B127" s="440" t="s">
        <v>278</v>
      </c>
      <c r="C127" s="169"/>
      <c r="D127" s="169"/>
      <c r="E127" s="169"/>
      <c r="F127" s="105"/>
    </row>
    <row r="128" spans="1:6" ht="12" customHeight="1" thickBot="1">
      <c r="A128" s="11" t="s">
        <v>274</v>
      </c>
      <c r="B128" s="440" t="s">
        <v>277</v>
      </c>
      <c r="C128" s="171"/>
      <c r="D128" s="171"/>
      <c r="E128" s="171">
        <v>3004731</v>
      </c>
      <c r="F128" s="107">
        <v>3004731</v>
      </c>
    </row>
    <row r="129" spans="1:6" ht="12" customHeight="1" thickBot="1">
      <c r="A129" s="18" t="s">
        <v>8</v>
      </c>
      <c r="B129" s="448" t="s">
        <v>521</v>
      </c>
      <c r="C129" s="168">
        <f>+C130+C131</f>
        <v>0</v>
      </c>
      <c r="D129" s="168">
        <f>+D130+D131</f>
        <v>16281788</v>
      </c>
      <c r="E129" s="168">
        <f>+E130+E131</f>
        <v>46760298</v>
      </c>
      <c r="F129" s="104">
        <f>+F130+F131</f>
        <v>0</v>
      </c>
    </row>
    <row r="130" spans="1:6" ht="12" customHeight="1">
      <c r="A130" s="13" t="s">
        <v>53</v>
      </c>
      <c r="B130" s="446" t="s">
        <v>522</v>
      </c>
      <c r="C130" s="170"/>
      <c r="D130" s="170">
        <v>8330929</v>
      </c>
      <c r="E130" s="170">
        <v>38809439</v>
      </c>
      <c r="F130" s="106"/>
    </row>
    <row r="131" spans="1:6" ht="12" customHeight="1" thickBot="1">
      <c r="A131" s="14" t="s">
        <v>54</v>
      </c>
      <c r="B131" s="444" t="s">
        <v>523</v>
      </c>
      <c r="C131" s="171"/>
      <c r="D131" s="171">
        <v>7950859</v>
      </c>
      <c r="E131" s="171">
        <v>7950859</v>
      </c>
      <c r="F131" s="107"/>
    </row>
    <row r="132" spans="1:6" ht="12" customHeight="1" thickBot="1">
      <c r="A132" s="18" t="s">
        <v>9</v>
      </c>
      <c r="B132" s="448" t="s">
        <v>524</v>
      </c>
      <c r="C132" s="168">
        <f>+C98+C115+C129</f>
        <v>577026050</v>
      </c>
      <c r="D132" s="168">
        <f>+D98+D115+D129</f>
        <v>601199472</v>
      </c>
      <c r="E132" s="168">
        <f>+E98+E115+E129</f>
        <v>701513306</v>
      </c>
      <c r="F132" s="104">
        <f>+F98+F115+F129</f>
        <v>522247821</v>
      </c>
    </row>
    <row r="133" spans="1:6" ht="12" customHeight="1" thickBot="1">
      <c r="A133" s="18" t="s">
        <v>10</v>
      </c>
      <c r="B133" s="448" t="s">
        <v>525</v>
      </c>
      <c r="C133" s="168">
        <f>+C134+C135+C136</f>
        <v>0</v>
      </c>
      <c r="D133" s="168"/>
      <c r="E133" s="168">
        <f>+E134+E135+E136</f>
        <v>0</v>
      </c>
      <c r="F133" s="104">
        <f>+F134+F135+F136</f>
        <v>0</v>
      </c>
    </row>
    <row r="134" spans="1:6" ht="12" customHeight="1">
      <c r="A134" s="13" t="s">
        <v>57</v>
      </c>
      <c r="B134" s="446" t="s">
        <v>408</v>
      </c>
      <c r="C134" s="169"/>
      <c r="D134" s="169"/>
      <c r="E134" s="169"/>
      <c r="F134" s="105"/>
    </row>
    <row r="135" spans="1:6" ht="12" customHeight="1">
      <c r="A135" s="13" t="s">
        <v>58</v>
      </c>
      <c r="B135" s="446" t="s">
        <v>362</v>
      </c>
      <c r="C135" s="169"/>
      <c r="D135" s="169"/>
      <c r="E135" s="169"/>
      <c r="F135" s="105"/>
    </row>
    <row r="136" spans="1:6" ht="12" customHeight="1" thickBot="1">
      <c r="A136" s="11" t="s">
        <v>59</v>
      </c>
      <c r="B136" s="449" t="s">
        <v>407</v>
      </c>
      <c r="C136" s="169"/>
      <c r="D136" s="169"/>
      <c r="E136" s="169"/>
      <c r="F136" s="105"/>
    </row>
    <row r="137" spans="1:6" ht="12" customHeight="1" thickBot="1">
      <c r="A137" s="18" t="s">
        <v>11</v>
      </c>
      <c r="B137" s="448" t="s">
        <v>526</v>
      </c>
      <c r="C137" s="168">
        <f>+C138+C139+C140+C141</f>
        <v>0</v>
      </c>
      <c r="D137" s="168">
        <f>+D138+D139+D140+D141</f>
        <v>0</v>
      </c>
      <c r="E137" s="168">
        <f>+E138+E139+E140+E141</f>
        <v>0</v>
      </c>
      <c r="F137" s="104">
        <f>+F138+F139+F140+F141</f>
        <v>0</v>
      </c>
    </row>
    <row r="138" spans="1:6" ht="12" customHeight="1">
      <c r="A138" s="13" t="s">
        <v>60</v>
      </c>
      <c r="B138" s="446" t="s">
        <v>364</v>
      </c>
      <c r="C138" s="169"/>
      <c r="D138" s="169"/>
      <c r="E138" s="169"/>
      <c r="F138" s="105"/>
    </row>
    <row r="139" spans="1:6" ht="12" customHeight="1">
      <c r="A139" s="13" t="s">
        <v>61</v>
      </c>
      <c r="B139" s="446" t="s">
        <v>527</v>
      </c>
      <c r="C139" s="169"/>
      <c r="D139" s="169"/>
      <c r="E139" s="169"/>
      <c r="F139" s="105"/>
    </row>
    <row r="140" spans="1:6" ht="12" customHeight="1">
      <c r="A140" s="13" t="s">
        <v>199</v>
      </c>
      <c r="B140" s="446" t="s">
        <v>356</v>
      </c>
      <c r="C140" s="169"/>
      <c r="D140" s="169"/>
      <c r="E140" s="169"/>
      <c r="F140" s="105"/>
    </row>
    <row r="141" spans="1:6" ht="12" customHeight="1" thickBot="1">
      <c r="A141" s="11" t="s">
        <v>200</v>
      </c>
      <c r="B141" s="449" t="s">
        <v>528</v>
      </c>
      <c r="C141" s="169"/>
      <c r="D141" s="169"/>
      <c r="E141" s="169"/>
      <c r="F141" s="105"/>
    </row>
    <row r="142" spans="1:6" ht="12" customHeight="1" thickBot="1">
      <c r="A142" s="18" t="s">
        <v>12</v>
      </c>
      <c r="B142" s="448" t="s">
        <v>529</v>
      </c>
      <c r="C142" s="174">
        <f>+C143+C144+C145+C146</f>
        <v>4376944</v>
      </c>
      <c r="D142" s="174">
        <f>+D143+D144+D145+D146</f>
        <v>4440354</v>
      </c>
      <c r="E142" s="174">
        <f>+E143+E144+E145+E146</f>
        <v>15647961</v>
      </c>
      <c r="F142" s="210">
        <f>+F143+F144+F145+F146</f>
        <v>15647961</v>
      </c>
    </row>
    <row r="143" spans="1:6" ht="12" customHeight="1">
      <c r="A143" s="13" t="s">
        <v>62</v>
      </c>
      <c r="B143" s="446" t="s">
        <v>282</v>
      </c>
      <c r="C143" s="169"/>
      <c r="D143" s="169"/>
      <c r="E143" s="169"/>
      <c r="F143" s="105"/>
    </row>
    <row r="144" spans="1:6" ht="12" customHeight="1">
      <c r="A144" s="13" t="s">
        <v>63</v>
      </c>
      <c r="B144" s="446" t="s">
        <v>283</v>
      </c>
      <c r="C144" s="169">
        <v>4376944</v>
      </c>
      <c r="D144" s="257">
        <v>4440354</v>
      </c>
      <c r="E144" s="169">
        <v>15647961</v>
      </c>
      <c r="F144" s="105">
        <v>15647961</v>
      </c>
    </row>
    <row r="145" spans="1:6" ht="12" customHeight="1">
      <c r="A145" s="13" t="s">
        <v>211</v>
      </c>
      <c r="B145" s="446" t="s">
        <v>530</v>
      </c>
      <c r="C145" s="169"/>
      <c r="D145" s="169"/>
      <c r="E145" s="169"/>
      <c r="F145" s="105"/>
    </row>
    <row r="146" spans="1:6" ht="12" customHeight="1" thickBot="1">
      <c r="A146" s="11" t="s">
        <v>212</v>
      </c>
      <c r="B146" s="449" t="s">
        <v>299</v>
      </c>
      <c r="C146" s="169"/>
      <c r="D146" s="169"/>
      <c r="E146" s="169"/>
      <c r="F146" s="105"/>
    </row>
    <row r="147" spans="1:10" ht="15" customHeight="1" thickBot="1">
      <c r="A147" s="18" t="s">
        <v>13</v>
      </c>
      <c r="B147" s="448" t="s">
        <v>531</v>
      </c>
      <c r="C147" s="248">
        <f>+C148+C149+C150+C151</f>
        <v>0</v>
      </c>
      <c r="D147" s="248"/>
      <c r="E147" s="248">
        <f>+E148+E149+E150+E151</f>
        <v>0</v>
      </c>
      <c r="F147" s="242">
        <f>+F148+F149+F150+F151</f>
        <v>0</v>
      </c>
      <c r="G147" s="191"/>
      <c r="H147" s="192"/>
      <c r="I147" s="192"/>
      <c r="J147" s="192"/>
    </row>
    <row r="148" spans="1:6" s="180" customFormat="1" ht="12.75" customHeight="1">
      <c r="A148" s="13" t="s">
        <v>122</v>
      </c>
      <c r="B148" s="446" t="s">
        <v>532</v>
      </c>
      <c r="C148" s="169"/>
      <c r="D148" s="169"/>
      <c r="E148" s="169"/>
      <c r="F148" s="105"/>
    </row>
    <row r="149" spans="1:6" ht="13.5" customHeight="1">
      <c r="A149" s="13" t="s">
        <v>123</v>
      </c>
      <c r="B149" s="446" t="s">
        <v>533</v>
      </c>
      <c r="C149" s="169"/>
      <c r="D149" s="169"/>
      <c r="E149" s="169"/>
      <c r="F149" s="105"/>
    </row>
    <row r="150" spans="1:6" ht="13.5" customHeight="1">
      <c r="A150" s="13" t="s">
        <v>146</v>
      </c>
      <c r="B150" s="446" t="s">
        <v>534</v>
      </c>
      <c r="C150" s="169"/>
      <c r="D150" s="169"/>
      <c r="E150" s="169"/>
      <c r="F150" s="105"/>
    </row>
    <row r="151" spans="1:6" ht="13.5" customHeight="1" thickBot="1">
      <c r="A151" s="13" t="s">
        <v>214</v>
      </c>
      <c r="B151" s="446" t="s">
        <v>535</v>
      </c>
      <c r="C151" s="169"/>
      <c r="D151" s="169"/>
      <c r="E151" s="169"/>
      <c r="F151" s="105"/>
    </row>
    <row r="152" spans="1:6" ht="12.75" customHeight="1" thickBot="1">
      <c r="A152" s="18" t="s">
        <v>14</v>
      </c>
      <c r="B152" s="448" t="s">
        <v>536</v>
      </c>
      <c r="C152" s="250">
        <f>+C133+C137+C142+C147</f>
        <v>4376944</v>
      </c>
      <c r="D152" s="250">
        <f>+D133+D137+D142+D147</f>
        <v>4440354</v>
      </c>
      <c r="E152" s="250">
        <f>+E133+E137+E142+E147</f>
        <v>15647961</v>
      </c>
      <c r="F152" s="244">
        <f>+F133+F137+F142+F147</f>
        <v>15647961</v>
      </c>
    </row>
    <row r="153" spans="1:6" ht="13.5" customHeight="1" thickBot="1">
      <c r="A153" s="114" t="s">
        <v>15</v>
      </c>
      <c r="B153" s="450" t="s">
        <v>537</v>
      </c>
      <c r="C153" s="250">
        <f>+C132+C152</f>
        <v>581402994</v>
      </c>
      <c r="D153" s="250">
        <f>+D132+D152</f>
        <v>605639826</v>
      </c>
      <c r="E153" s="250">
        <f>+E132+E152</f>
        <v>717161267</v>
      </c>
      <c r="F153" s="244">
        <f>+F132+F152</f>
        <v>537895782</v>
      </c>
    </row>
    <row r="154" spans="3:5" ht="13.5" customHeight="1">
      <c r="C154" s="647"/>
      <c r="D154" s="647"/>
      <c r="E154" s="647">
        <f>E92-E153</f>
        <v>0</v>
      </c>
    </row>
    <row r="155" ht="13.5" customHeight="1"/>
    <row r="156" ht="7.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/>
  <mergeCells count="13">
    <mergeCell ref="A93:F93"/>
    <mergeCell ref="A95:A96"/>
    <mergeCell ref="B95:B96"/>
    <mergeCell ref="C95:C96"/>
    <mergeCell ref="D95:F95"/>
    <mergeCell ref="A1:F1"/>
    <mergeCell ref="A2:F2"/>
    <mergeCell ref="A3:F3"/>
    <mergeCell ref="A4:F4"/>
    <mergeCell ref="A6:A7"/>
    <mergeCell ref="D6:F6"/>
    <mergeCell ref="B6:B7"/>
    <mergeCell ref="C6:C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6" r:id="rId1"/>
  <rowBreaks count="1" manualBreakCount="1">
    <brk id="92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J2" sqref="J2"/>
    </sheetView>
  </sheetViews>
  <sheetFormatPr defaultColWidth="9.375" defaultRowHeight="12.75"/>
  <cols>
    <col min="1" max="1" width="6.75390625" style="28" customWidth="1"/>
    <col min="2" max="2" width="32.375" style="27" customWidth="1"/>
    <col min="3" max="3" width="17.00390625" style="27" customWidth="1"/>
    <col min="4" max="9" width="12.75390625" style="27" customWidth="1"/>
    <col min="10" max="10" width="13.75390625" style="27" customWidth="1"/>
    <col min="11" max="11" width="4.00390625" style="27" customWidth="1"/>
    <col min="12" max="16384" width="9.375" style="27" customWidth="1"/>
  </cols>
  <sheetData>
    <row r="1" spans="1:10" ht="15">
      <c r="A1" s="863" t="s">
        <v>636</v>
      </c>
      <c r="B1" s="944"/>
      <c r="C1" s="944"/>
      <c r="D1" s="944"/>
      <c r="E1" s="944"/>
      <c r="F1" s="944"/>
      <c r="G1" s="944"/>
      <c r="H1" s="944"/>
      <c r="I1" s="944"/>
      <c r="J1" s="944"/>
    </row>
    <row r="2" spans="1:11" ht="14.25" thickBot="1">
      <c r="A2" s="395"/>
      <c r="B2" s="396"/>
      <c r="C2" s="396"/>
      <c r="D2" s="396"/>
      <c r="E2" s="396"/>
      <c r="F2" s="396"/>
      <c r="G2" s="396"/>
      <c r="H2" s="396"/>
      <c r="I2" s="396"/>
      <c r="J2" s="404" t="str">
        <f>'24'!F5</f>
        <v>Forintban</v>
      </c>
      <c r="K2" s="862" t="str">
        <f>CONCATENATE("25. melléklet ",Z_ALAPADATOK!A7," ",Z_ALAPADATOK!B7," ",Z_ALAPADATOK!C7," ",Z_ALAPADATOK!D7," ",Z_ALAPADATOK!E7," ",Z_ALAPADATOK!F7," ",Z_ALAPADATOK!G7," ",Z_ALAPADATOK!H7)</f>
        <v>25. melléklet a  / 2023. ( V…... ) önkormányzati rendelethez</v>
      </c>
    </row>
    <row r="3" spans="1:11" s="454" customFormat="1" ht="26.25" customHeight="1">
      <c r="A3" s="945" t="s">
        <v>52</v>
      </c>
      <c r="B3" s="947" t="s">
        <v>538</v>
      </c>
      <c r="C3" s="947" t="s">
        <v>539</v>
      </c>
      <c r="D3" s="947" t="s">
        <v>540</v>
      </c>
      <c r="E3" s="947" t="s">
        <v>713</v>
      </c>
      <c r="F3" s="451" t="s">
        <v>541</v>
      </c>
      <c r="G3" s="452"/>
      <c r="H3" s="452"/>
      <c r="I3" s="453"/>
      <c r="J3" s="950" t="s">
        <v>542</v>
      </c>
      <c r="K3" s="862"/>
    </row>
    <row r="4" spans="1:11" s="457" customFormat="1" ht="32.25" customHeight="1" thickBot="1">
      <c r="A4" s="946"/>
      <c r="B4" s="948"/>
      <c r="C4" s="948"/>
      <c r="D4" s="949"/>
      <c r="E4" s="949"/>
      <c r="F4" s="455" t="s">
        <v>687</v>
      </c>
      <c r="G4" s="455" t="s">
        <v>714</v>
      </c>
      <c r="H4" s="455" t="s">
        <v>715</v>
      </c>
      <c r="I4" s="456" t="s">
        <v>716</v>
      </c>
      <c r="J4" s="951"/>
      <c r="K4" s="862"/>
    </row>
    <row r="5" spans="1:11" s="462" customFormat="1" ht="13.5" customHeight="1" thickBot="1">
      <c r="A5" s="458" t="s">
        <v>389</v>
      </c>
      <c r="B5" s="459" t="s">
        <v>543</v>
      </c>
      <c r="C5" s="460" t="s">
        <v>391</v>
      </c>
      <c r="D5" s="460" t="s">
        <v>393</v>
      </c>
      <c r="E5" s="460" t="s">
        <v>392</v>
      </c>
      <c r="F5" s="460" t="s">
        <v>394</v>
      </c>
      <c r="G5" s="460" t="s">
        <v>395</v>
      </c>
      <c r="H5" s="460" t="s">
        <v>396</v>
      </c>
      <c r="I5" s="460" t="s">
        <v>427</v>
      </c>
      <c r="J5" s="461" t="s">
        <v>544</v>
      </c>
      <c r="K5" s="862"/>
    </row>
    <row r="6" spans="1:11" ht="33.75" customHeight="1">
      <c r="A6" s="463" t="s">
        <v>6</v>
      </c>
      <c r="B6" s="464" t="s">
        <v>545</v>
      </c>
      <c r="C6" s="465"/>
      <c r="D6" s="466">
        <f aca="true" t="shared" si="0" ref="D6:I6">SUM(D7:D8)</f>
        <v>0</v>
      </c>
      <c r="E6" s="466">
        <f t="shared" si="0"/>
        <v>0</v>
      </c>
      <c r="F6" s="466">
        <f t="shared" si="0"/>
        <v>0</v>
      </c>
      <c r="G6" s="466">
        <f t="shared" si="0"/>
        <v>0</v>
      </c>
      <c r="H6" s="466">
        <f t="shared" si="0"/>
        <v>0</v>
      </c>
      <c r="I6" s="467">
        <f t="shared" si="0"/>
        <v>0</v>
      </c>
      <c r="J6" s="468">
        <f aca="true" t="shared" si="1" ref="J6:J18">SUM(F6:I6)</f>
        <v>0</v>
      </c>
      <c r="K6" s="862"/>
    </row>
    <row r="7" spans="1:11" ht="21" customHeight="1">
      <c r="A7" s="469" t="s">
        <v>7</v>
      </c>
      <c r="B7" s="470" t="s">
        <v>546</v>
      </c>
      <c r="C7" s="471"/>
      <c r="D7" s="21"/>
      <c r="E7" s="21"/>
      <c r="F7" s="21"/>
      <c r="G7" s="21"/>
      <c r="H7" s="21"/>
      <c r="I7" s="472"/>
      <c r="J7" s="473">
        <f t="shared" si="1"/>
        <v>0</v>
      </c>
      <c r="K7" s="862"/>
    </row>
    <row r="8" spans="1:11" ht="21" customHeight="1">
      <c r="A8" s="469" t="s">
        <v>8</v>
      </c>
      <c r="B8" s="470" t="s">
        <v>546</v>
      </c>
      <c r="C8" s="471"/>
      <c r="D8" s="21"/>
      <c r="E8" s="21"/>
      <c r="F8" s="21"/>
      <c r="G8" s="21"/>
      <c r="H8" s="21"/>
      <c r="I8" s="472"/>
      <c r="J8" s="473">
        <f t="shared" si="1"/>
        <v>0</v>
      </c>
      <c r="K8" s="862"/>
    </row>
    <row r="9" spans="1:11" ht="33" customHeight="1">
      <c r="A9" s="469" t="s">
        <v>9</v>
      </c>
      <c r="B9" s="474" t="s">
        <v>547</v>
      </c>
      <c r="C9" s="475"/>
      <c r="D9" s="476">
        <f aca="true" t="shared" si="2" ref="D9:I9">SUM(D10:D11)</f>
        <v>0</v>
      </c>
      <c r="E9" s="476">
        <f t="shared" si="2"/>
        <v>0</v>
      </c>
      <c r="F9" s="476">
        <f t="shared" si="2"/>
        <v>0</v>
      </c>
      <c r="G9" s="476">
        <f t="shared" si="2"/>
        <v>0</v>
      </c>
      <c r="H9" s="476">
        <f t="shared" si="2"/>
        <v>0</v>
      </c>
      <c r="I9" s="477">
        <f t="shared" si="2"/>
        <v>0</v>
      </c>
      <c r="J9" s="478">
        <f t="shared" si="1"/>
        <v>0</v>
      </c>
      <c r="K9" s="862"/>
    </row>
    <row r="10" spans="1:11" ht="21" customHeight="1">
      <c r="A10" s="469" t="s">
        <v>10</v>
      </c>
      <c r="B10" s="470" t="s">
        <v>546</v>
      </c>
      <c r="C10" s="471"/>
      <c r="D10" s="21"/>
      <c r="E10" s="21"/>
      <c r="F10" s="21"/>
      <c r="G10" s="21"/>
      <c r="H10" s="21"/>
      <c r="I10" s="472"/>
      <c r="J10" s="473">
        <f t="shared" si="1"/>
        <v>0</v>
      </c>
      <c r="K10" s="862"/>
    </row>
    <row r="11" spans="1:11" ht="18" customHeight="1">
      <c r="A11" s="469" t="s">
        <v>11</v>
      </c>
      <c r="B11" s="470" t="s">
        <v>546</v>
      </c>
      <c r="C11" s="471"/>
      <c r="D11" s="21"/>
      <c r="E11" s="21"/>
      <c r="F11" s="21"/>
      <c r="G11" s="21"/>
      <c r="H11" s="21"/>
      <c r="I11" s="472"/>
      <c r="J11" s="473">
        <f t="shared" si="1"/>
        <v>0</v>
      </c>
      <c r="K11" s="862"/>
    </row>
    <row r="12" spans="1:11" ht="21" customHeight="1">
      <c r="A12" s="469" t="s">
        <v>12</v>
      </c>
      <c r="B12" s="479" t="s">
        <v>548</v>
      </c>
      <c r="C12" s="475"/>
      <c r="D12" s="476">
        <f aca="true" t="shared" si="3" ref="D12:I12">SUM(D13:D13)</f>
        <v>0</v>
      </c>
      <c r="E12" s="476">
        <f t="shared" si="3"/>
        <v>0</v>
      </c>
      <c r="F12" s="476">
        <f t="shared" si="3"/>
        <v>0</v>
      </c>
      <c r="G12" s="476">
        <f t="shared" si="3"/>
        <v>0</v>
      </c>
      <c r="H12" s="476">
        <f t="shared" si="3"/>
        <v>0</v>
      </c>
      <c r="I12" s="477">
        <f t="shared" si="3"/>
        <v>0</v>
      </c>
      <c r="J12" s="478">
        <f t="shared" si="1"/>
        <v>0</v>
      </c>
      <c r="K12" s="862"/>
    </row>
    <row r="13" spans="1:11" ht="21" customHeight="1">
      <c r="A13" s="469" t="s">
        <v>13</v>
      </c>
      <c r="B13" s="470" t="s">
        <v>546</v>
      </c>
      <c r="C13" s="471"/>
      <c r="D13" s="21"/>
      <c r="E13" s="21"/>
      <c r="F13" s="21"/>
      <c r="G13" s="21"/>
      <c r="H13" s="21"/>
      <c r="I13" s="472"/>
      <c r="J13" s="473">
        <f t="shared" si="1"/>
        <v>0</v>
      </c>
      <c r="K13" s="862"/>
    </row>
    <row r="14" spans="1:11" ht="21" customHeight="1">
      <c r="A14" s="469" t="s">
        <v>14</v>
      </c>
      <c r="B14" s="479" t="s">
        <v>549</v>
      </c>
      <c r="C14" s="475"/>
      <c r="D14" s="476">
        <f aca="true" t="shared" si="4" ref="D14:I14">SUM(D15:D15)</f>
        <v>0</v>
      </c>
      <c r="E14" s="476">
        <f t="shared" si="4"/>
        <v>0</v>
      </c>
      <c r="F14" s="476">
        <f t="shared" si="4"/>
        <v>0</v>
      </c>
      <c r="G14" s="476">
        <f t="shared" si="4"/>
        <v>0</v>
      </c>
      <c r="H14" s="476">
        <f t="shared" si="4"/>
        <v>0</v>
      </c>
      <c r="I14" s="477">
        <f t="shared" si="4"/>
        <v>0</v>
      </c>
      <c r="J14" s="478">
        <f t="shared" si="1"/>
        <v>0</v>
      </c>
      <c r="K14" s="862"/>
    </row>
    <row r="15" spans="1:11" ht="21" customHeight="1">
      <c r="A15" s="469" t="s">
        <v>15</v>
      </c>
      <c r="B15" s="470" t="s">
        <v>546</v>
      </c>
      <c r="C15" s="471"/>
      <c r="D15" s="21"/>
      <c r="E15" s="21"/>
      <c r="F15" s="21"/>
      <c r="G15" s="21"/>
      <c r="H15" s="21"/>
      <c r="I15" s="472"/>
      <c r="J15" s="473">
        <f t="shared" si="1"/>
        <v>0</v>
      </c>
      <c r="K15" s="862"/>
    </row>
    <row r="16" spans="1:11" ht="21" customHeight="1">
      <c r="A16" s="480" t="s">
        <v>16</v>
      </c>
      <c r="B16" s="481" t="s">
        <v>550</v>
      </c>
      <c r="C16" s="482"/>
      <c r="D16" s="483">
        <f aca="true" t="shared" si="5" ref="D16:I16">SUM(D17:D18)</f>
        <v>0</v>
      </c>
      <c r="E16" s="483">
        <f t="shared" si="5"/>
        <v>0</v>
      </c>
      <c r="F16" s="483">
        <f t="shared" si="5"/>
        <v>0</v>
      </c>
      <c r="G16" s="483">
        <f t="shared" si="5"/>
        <v>0</v>
      </c>
      <c r="H16" s="483">
        <f t="shared" si="5"/>
        <v>0</v>
      </c>
      <c r="I16" s="484">
        <f t="shared" si="5"/>
        <v>0</v>
      </c>
      <c r="J16" s="478">
        <f t="shared" si="1"/>
        <v>0</v>
      </c>
      <c r="K16" s="862"/>
    </row>
    <row r="17" spans="1:11" ht="21" customHeight="1">
      <c r="A17" s="480" t="s">
        <v>17</v>
      </c>
      <c r="B17" s="470" t="s">
        <v>546</v>
      </c>
      <c r="C17" s="471"/>
      <c r="D17" s="21"/>
      <c r="E17" s="21"/>
      <c r="F17" s="21"/>
      <c r="G17" s="21"/>
      <c r="H17" s="21"/>
      <c r="I17" s="472"/>
      <c r="J17" s="473">
        <f t="shared" si="1"/>
        <v>0</v>
      </c>
      <c r="K17" s="862"/>
    </row>
    <row r="18" spans="1:11" ht="21" customHeight="1" thickBot="1">
      <c r="A18" s="480" t="s">
        <v>18</v>
      </c>
      <c r="B18" s="470" t="s">
        <v>546</v>
      </c>
      <c r="C18" s="485"/>
      <c r="D18" s="486"/>
      <c r="E18" s="486"/>
      <c r="F18" s="486"/>
      <c r="G18" s="486"/>
      <c r="H18" s="486"/>
      <c r="I18" s="487"/>
      <c r="J18" s="473">
        <f t="shared" si="1"/>
        <v>0</v>
      </c>
      <c r="K18" s="862"/>
    </row>
    <row r="19" spans="1:11" ht="21" customHeight="1" thickBot="1">
      <c r="A19" s="488" t="s">
        <v>19</v>
      </c>
      <c r="B19" s="489" t="s">
        <v>551</v>
      </c>
      <c r="C19" s="490"/>
      <c r="D19" s="491">
        <f aca="true" t="shared" si="6" ref="D19:J19">D6+D9+D12+D14+D16</f>
        <v>0</v>
      </c>
      <c r="E19" s="491">
        <f t="shared" si="6"/>
        <v>0</v>
      </c>
      <c r="F19" s="491">
        <f t="shared" si="6"/>
        <v>0</v>
      </c>
      <c r="G19" s="491">
        <f t="shared" si="6"/>
        <v>0</v>
      </c>
      <c r="H19" s="491">
        <f t="shared" si="6"/>
        <v>0</v>
      </c>
      <c r="I19" s="492">
        <f t="shared" si="6"/>
        <v>0</v>
      </c>
      <c r="J19" s="493">
        <f t="shared" si="6"/>
        <v>0</v>
      </c>
      <c r="K19" s="862"/>
    </row>
  </sheetData>
  <sheetProtection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="120" zoomScaleNormal="120" workbookViewId="0" topLeftCell="A1">
      <selection activeCell="H18" sqref="H18"/>
    </sheetView>
  </sheetViews>
  <sheetFormatPr defaultColWidth="9.375" defaultRowHeight="12.75"/>
  <cols>
    <col min="1" max="1" width="6.75390625" style="28" customWidth="1"/>
    <col min="2" max="2" width="50.375" style="27" customWidth="1"/>
    <col min="3" max="4" width="12.75390625" style="27" customWidth="1"/>
    <col min="5" max="5" width="14.75390625" style="27" customWidth="1"/>
    <col min="6" max="6" width="13.75390625" style="27" customWidth="1"/>
    <col min="7" max="7" width="15.50390625" style="27" customWidth="1"/>
    <col min="8" max="8" width="16.75390625" style="27" customWidth="1"/>
    <col min="9" max="9" width="5.625" style="27" customWidth="1"/>
    <col min="10" max="16384" width="9.375" style="27" customWidth="1"/>
  </cols>
  <sheetData>
    <row r="1" spans="1:8" ht="17.25" customHeight="1">
      <c r="A1" s="863" t="s">
        <v>662</v>
      </c>
      <c r="B1" s="944"/>
      <c r="C1" s="944"/>
      <c r="D1" s="944"/>
      <c r="E1" s="944"/>
      <c r="F1" s="944"/>
      <c r="G1" s="944"/>
      <c r="H1" s="944"/>
    </row>
    <row r="2" spans="1:8" ht="12.75">
      <c r="A2" s="395"/>
      <c r="B2" s="396"/>
      <c r="C2" s="396"/>
      <c r="D2" s="396"/>
      <c r="E2" s="396"/>
      <c r="F2" s="396"/>
      <c r="G2" s="396"/>
      <c r="H2" s="396"/>
    </row>
    <row r="3" spans="1:9" s="494" customFormat="1" ht="14.25" thickBot="1">
      <c r="A3" s="606"/>
      <c r="B3" s="394"/>
      <c r="C3" s="394"/>
      <c r="D3" s="394"/>
      <c r="E3" s="394"/>
      <c r="F3" s="394"/>
      <c r="G3" s="394"/>
      <c r="H3" s="404" t="str">
        <f>'25'!J2</f>
        <v>Forintban</v>
      </c>
      <c r="I3" s="952" t="str">
        <f>CONCATENATE("26. melléklet ",Z_ALAPADATOK!A7," ",Z_ALAPADATOK!B7," ",Z_ALAPADATOK!C7," ",Z_ALAPADATOK!D7," ",Z_ALAPADATOK!E7," ",Z_ALAPADATOK!F7," ",Z_ALAPADATOK!G7," ",Z_ALAPADATOK!H7)</f>
        <v>26. melléklet a  / 2023. ( V…... ) önkormányzati rendelethez</v>
      </c>
    </row>
    <row r="4" spans="1:9" s="454" customFormat="1" ht="26.25" customHeight="1">
      <c r="A4" s="953" t="s">
        <v>52</v>
      </c>
      <c r="B4" s="955" t="s">
        <v>552</v>
      </c>
      <c r="C4" s="953" t="s">
        <v>553</v>
      </c>
      <c r="D4" s="953" t="s">
        <v>554</v>
      </c>
      <c r="E4" s="957" t="s">
        <v>719</v>
      </c>
      <c r="F4" s="959" t="s">
        <v>555</v>
      </c>
      <c r="G4" s="960"/>
      <c r="H4" s="961" t="s">
        <v>720</v>
      </c>
      <c r="I4" s="952"/>
    </row>
    <row r="5" spans="1:9" s="457" customFormat="1" ht="40.5" customHeight="1" thickBot="1">
      <c r="A5" s="954"/>
      <c r="B5" s="956"/>
      <c r="C5" s="956"/>
      <c r="D5" s="954"/>
      <c r="E5" s="958"/>
      <c r="F5" s="607" t="s">
        <v>687</v>
      </c>
      <c r="G5" s="607" t="s">
        <v>714</v>
      </c>
      <c r="H5" s="962"/>
      <c r="I5" s="952"/>
    </row>
    <row r="6" spans="1:9" s="495" customFormat="1" ht="12.75" customHeight="1" thickBot="1">
      <c r="A6" s="608" t="s">
        <v>389</v>
      </c>
      <c r="B6" s="609" t="s">
        <v>390</v>
      </c>
      <c r="C6" s="609" t="s">
        <v>391</v>
      </c>
      <c r="D6" s="610" t="s">
        <v>393</v>
      </c>
      <c r="E6" s="608" t="s">
        <v>392</v>
      </c>
      <c r="F6" s="610" t="s">
        <v>394</v>
      </c>
      <c r="G6" s="610" t="s">
        <v>395</v>
      </c>
      <c r="H6" s="365" t="s">
        <v>396</v>
      </c>
      <c r="I6" s="952"/>
    </row>
    <row r="7" spans="1:9" ht="22.5" customHeight="1" thickBot="1">
      <c r="A7" s="496" t="s">
        <v>6</v>
      </c>
      <c r="B7" s="497" t="s">
        <v>556</v>
      </c>
      <c r="C7" s="498"/>
      <c r="D7" s="499"/>
      <c r="E7" s="500">
        <f>SUM(E8:E13)</f>
        <v>1420000</v>
      </c>
      <c r="F7" s="501">
        <f>SUM(F8:F13)</f>
        <v>1089600</v>
      </c>
      <c r="G7" s="501">
        <f>SUM(G8:G13)</f>
        <v>780000</v>
      </c>
      <c r="H7" s="502">
        <f>SUM(H8:H13)</f>
        <v>532800</v>
      </c>
      <c r="I7" s="952"/>
    </row>
    <row r="8" spans="1:9" ht="22.5" customHeight="1">
      <c r="A8" s="503" t="s">
        <v>7</v>
      </c>
      <c r="B8" s="504" t="s">
        <v>793</v>
      </c>
      <c r="C8" s="738">
        <v>2017</v>
      </c>
      <c r="D8" s="739">
        <v>2024</v>
      </c>
      <c r="E8" s="506">
        <v>124800</v>
      </c>
      <c r="F8" s="21">
        <v>62400</v>
      </c>
      <c r="G8" s="21">
        <v>0</v>
      </c>
      <c r="H8" s="507"/>
      <c r="I8" s="952"/>
    </row>
    <row r="9" spans="1:9" ht="22.5" customHeight="1">
      <c r="A9" s="503" t="s">
        <v>8</v>
      </c>
      <c r="B9" s="504" t="s">
        <v>793</v>
      </c>
      <c r="C9" s="738">
        <v>2017</v>
      </c>
      <c r="D9" s="739">
        <v>2024</v>
      </c>
      <c r="E9" s="506">
        <v>20000</v>
      </c>
      <c r="F9" s="21"/>
      <c r="G9" s="21"/>
      <c r="H9" s="507"/>
      <c r="I9" s="952"/>
    </row>
    <row r="10" spans="1:9" ht="22.5" customHeight="1">
      <c r="A10" s="503" t="s">
        <v>9</v>
      </c>
      <c r="B10" s="504" t="s">
        <v>793</v>
      </c>
      <c r="C10" s="738">
        <v>2019</v>
      </c>
      <c r="D10" s="739">
        <v>2026</v>
      </c>
      <c r="E10" s="506">
        <v>249600</v>
      </c>
      <c r="F10" s="21">
        <v>187200</v>
      </c>
      <c r="G10" s="21">
        <v>124800</v>
      </c>
      <c r="H10" s="507">
        <v>62400</v>
      </c>
      <c r="I10" s="952"/>
    </row>
    <row r="11" spans="1:9" ht="22.5" customHeight="1">
      <c r="A11" s="503" t="s">
        <v>10</v>
      </c>
      <c r="B11" s="504" t="s">
        <v>793</v>
      </c>
      <c r="C11" s="738">
        <v>2019</v>
      </c>
      <c r="D11" s="739">
        <v>2026</v>
      </c>
      <c r="E11" s="506">
        <v>255600</v>
      </c>
      <c r="F11" s="21">
        <v>193200</v>
      </c>
      <c r="G11" s="21">
        <v>130800</v>
      </c>
      <c r="H11" s="507">
        <v>68400</v>
      </c>
      <c r="I11" s="952"/>
    </row>
    <row r="12" spans="1:9" ht="22.5" customHeight="1">
      <c r="A12" s="503" t="s">
        <v>11</v>
      </c>
      <c r="B12" s="504" t="s">
        <v>793</v>
      </c>
      <c r="C12" s="740">
        <v>2020</v>
      </c>
      <c r="D12" s="741">
        <v>2027</v>
      </c>
      <c r="E12" s="506">
        <v>270000</v>
      </c>
      <c r="F12" s="21">
        <v>210000</v>
      </c>
      <c r="G12" s="21">
        <v>150000</v>
      </c>
      <c r="H12" s="507">
        <v>90000</v>
      </c>
      <c r="I12" s="952"/>
    </row>
    <row r="13" spans="1:9" ht="22.5" customHeight="1" thickBot="1">
      <c r="A13" s="503" t="s">
        <v>12</v>
      </c>
      <c r="B13" s="504" t="s">
        <v>793</v>
      </c>
      <c r="C13" s="505">
        <v>2022</v>
      </c>
      <c r="D13" s="505">
        <v>2025</v>
      </c>
      <c r="E13" s="506">
        <v>500000</v>
      </c>
      <c r="F13" s="21">
        <v>436800</v>
      </c>
      <c r="G13" s="21">
        <v>374400</v>
      </c>
      <c r="H13" s="507">
        <v>312000</v>
      </c>
      <c r="I13" s="952"/>
    </row>
    <row r="14" spans="1:9" ht="22.5" customHeight="1" thickBot="1">
      <c r="A14" s="496" t="s">
        <v>13</v>
      </c>
      <c r="B14" s="497" t="s">
        <v>557</v>
      </c>
      <c r="C14" s="508"/>
      <c r="D14" s="509"/>
      <c r="E14" s="500">
        <f>SUM(E15:E17)</f>
        <v>0</v>
      </c>
      <c r="F14" s="501">
        <f>SUM(F15:F17)</f>
        <v>0</v>
      </c>
      <c r="G14" s="501">
        <f>SUM(G15:G17)</f>
        <v>0</v>
      </c>
      <c r="H14" s="502">
        <f>SUM(H15:H17)</f>
        <v>0</v>
      </c>
      <c r="I14" s="952"/>
    </row>
    <row r="15" spans="1:9" ht="22.5" customHeight="1">
      <c r="A15" s="503" t="s">
        <v>14</v>
      </c>
      <c r="B15" s="742"/>
      <c r="C15" s="743"/>
      <c r="D15" s="744"/>
      <c r="E15" s="506"/>
      <c r="F15" s="21"/>
      <c r="G15" s="21"/>
      <c r="H15" s="507"/>
      <c r="I15" s="952"/>
    </row>
    <row r="16" spans="1:9" ht="22.5" customHeight="1">
      <c r="A16" s="503" t="s">
        <v>15</v>
      </c>
      <c r="B16" s="742"/>
      <c r="C16" s="743"/>
      <c r="D16" s="738"/>
      <c r="E16" s="506"/>
      <c r="F16" s="21"/>
      <c r="G16" s="21"/>
      <c r="H16" s="507"/>
      <c r="I16" s="952"/>
    </row>
    <row r="17" spans="1:9" ht="22.5" customHeight="1" thickBot="1">
      <c r="A17" s="503" t="s">
        <v>16</v>
      </c>
      <c r="B17" s="745"/>
      <c r="C17" s="743"/>
      <c r="D17" s="738"/>
      <c r="E17" s="506"/>
      <c r="F17" s="21"/>
      <c r="G17" s="21"/>
      <c r="H17" s="507"/>
      <c r="I17" s="952"/>
    </row>
    <row r="18" spans="1:9" ht="22.5" customHeight="1" thickBot="1">
      <c r="A18" s="496" t="s">
        <v>20</v>
      </c>
      <c r="B18" s="497" t="s">
        <v>558</v>
      </c>
      <c r="C18" s="498"/>
      <c r="D18" s="499"/>
      <c r="E18" s="500">
        <f>E7+E14</f>
        <v>1420000</v>
      </c>
      <c r="F18" s="501">
        <f>F7+F14</f>
        <v>1089600</v>
      </c>
      <c r="G18" s="501">
        <f>G7+G14</f>
        <v>780000</v>
      </c>
      <c r="H18" s="502">
        <f>H7+H14</f>
        <v>532800</v>
      </c>
      <c r="I18" s="952"/>
    </row>
    <row r="19" ht="19.5" customHeight="1"/>
  </sheetData>
  <sheetProtection/>
  <mergeCells count="9">
    <mergeCell ref="A1:H1"/>
    <mergeCell ref="I3:I18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8"/>
  <sheetViews>
    <sheetView zoomScale="120" zoomScaleNormal="120" zoomScaleSheetLayoutView="100" workbookViewId="0" topLeftCell="A138">
      <selection activeCell="G155" sqref="G155"/>
    </sheetView>
  </sheetViews>
  <sheetFormatPr defaultColWidth="9.375" defaultRowHeight="12.75"/>
  <cols>
    <col min="1" max="1" width="9.50390625" style="156" customWidth="1"/>
    <col min="2" max="2" width="65.75390625" style="156" customWidth="1"/>
    <col min="3" max="3" width="17.75390625" style="157" customWidth="1"/>
    <col min="4" max="5" width="17.75390625" style="178" customWidth="1"/>
    <col min="6" max="16384" width="9.375" style="178" customWidth="1"/>
  </cols>
  <sheetData>
    <row r="1" spans="1:5" ht="15">
      <c r="A1" s="372"/>
      <c r="B1" s="848" t="str">
        <f>CONCATENATE("1. melléklet ",Z_ALAPADATOK!A7," ",Z_ALAPADATOK!B7," ",Z_ALAPADATOK!C7," ",Z_ALAPADATOK!D7," ",Z_ALAPADATOK!E7," ",Z_ALAPADATOK!F7," ",Z_ALAPADATOK!G7," ",Z_ALAPADATOK!H7)</f>
        <v>1. melléklet a  / 2023. ( V…... ) önkormányzati rendelethez</v>
      </c>
      <c r="C1" s="849"/>
      <c r="D1" s="849"/>
      <c r="E1" s="849"/>
    </row>
    <row r="2" spans="1:5" ht="15">
      <c r="A2" s="850" t="str">
        <f>CONCATENATE(Z_ALAPADATOK!A3)</f>
        <v>Balatonvilágos Község Önkormányzata</v>
      </c>
      <c r="B2" s="851"/>
      <c r="C2" s="851"/>
      <c r="D2" s="851"/>
      <c r="E2" s="851"/>
    </row>
    <row r="3" spans="1:5" ht="15">
      <c r="A3" s="850" t="s">
        <v>685</v>
      </c>
      <c r="B3" s="850"/>
      <c r="C3" s="852"/>
      <c r="D3" s="850"/>
      <c r="E3" s="850"/>
    </row>
    <row r="4" spans="1:5" ht="12" customHeight="1">
      <c r="A4" s="850"/>
      <c r="B4" s="850"/>
      <c r="C4" s="852"/>
      <c r="D4" s="850"/>
      <c r="E4" s="850"/>
    </row>
    <row r="5" spans="1:5" ht="15">
      <c r="A5" s="372"/>
      <c r="B5" s="372"/>
      <c r="C5" s="373"/>
      <c r="D5" s="374"/>
      <c r="E5" s="374"/>
    </row>
    <row r="6" spans="1:5" ht="15.75" customHeight="1">
      <c r="A6" s="844" t="s">
        <v>3</v>
      </c>
      <c r="B6" s="844"/>
      <c r="C6" s="844"/>
      <c r="D6" s="844"/>
      <c r="E6" s="844"/>
    </row>
    <row r="7" spans="1:5" ht="15.75" customHeight="1" thickBot="1">
      <c r="A7" s="846" t="s">
        <v>102</v>
      </c>
      <c r="B7" s="846"/>
      <c r="C7" s="375"/>
      <c r="D7" s="374"/>
      <c r="E7" s="375" t="s">
        <v>495</v>
      </c>
    </row>
    <row r="8" spans="1:5" ht="15">
      <c r="A8" s="854" t="s">
        <v>52</v>
      </c>
      <c r="B8" s="856" t="s">
        <v>5</v>
      </c>
      <c r="C8" s="840" t="str">
        <f>+CONCATENATE(LEFT(Z_ÖSSZEFÜGGÉSEK!A6,4),". évi")</f>
        <v>2022. évi</v>
      </c>
      <c r="D8" s="841"/>
      <c r="E8" s="842"/>
    </row>
    <row r="9" spans="1:5" ht="23.25" thickBot="1">
      <c r="A9" s="855"/>
      <c r="B9" s="857"/>
      <c r="C9" s="252" t="s">
        <v>422</v>
      </c>
      <c r="D9" s="251" t="s">
        <v>423</v>
      </c>
      <c r="E9" s="361" t="str">
        <f>+CONCATENATE(LEFT(Z_ÖSSZEFÜGGÉSEK!A6,4),". XII. 31.",CHAR(10),"teljesítés")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124238073</v>
      </c>
      <c r="D11" s="168">
        <f>+D12+D13+D14+D15+D16+D17+D18</f>
        <v>153956476</v>
      </c>
      <c r="E11" s="168">
        <f>+E12+E13+E14+E15+E16+E17+E18</f>
        <v>153956476</v>
      </c>
    </row>
    <row r="12" spans="1:5" s="180" customFormat="1" ht="12" customHeight="1">
      <c r="A12" s="13" t="s">
        <v>64</v>
      </c>
      <c r="B12" s="181" t="s">
        <v>165</v>
      </c>
      <c r="C12" s="245">
        <v>34249830</v>
      </c>
      <c r="D12" s="256">
        <v>34249830</v>
      </c>
      <c r="E12" s="106">
        <v>34249830</v>
      </c>
    </row>
    <row r="13" spans="1:5" s="180" customFormat="1" ht="12" customHeight="1">
      <c r="A13" s="12" t="s">
        <v>65</v>
      </c>
      <c r="B13" s="182" t="s">
        <v>166</v>
      </c>
      <c r="C13" s="169">
        <v>44591080</v>
      </c>
      <c r="D13" s="257">
        <v>45864660</v>
      </c>
      <c r="E13" s="105">
        <v>45864660</v>
      </c>
    </row>
    <row r="14" spans="1:5" s="180" customFormat="1" ht="12" customHeight="1">
      <c r="A14" s="12" t="s">
        <v>66</v>
      </c>
      <c r="B14" s="182" t="s">
        <v>167</v>
      </c>
      <c r="C14" s="169">
        <v>10296930</v>
      </c>
      <c r="D14" s="257">
        <v>11814946</v>
      </c>
      <c r="E14" s="105">
        <v>11814946</v>
      </c>
    </row>
    <row r="15" spans="1:5" s="180" customFormat="1" ht="12" customHeight="1">
      <c r="A15" s="12" t="s">
        <v>67</v>
      </c>
      <c r="B15" s="182" t="s">
        <v>726</v>
      </c>
      <c r="C15" s="169">
        <v>27935896</v>
      </c>
      <c r="D15" s="257">
        <v>24358789</v>
      </c>
      <c r="E15" s="105">
        <v>24358789</v>
      </c>
    </row>
    <row r="16" spans="1:5" s="180" customFormat="1" ht="12" customHeight="1">
      <c r="A16" s="12" t="s">
        <v>99</v>
      </c>
      <c r="B16" s="182" t="s">
        <v>168</v>
      </c>
      <c r="C16" s="169">
        <v>3248684</v>
      </c>
      <c r="D16" s="257">
        <v>3248684</v>
      </c>
      <c r="E16" s="105">
        <v>3248684</v>
      </c>
    </row>
    <row r="17" spans="1:5" s="180" customFormat="1" ht="12" customHeight="1">
      <c r="A17" s="14" t="s">
        <v>68</v>
      </c>
      <c r="B17" s="182" t="s">
        <v>397</v>
      </c>
      <c r="C17" s="169">
        <v>3915653</v>
      </c>
      <c r="D17" s="258">
        <v>26065958</v>
      </c>
      <c r="E17" s="107">
        <v>26065958</v>
      </c>
    </row>
    <row r="18" spans="1:5" s="180" customFormat="1" ht="12" customHeight="1" thickBot="1">
      <c r="A18" s="14" t="s">
        <v>69</v>
      </c>
      <c r="B18" s="427" t="s">
        <v>727</v>
      </c>
      <c r="C18" s="730"/>
      <c r="D18" s="171">
        <v>8353609</v>
      </c>
      <c r="E18" s="107">
        <v>8353609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19409000</v>
      </c>
      <c r="D19" s="168">
        <f>+D20+D21+D22+D23+D24</f>
        <v>28001653</v>
      </c>
      <c r="E19" s="104">
        <f>+E20+E21+E22+E23+E24</f>
        <v>29107403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>
        <v>19409000</v>
      </c>
      <c r="D24" s="169">
        <v>28001653</v>
      </c>
      <c r="E24" s="105">
        <v>29107403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+C27+C28+C30+C31</f>
        <v>0</v>
      </c>
      <c r="D26" s="168">
        <f>+D27+D28+D30+D31</f>
        <v>22563364</v>
      </c>
      <c r="E26" s="168">
        <f>+E27+E28+E30+E31</f>
        <v>22563364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803"/>
      <c r="D29" s="803"/>
      <c r="E29" s="804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>
        <v>22563364</v>
      </c>
      <c r="E31" s="105">
        <v>22563364</v>
      </c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483</v>
      </c>
      <c r="C33" s="174">
        <f>SUM(C34:C41)</f>
        <v>181442270</v>
      </c>
      <c r="D33" s="174">
        <f>SUM(D34:D41)</f>
        <v>181442270</v>
      </c>
      <c r="E33" s="210">
        <f>SUM(E34:E41)</f>
        <v>251952188</v>
      </c>
    </row>
    <row r="34" spans="1:5" s="180" customFormat="1" ht="12" customHeight="1">
      <c r="A34" s="13" t="s">
        <v>179</v>
      </c>
      <c r="B34" s="181" t="s">
        <v>484</v>
      </c>
      <c r="C34" s="256">
        <v>127000000</v>
      </c>
      <c r="D34" s="256">
        <v>127000000</v>
      </c>
      <c r="E34" s="106">
        <v>137920864</v>
      </c>
    </row>
    <row r="35" spans="1:5" s="180" customFormat="1" ht="12" customHeight="1">
      <c r="A35" s="12" t="s">
        <v>180</v>
      </c>
      <c r="B35" s="181" t="s">
        <v>729</v>
      </c>
      <c r="C35" s="257">
        <v>10000000</v>
      </c>
      <c r="D35" s="257">
        <v>10000000</v>
      </c>
      <c r="E35" s="105">
        <v>15667834</v>
      </c>
    </row>
    <row r="36" spans="1:5" s="180" customFormat="1" ht="12" customHeight="1">
      <c r="A36" s="12" t="s">
        <v>181</v>
      </c>
      <c r="B36" s="182" t="s">
        <v>485</v>
      </c>
      <c r="C36" s="257">
        <v>5000000</v>
      </c>
      <c r="D36" s="257">
        <v>5000000</v>
      </c>
      <c r="E36" s="105">
        <v>17813200</v>
      </c>
    </row>
    <row r="37" spans="1:5" s="180" customFormat="1" ht="12" customHeight="1">
      <c r="A37" s="12" t="s">
        <v>182</v>
      </c>
      <c r="B37" s="182" t="s">
        <v>486</v>
      </c>
      <c r="C37" s="257">
        <v>35000000</v>
      </c>
      <c r="D37" s="257">
        <v>35000000</v>
      </c>
      <c r="E37" s="105">
        <v>71595099</v>
      </c>
    </row>
    <row r="38" spans="1:5" s="180" customFormat="1" ht="12" customHeight="1">
      <c r="A38" s="12" t="s">
        <v>488</v>
      </c>
      <c r="B38" s="182" t="s">
        <v>789</v>
      </c>
      <c r="C38" s="257">
        <v>650000</v>
      </c>
      <c r="D38" s="257">
        <v>650000</v>
      </c>
      <c r="E38" s="105">
        <v>841299</v>
      </c>
    </row>
    <row r="39" spans="1:5" s="180" customFormat="1" ht="12" customHeight="1">
      <c r="A39" s="12" t="s">
        <v>489</v>
      </c>
      <c r="B39" s="182" t="s">
        <v>790</v>
      </c>
      <c r="C39" s="258">
        <v>200000</v>
      </c>
      <c r="D39" s="258">
        <v>200000</v>
      </c>
      <c r="E39" s="107">
        <v>846000</v>
      </c>
    </row>
    <row r="40" spans="1:5" s="180" customFormat="1" ht="12" customHeight="1">
      <c r="A40" s="14" t="s">
        <v>1253</v>
      </c>
      <c r="B40" s="182" t="s">
        <v>791</v>
      </c>
      <c r="C40" s="258">
        <v>150000</v>
      </c>
      <c r="D40" s="258">
        <v>150000</v>
      </c>
      <c r="E40" s="107">
        <v>129000</v>
      </c>
    </row>
    <row r="41" spans="1:5" s="180" customFormat="1" ht="12" customHeight="1" thickBot="1">
      <c r="A41" s="14" t="s">
        <v>1254</v>
      </c>
      <c r="B41" s="732" t="s">
        <v>730</v>
      </c>
      <c r="C41" s="734">
        <v>3442270</v>
      </c>
      <c r="D41" s="734">
        <v>3442270</v>
      </c>
      <c r="E41" s="735">
        <v>7138892</v>
      </c>
    </row>
    <row r="42" spans="1:5" s="180" customFormat="1" ht="12" customHeight="1" thickBot="1">
      <c r="A42" s="18" t="s">
        <v>10</v>
      </c>
      <c r="B42" s="19" t="s">
        <v>339</v>
      </c>
      <c r="C42" s="168">
        <f>SUM(C43:C53)</f>
        <v>40274995</v>
      </c>
      <c r="D42" s="168">
        <f>SUM(D43:D53)</f>
        <v>46425867</v>
      </c>
      <c r="E42" s="104">
        <f>SUM(E43:E53)</f>
        <v>53510213</v>
      </c>
    </row>
    <row r="43" spans="1:5" s="180" customFormat="1" ht="12" customHeight="1">
      <c r="A43" s="13" t="s">
        <v>57</v>
      </c>
      <c r="B43" s="181" t="s">
        <v>188</v>
      </c>
      <c r="C43" s="170"/>
      <c r="D43" s="170"/>
      <c r="E43" s="106"/>
    </row>
    <row r="44" spans="1:5" s="180" customFormat="1" ht="12" customHeight="1">
      <c r="A44" s="12" t="s">
        <v>58</v>
      </c>
      <c r="B44" s="182" t="s">
        <v>189</v>
      </c>
      <c r="C44" s="169">
        <v>21126082</v>
      </c>
      <c r="D44" s="257">
        <v>25563333</v>
      </c>
      <c r="E44" s="105">
        <v>28118868</v>
      </c>
    </row>
    <row r="45" spans="1:5" s="180" customFormat="1" ht="12" customHeight="1">
      <c r="A45" s="12" t="s">
        <v>59</v>
      </c>
      <c r="B45" s="182" t="s">
        <v>190</v>
      </c>
      <c r="C45" s="169">
        <v>4071664</v>
      </c>
      <c r="D45" s="257">
        <v>4071664</v>
      </c>
      <c r="E45" s="105">
        <v>2983075</v>
      </c>
    </row>
    <row r="46" spans="1:5" s="180" customFormat="1" ht="12" customHeight="1">
      <c r="A46" s="12" t="s">
        <v>116</v>
      </c>
      <c r="B46" s="182" t="s">
        <v>191</v>
      </c>
      <c r="C46" s="169">
        <v>2500000</v>
      </c>
      <c r="D46" s="257">
        <v>2500000</v>
      </c>
      <c r="E46" s="105">
        <v>2617165</v>
      </c>
    </row>
    <row r="47" spans="1:5" s="180" customFormat="1" ht="12" customHeight="1">
      <c r="A47" s="12" t="s">
        <v>117</v>
      </c>
      <c r="B47" s="182" t="s">
        <v>192</v>
      </c>
      <c r="C47" s="169">
        <v>5921000</v>
      </c>
      <c r="D47" s="257">
        <v>5921000</v>
      </c>
      <c r="E47" s="105">
        <v>9612344</v>
      </c>
    </row>
    <row r="48" spans="1:5" s="180" customFormat="1" ht="12" customHeight="1">
      <c r="A48" s="12" t="s">
        <v>118</v>
      </c>
      <c r="B48" s="182" t="s">
        <v>193</v>
      </c>
      <c r="C48" s="169">
        <v>6621249</v>
      </c>
      <c r="D48" s="257">
        <v>8334870</v>
      </c>
      <c r="E48" s="105">
        <v>9163140</v>
      </c>
    </row>
    <row r="49" spans="1:5" s="180" customFormat="1" ht="12" customHeight="1">
      <c r="A49" s="12" t="s">
        <v>119</v>
      </c>
      <c r="B49" s="182" t="s">
        <v>194</v>
      </c>
      <c r="C49" s="169"/>
      <c r="D49" s="257"/>
      <c r="E49" s="105"/>
    </row>
    <row r="50" spans="1:5" s="180" customFormat="1" ht="12" customHeight="1">
      <c r="A50" s="12" t="s">
        <v>120</v>
      </c>
      <c r="B50" s="182" t="s">
        <v>491</v>
      </c>
      <c r="C50" s="169">
        <v>10000</v>
      </c>
      <c r="D50" s="257">
        <v>10000</v>
      </c>
      <c r="E50" s="105">
        <v>297</v>
      </c>
    </row>
    <row r="51" spans="1:5" s="180" customFormat="1" ht="12" customHeight="1">
      <c r="A51" s="12" t="s">
        <v>186</v>
      </c>
      <c r="B51" s="182" t="s">
        <v>196</v>
      </c>
      <c r="C51" s="172"/>
      <c r="D51" s="316"/>
      <c r="E51" s="108">
        <v>4688</v>
      </c>
    </row>
    <row r="52" spans="1:5" s="180" customFormat="1" ht="12" customHeight="1">
      <c r="A52" s="14" t="s">
        <v>187</v>
      </c>
      <c r="B52" s="183" t="s">
        <v>341</v>
      </c>
      <c r="C52" s="173"/>
      <c r="D52" s="317"/>
      <c r="E52" s="109"/>
    </row>
    <row r="53" spans="1:5" s="180" customFormat="1" ht="12" customHeight="1" thickBot="1">
      <c r="A53" s="14" t="s">
        <v>340</v>
      </c>
      <c r="B53" s="113" t="s">
        <v>197</v>
      </c>
      <c r="C53" s="377">
        <v>25000</v>
      </c>
      <c r="D53" s="317">
        <v>25000</v>
      </c>
      <c r="E53" s="109">
        <v>1010636</v>
      </c>
    </row>
    <row r="54" spans="1:5" s="180" customFormat="1" ht="12" customHeight="1" thickBot="1">
      <c r="A54" s="18" t="s">
        <v>11</v>
      </c>
      <c r="B54" s="19" t="s">
        <v>198</v>
      </c>
      <c r="C54" s="168">
        <f>SUM(C55:C59)</f>
        <v>0</v>
      </c>
      <c r="D54" s="168">
        <f>SUM(D55:D59)</f>
        <v>0</v>
      </c>
      <c r="E54" s="104">
        <f>SUM(E55:E59)</f>
        <v>0</v>
      </c>
    </row>
    <row r="55" spans="1:5" s="180" customFormat="1" ht="12" customHeight="1">
      <c r="A55" s="13" t="s">
        <v>60</v>
      </c>
      <c r="B55" s="181" t="s">
        <v>202</v>
      </c>
      <c r="C55" s="221"/>
      <c r="D55" s="221"/>
      <c r="E55" s="110"/>
    </row>
    <row r="56" spans="1:5" s="180" customFormat="1" ht="12" customHeight="1">
      <c r="A56" s="12" t="s">
        <v>61</v>
      </c>
      <c r="B56" s="182" t="s">
        <v>203</v>
      </c>
      <c r="C56" s="172"/>
      <c r="D56" s="172"/>
      <c r="E56" s="108"/>
    </row>
    <row r="57" spans="1:5" s="180" customFormat="1" ht="12" customHeight="1">
      <c r="A57" s="12" t="s">
        <v>199</v>
      </c>
      <c r="B57" s="182" t="s">
        <v>204</v>
      </c>
      <c r="C57" s="172"/>
      <c r="D57" s="172"/>
      <c r="E57" s="108"/>
    </row>
    <row r="58" spans="1:5" s="180" customFormat="1" ht="12" customHeight="1">
      <c r="A58" s="12" t="s">
        <v>200</v>
      </c>
      <c r="B58" s="182" t="s">
        <v>205</v>
      </c>
      <c r="C58" s="172"/>
      <c r="D58" s="172"/>
      <c r="E58" s="108"/>
    </row>
    <row r="59" spans="1:5" s="180" customFormat="1" ht="12" customHeight="1" thickBot="1">
      <c r="A59" s="14" t="s">
        <v>201</v>
      </c>
      <c r="B59" s="113" t="s">
        <v>206</v>
      </c>
      <c r="C59" s="173"/>
      <c r="D59" s="173"/>
      <c r="E59" s="109"/>
    </row>
    <row r="60" spans="1:5" s="180" customFormat="1" ht="12" customHeight="1" thickBot="1">
      <c r="A60" s="18" t="s">
        <v>121</v>
      </c>
      <c r="B60" s="19" t="s">
        <v>207</v>
      </c>
      <c r="C60" s="168">
        <f>SUM(C61:C63)</f>
        <v>0</v>
      </c>
      <c r="D60" s="168">
        <f>SUM(D61:D63)</f>
        <v>1000000</v>
      </c>
      <c r="E60" s="104">
        <f>SUM(E61:E63)</f>
        <v>1004325</v>
      </c>
    </row>
    <row r="61" spans="1:5" s="180" customFormat="1" ht="12" customHeight="1">
      <c r="A61" s="13" t="s">
        <v>62</v>
      </c>
      <c r="B61" s="181" t="s">
        <v>208</v>
      </c>
      <c r="C61" s="170"/>
      <c r="D61" s="170"/>
      <c r="E61" s="106"/>
    </row>
    <row r="62" spans="1:5" s="180" customFormat="1" ht="12" customHeight="1">
      <c r="A62" s="12" t="s">
        <v>63</v>
      </c>
      <c r="B62" s="182" t="s">
        <v>333</v>
      </c>
      <c r="C62" s="169"/>
      <c r="D62" s="169"/>
      <c r="E62" s="105"/>
    </row>
    <row r="63" spans="1:5" s="180" customFormat="1" ht="12" customHeight="1">
      <c r="A63" s="12" t="s">
        <v>211</v>
      </c>
      <c r="B63" s="182" t="s">
        <v>209</v>
      </c>
      <c r="C63" s="169"/>
      <c r="D63" s="169">
        <v>1000000</v>
      </c>
      <c r="E63" s="105">
        <v>1004325</v>
      </c>
    </row>
    <row r="64" spans="1:5" s="180" customFormat="1" ht="12" customHeight="1" thickBot="1">
      <c r="A64" s="14" t="s">
        <v>212</v>
      </c>
      <c r="B64" s="113" t="s">
        <v>210</v>
      </c>
      <c r="C64" s="171"/>
      <c r="D64" s="171"/>
      <c r="E64" s="107"/>
    </row>
    <row r="65" spans="1:5" s="180" customFormat="1" ht="12" customHeight="1" thickBot="1">
      <c r="A65" s="18" t="s">
        <v>13</v>
      </c>
      <c r="B65" s="111" t="s">
        <v>213</v>
      </c>
      <c r="C65" s="168">
        <f>SUM(C66:C68)</f>
        <v>372742</v>
      </c>
      <c r="D65" s="168">
        <f>SUM(D66:D68)</f>
        <v>372742</v>
      </c>
      <c r="E65" s="104">
        <f>SUM(E66:E68)</f>
        <v>462242</v>
      </c>
    </row>
    <row r="66" spans="1:5" s="180" customFormat="1" ht="12" customHeight="1">
      <c r="A66" s="13" t="s">
        <v>122</v>
      </c>
      <c r="B66" s="181" t="s">
        <v>215</v>
      </c>
      <c r="C66" s="172"/>
      <c r="D66" s="172"/>
      <c r="E66" s="108"/>
    </row>
    <row r="67" spans="1:5" s="180" customFormat="1" ht="12" customHeight="1">
      <c r="A67" s="12" t="s">
        <v>123</v>
      </c>
      <c r="B67" s="182" t="s">
        <v>334</v>
      </c>
      <c r="C67" s="169">
        <v>372742</v>
      </c>
      <c r="D67" s="169">
        <v>372742</v>
      </c>
      <c r="E67" s="105">
        <v>462242</v>
      </c>
    </row>
    <row r="68" spans="1:5" s="180" customFormat="1" ht="12" customHeight="1">
      <c r="A68" s="12" t="s">
        <v>146</v>
      </c>
      <c r="B68" s="182" t="s">
        <v>216</v>
      </c>
      <c r="C68" s="172"/>
      <c r="D68" s="172"/>
      <c r="E68" s="108"/>
    </row>
    <row r="69" spans="1:5" s="180" customFormat="1" ht="12" customHeight="1" thickBot="1">
      <c r="A69" s="14" t="s">
        <v>214</v>
      </c>
      <c r="B69" s="113" t="s">
        <v>217</v>
      </c>
      <c r="C69" s="172"/>
      <c r="D69" s="172"/>
      <c r="E69" s="108"/>
    </row>
    <row r="70" spans="1:5" s="180" customFormat="1" ht="12" customHeight="1" thickBot="1">
      <c r="A70" s="235" t="s">
        <v>381</v>
      </c>
      <c r="B70" s="19" t="s">
        <v>218</v>
      </c>
      <c r="C70" s="174">
        <f>+C11+C19+C26+C33+C42+C54+C60+C65</f>
        <v>365737080</v>
      </c>
      <c r="D70" s="174">
        <f>+D11+D19+D26+D33+D42+D54+D60+D65</f>
        <v>433762372</v>
      </c>
      <c r="E70" s="210">
        <f>+E11+E19+E26+E33+E42+E54+E60+E65</f>
        <v>512556211</v>
      </c>
    </row>
    <row r="71" spans="1:5" s="180" customFormat="1" ht="12" customHeight="1" thickBot="1">
      <c r="A71" s="222" t="s">
        <v>219</v>
      </c>
      <c r="B71" s="111" t="s">
        <v>220</v>
      </c>
      <c r="C71" s="168">
        <f>SUM(C72:C74)</f>
        <v>0</v>
      </c>
      <c r="D71" s="168">
        <f>SUM(D72:D74)</f>
        <v>0</v>
      </c>
      <c r="E71" s="104">
        <f>SUM(E72:E74)</f>
        <v>0</v>
      </c>
    </row>
    <row r="72" spans="1:5" s="180" customFormat="1" ht="12" customHeight="1">
      <c r="A72" s="13" t="s">
        <v>248</v>
      </c>
      <c r="B72" s="181" t="s">
        <v>221</v>
      </c>
      <c r="C72" s="172"/>
      <c r="D72" s="172"/>
      <c r="E72" s="108"/>
    </row>
    <row r="73" spans="1:5" s="180" customFormat="1" ht="12" customHeight="1">
      <c r="A73" s="12" t="s">
        <v>257</v>
      </c>
      <c r="B73" s="182" t="s">
        <v>222</v>
      </c>
      <c r="C73" s="172"/>
      <c r="D73" s="172"/>
      <c r="E73" s="108"/>
    </row>
    <row r="74" spans="1:5" s="180" customFormat="1" ht="12" customHeight="1" thickBot="1">
      <c r="A74" s="14" t="s">
        <v>258</v>
      </c>
      <c r="B74" s="231" t="s">
        <v>366</v>
      </c>
      <c r="C74" s="172"/>
      <c r="D74" s="172"/>
      <c r="E74" s="108"/>
    </row>
    <row r="75" spans="1:5" s="180" customFormat="1" ht="12" customHeight="1" thickBot="1">
      <c r="A75" s="222" t="s">
        <v>224</v>
      </c>
      <c r="B75" s="111" t="s">
        <v>225</v>
      </c>
      <c r="C75" s="168">
        <f>SUM(C76:C79)</f>
        <v>0</v>
      </c>
      <c r="D75" s="168">
        <f>SUM(D76:D79)</f>
        <v>0</v>
      </c>
      <c r="E75" s="168">
        <f>SUM(E76:E79)</f>
        <v>0</v>
      </c>
    </row>
    <row r="76" spans="1:5" s="180" customFormat="1" ht="12" customHeight="1">
      <c r="A76" s="13" t="s">
        <v>100</v>
      </c>
      <c r="B76" s="359" t="s">
        <v>226</v>
      </c>
      <c r="C76" s="172"/>
      <c r="D76" s="172"/>
      <c r="E76" s="108"/>
    </row>
    <row r="77" spans="1:5" s="180" customFormat="1" ht="12" customHeight="1">
      <c r="A77" s="12" t="s">
        <v>101</v>
      </c>
      <c r="B77" s="359" t="s">
        <v>498</v>
      </c>
      <c r="C77" s="172"/>
      <c r="D77" s="172"/>
      <c r="E77" s="108"/>
    </row>
    <row r="78" spans="1:5" s="180" customFormat="1" ht="12" customHeight="1">
      <c r="A78" s="12" t="s">
        <v>249</v>
      </c>
      <c r="B78" s="359" t="s">
        <v>227</v>
      </c>
      <c r="C78" s="172"/>
      <c r="D78" s="172"/>
      <c r="E78" s="108"/>
    </row>
    <row r="79" spans="1:5" s="180" customFormat="1" ht="12" customHeight="1" thickBot="1">
      <c r="A79" s="14" t="s">
        <v>250</v>
      </c>
      <c r="B79" s="360" t="s">
        <v>499</v>
      </c>
      <c r="C79" s="172"/>
      <c r="D79" s="172"/>
      <c r="E79" s="108"/>
    </row>
    <row r="80" spans="1:5" s="180" customFormat="1" ht="12" customHeight="1" thickBot="1">
      <c r="A80" s="222" t="s">
        <v>228</v>
      </c>
      <c r="B80" s="111" t="s">
        <v>229</v>
      </c>
      <c r="C80" s="168">
        <f>SUM(C81:C82)</f>
        <v>239902746</v>
      </c>
      <c r="D80" s="168">
        <f>SUM(D81:D82)</f>
        <v>266713622</v>
      </c>
      <c r="E80" s="104">
        <f>SUM(E81:E82)</f>
        <v>266713622</v>
      </c>
    </row>
    <row r="81" spans="1:5" s="180" customFormat="1" ht="12" customHeight="1">
      <c r="A81" s="13" t="s">
        <v>251</v>
      </c>
      <c r="B81" s="181" t="s">
        <v>230</v>
      </c>
      <c r="C81" s="694">
        <v>239902746</v>
      </c>
      <c r="D81" s="316">
        <v>266713622</v>
      </c>
      <c r="E81" s="108">
        <v>266713622</v>
      </c>
    </row>
    <row r="82" spans="1:5" s="180" customFormat="1" ht="12" customHeight="1" thickBot="1">
      <c r="A82" s="14" t="s">
        <v>252</v>
      </c>
      <c r="B82" s="113" t="s">
        <v>231</v>
      </c>
      <c r="C82" s="172"/>
      <c r="D82" s="172"/>
      <c r="E82" s="108"/>
    </row>
    <row r="83" spans="1:5" s="180" customFormat="1" ht="12" customHeight="1" thickBot="1">
      <c r="A83" s="222" t="s">
        <v>232</v>
      </c>
      <c r="B83" s="111" t="s">
        <v>233</v>
      </c>
      <c r="C83" s="168">
        <f>SUM(C84:C86)</f>
        <v>0</v>
      </c>
      <c r="D83" s="168">
        <f>SUM(D84:D86)</f>
        <v>16685273</v>
      </c>
      <c r="E83" s="104">
        <f>SUM(E84:E86)</f>
        <v>16685273</v>
      </c>
    </row>
    <row r="84" spans="1:5" s="180" customFormat="1" ht="12" customHeight="1">
      <c r="A84" s="13" t="s">
        <v>253</v>
      </c>
      <c r="B84" s="181" t="s">
        <v>234</v>
      </c>
      <c r="C84" s="172"/>
      <c r="D84" s="172">
        <v>16685273</v>
      </c>
      <c r="E84" s="108">
        <v>16685273</v>
      </c>
    </row>
    <row r="85" spans="1:5" s="180" customFormat="1" ht="12" customHeight="1">
      <c r="A85" s="12" t="s">
        <v>254</v>
      </c>
      <c r="B85" s="182" t="s">
        <v>235</v>
      </c>
      <c r="C85" s="172"/>
      <c r="D85" s="172"/>
      <c r="E85" s="108"/>
    </row>
    <row r="86" spans="1:5" s="180" customFormat="1" ht="12" customHeight="1" thickBot="1">
      <c r="A86" s="14" t="s">
        <v>255</v>
      </c>
      <c r="B86" s="113" t="s">
        <v>500</v>
      </c>
      <c r="C86" s="172"/>
      <c r="D86" s="172"/>
      <c r="E86" s="108"/>
    </row>
    <row r="87" spans="1:5" s="180" customFormat="1" ht="12" customHeight="1" thickBot="1">
      <c r="A87" s="222" t="s">
        <v>236</v>
      </c>
      <c r="B87" s="111" t="s">
        <v>256</v>
      </c>
      <c r="C87" s="168">
        <f>SUM(C88:C91)</f>
        <v>0</v>
      </c>
      <c r="D87" s="168">
        <f>SUM(D88:D91)</f>
        <v>0</v>
      </c>
      <c r="E87" s="104">
        <f>SUM(E88:E91)</f>
        <v>0</v>
      </c>
    </row>
    <row r="88" spans="1:5" s="180" customFormat="1" ht="12" customHeight="1">
      <c r="A88" s="185" t="s">
        <v>237</v>
      </c>
      <c r="B88" s="181" t="s">
        <v>238</v>
      </c>
      <c r="C88" s="172"/>
      <c r="D88" s="172"/>
      <c r="E88" s="108"/>
    </row>
    <row r="89" spans="1:5" s="180" customFormat="1" ht="12" customHeight="1">
      <c r="A89" s="186" t="s">
        <v>239</v>
      </c>
      <c r="B89" s="182" t="s">
        <v>240</v>
      </c>
      <c r="C89" s="172"/>
      <c r="D89" s="172"/>
      <c r="E89" s="108"/>
    </row>
    <row r="90" spans="1:5" s="180" customFormat="1" ht="12" customHeight="1">
      <c r="A90" s="186" t="s">
        <v>241</v>
      </c>
      <c r="B90" s="182" t="s">
        <v>242</v>
      </c>
      <c r="C90" s="172"/>
      <c r="D90" s="172"/>
      <c r="E90" s="108"/>
    </row>
    <row r="91" spans="1:5" s="180" customFormat="1" ht="12" customHeight="1" thickBot="1">
      <c r="A91" s="187" t="s">
        <v>243</v>
      </c>
      <c r="B91" s="113" t="s">
        <v>244</v>
      </c>
      <c r="C91" s="172"/>
      <c r="D91" s="172"/>
      <c r="E91" s="108"/>
    </row>
    <row r="92" spans="1:5" s="180" customFormat="1" ht="12" customHeight="1" thickBot="1">
      <c r="A92" s="222" t="s">
        <v>245</v>
      </c>
      <c r="B92" s="111" t="s">
        <v>380</v>
      </c>
      <c r="C92" s="224"/>
      <c r="D92" s="224"/>
      <c r="E92" s="225"/>
    </row>
    <row r="93" spans="1:5" s="180" customFormat="1" ht="13.5" customHeight="1" thickBot="1">
      <c r="A93" s="222" t="s">
        <v>247</v>
      </c>
      <c r="B93" s="111" t="s">
        <v>246</v>
      </c>
      <c r="C93" s="224"/>
      <c r="D93" s="224"/>
      <c r="E93" s="225"/>
    </row>
    <row r="94" spans="1:5" s="180" customFormat="1" ht="15.75" customHeight="1" thickBot="1">
      <c r="A94" s="222" t="s">
        <v>259</v>
      </c>
      <c r="B94" s="188" t="s">
        <v>383</v>
      </c>
      <c r="C94" s="174">
        <f>+C71+C75+C80+C83+C87+C93+C92</f>
        <v>239902746</v>
      </c>
      <c r="D94" s="174">
        <f>+D71+D75+D80+D83+D87+D93+D92</f>
        <v>283398895</v>
      </c>
      <c r="E94" s="210">
        <f>+E71+E75+E80+E83+E87+E93+E92</f>
        <v>283398895</v>
      </c>
    </row>
    <row r="95" spans="1:5" s="180" customFormat="1" ht="25.5" customHeight="1" thickBot="1">
      <c r="A95" s="223" t="s">
        <v>382</v>
      </c>
      <c r="B95" s="189" t="s">
        <v>384</v>
      </c>
      <c r="C95" s="174">
        <f>+C70+C94</f>
        <v>605639826</v>
      </c>
      <c r="D95" s="174">
        <f>+D70+D94</f>
        <v>717161267</v>
      </c>
      <c r="E95" s="210">
        <f>+E70+E94</f>
        <v>795955106</v>
      </c>
    </row>
    <row r="96" spans="1:3" s="180" customFormat="1" ht="15" customHeight="1">
      <c r="A96" s="3"/>
      <c r="B96" s="4"/>
      <c r="C96" s="115"/>
    </row>
    <row r="97" spans="1:5" ht="16.5" customHeight="1">
      <c r="A97" s="845" t="s">
        <v>34</v>
      </c>
      <c r="B97" s="845"/>
      <c r="C97" s="845"/>
      <c r="D97" s="845"/>
      <c r="E97" s="845"/>
    </row>
    <row r="98" spans="1:5" s="190" customFormat="1" ht="16.5" customHeight="1" thickBot="1">
      <c r="A98" s="847" t="s">
        <v>103</v>
      </c>
      <c r="B98" s="847"/>
      <c r="C98" s="62"/>
      <c r="E98" s="62" t="str">
        <f>E7</f>
        <v> Forintban!</v>
      </c>
    </row>
    <row r="99" spans="1:5" ht="15">
      <c r="A99" s="854" t="s">
        <v>52</v>
      </c>
      <c r="B99" s="856" t="s">
        <v>424</v>
      </c>
      <c r="C99" s="840" t="str">
        <f>+CONCATENATE(LEFT(Z_ÖSSZEFÜGGÉSEK!A6,4),". évi")</f>
        <v>2022. évi</v>
      </c>
      <c r="D99" s="841"/>
      <c r="E99" s="842"/>
    </row>
    <row r="100" spans="1:5" ht="23.25" thickBot="1">
      <c r="A100" s="855"/>
      <c r="B100" s="857"/>
      <c r="C100" s="252" t="s">
        <v>422</v>
      </c>
      <c r="D100" s="251" t="s">
        <v>423</v>
      </c>
      <c r="E100" s="361" t="str">
        <f>CONCATENATE(E9)</f>
        <v>2022. XII. 31.
teljesítés</v>
      </c>
    </row>
    <row r="101" spans="1:5" s="179" customFormat="1" ht="12" customHeight="1" thickBot="1">
      <c r="A101" s="25" t="s">
        <v>389</v>
      </c>
      <c r="B101" s="26" t="s">
        <v>390</v>
      </c>
      <c r="C101" s="26" t="s">
        <v>391</v>
      </c>
      <c r="D101" s="26" t="s">
        <v>393</v>
      </c>
      <c r="E101" s="263" t="s">
        <v>392</v>
      </c>
    </row>
    <row r="102" spans="1:5" ht="12" customHeight="1" thickBot="1">
      <c r="A102" s="20" t="s">
        <v>6</v>
      </c>
      <c r="B102" s="24" t="s">
        <v>342</v>
      </c>
      <c r="C102" s="167">
        <f>C103+C104+C105+C106+C107+C120</f>
        <v>544872579</v>
      </c>
      <c r="D102" s="167">
        <f>D103+D104+D105+D106+D107+D120</f>
        <v>598373653</v>
      </c>
      <c r="E102" s="238">
        <f>E103+E104+E105+E106+E107+E120</f>
        <v>469443602</v>
      </c>
    </row>
    <row r="103" spans="1:5" ht="12" customHeight="1">
      <c r="A103" s="15" t="s">
        <v>64</v>
      </c>
      <c r="B103" s="8" t="s">
        <v>35</v>
      </c>
      <c r="C103" s="245">
        <v>216150465</v>
      </c>
      <c r="D103" s="798">
        <v>218069647</v>
      </c>
      <c r="E103" s="239">
        <v>199164001</v>
      </c>
    </row>
    <row r="104" spans="1:5" ht="12" customHeight="1">
      <c r="A104" s="12" t="s">
        <v>65</v>
      </c>
      <c r="B104" s="6" t="s">
        <v>124</v>
      </c>
      <c r="C104" s="169">
        <v>31304262</v>
      </c>
      <c r="D104" s="257">
        <v>32917588</v>
      </c>
      <c r="E104" s="105">
        <v>30919657</v>
      </c>
    </row>
    <row r="105" spans="1:5" ht="12" customHeight="1">
      <c r="A105" s="12" t="s">
        <v>66</v>
      </c>
      <c r="B105" s="6" t="s">
        <v>92</v>
      </c>
      <c r="C105" s="171">
        <v>217831160</v>
      </c>
      <c r="D105" s="258">
        <v>226488965</v>
      </c>
      <c r="E105" s="107">
        <v>169146820</v>
      </c>
    </row>
    <row r="106" spans="1:5" ht="12" customHeight="1">
      <c r="A106" s="12" t="s">
        <v>67</v>
      </c>
      <c r="B106" s="9" t="s">
        <v>125</v>
      </c>
      <c r="C106" s="171">
        <v>5840000</v>
      </c>
      <c r="D106" s="258">
        <v>5840000</v>
      </c>
      <c r="E106" s="107">
        <v>2808500</v>
      </c>
    </row>
    <row r="107" spans="1:5" ht="12" customHeight="1">
      <c r="A107" s="12" t="s">
        <v>76</v>
      </c>
      <c r="B107" s="17" t="s">
        <v>126</v>
      </c>
      <c r="C107" s="171">
        <v>57464904</v>
      </c>
      <c r="D107" s="258">
        <v>68297155</v>
      </c>
      <c r="E107" s="107">
        <v>67404624</v>
      </c>
    </row>
    <row r="108" spans="1:5" ht="12" customHeight="1">
      <c r="A108" s="12" t="s">
        <v>68</v>
      </c>
      <c r="B108" s="6" t="s">
        <v>347</v>
      </c>
      <c r="C108" s="799">
        <v>696579</v>
      </c>
      <c r="D108" s="800"/>
      <c r="E108" s="801"/>
    </row>
    <row r="109" spans="1:5" ht="12" customHeight="1">
      <c r="A109" s="12" t="s">
        <v>69</v>
      </c>
      <c r="B109" s="66" t="s">
        <v>346</v>
      </c>
      <c r="C109" s="169">
        <v>2961554</v>
      </c>
      <c r="D109" s="258">
        <v>2961554</v>
      </c>
      <c r="E109" s="107">
        <v>2961554</v>
      </c>
    </row>
    <row r="110" spans="1:5" ht="12" customHeight="1">
      <c r="A110" s="12" t="s">
        <v>77</v>
      </c>
      <c r="B110" s="66" t="s">
        <v>345</v>
      </c>
      <c r="C110" s="171"/>
      <c r="D110" s="171"/>
      <c r="E110" s="107"/>
    </row>
    <row r="111" spans="1:5" ht="12" customHeight="1">
      <c r="A111" s="12" t="s">
        <v>78</v>
      </c>
      <c r="B111" s="64" t="s">
        <v>262</v>
      </c>
      <c r="C111" s="171"/>
      <c r="D111" s="171"/>
      <c r="E111" s="107"/>
    </row>
    <row r="112" spans="1:5" ht="12" customHeight="1">
      <c r="A112" s="12" t="s">
        <v>79</v>
      </c>
      <c r="B112" s="65" t="s">
        <v>263</v>
      </c>
      <c r="C112" s="171"/>
      <c r="D112" s="171">
        <v>36830</v>
      </c>
      <c r="E112" s="107">
        <v>36830</v>
      </c>
    </row>
    <row r="113" spans="1:5" ht="12" customHeight="1">
      <c r="A113" s="12" t="s">
        <v>80</v>
      </c>
      <c r="B113" s="65" t="s">
        <v>264</v>
      </c>
      <c r="C113" s="171">
        <v>51405046</v>
      </c>
      <c r="D113" s="171">
        <v>51675046</v>
      </c>
      <c r="E113" s="107">
        <v>51400677</v>
      </c>
    </row>
    <row r="114" spans="1:5" ht="12" customHeight="1">
      <c r="A114" s="12" t="s">
        <v>82</v>
      </c>
      <c r="B114" s="64" t="s">
        <v>265</v>
      </c>
      <c r="C114" s="171"/>
      <c r="D114" s="171"/>
      <c r="E114" s="107"/>
    </row>
    <row r="115" spans="1:5" ht="12" customHeight="1">
      <c r="A115" s="12" t="s">
        <v>127</v>
      </c>
      <c r="B115" s="64" t="s">
        <v>266</v>
      </c>
      <c r="C115" s="171"/>
      <c r="D115" s="171"/>
      <c r="E115" s="107"/>
    </row>
    <row r="116" spans="1:5" ht="12" customHeight="1">
      <c r="A116" s="12" t="s">
        <v>260</v>
      </c>
      <c r="B116" s="65" t="s">
        <v>267</v>
      </c>
      <c r="C116" s="171"/>
      <c r="D116" s="171"/>
      <c r="E116" s="107"/>
    </row>
    <row r="117" spans="1:5" ht="12" customHeight="1">
      <c r="A117" s="11" t="s">
        <v>261</v>
      </c>
      <c r="B117" s="66" t="s">
        <v>268</v>
      </c>
      <c r="C117" s="169"/>
      <c r="D117" s="169"/>
      <c r="E117" s="679"/>
    </row>
    <row r="118" spans="1:5" ht="12" customHeight="1">
      <c r="A118" s="12" t="s">
        <v>343</v>
      </c>
      <c r="B118" s="66" t="s">
        <v>269</v>
      </c>
      <c r="C118" s="802"/>
      <c r="D118" s="800"/>
      <c r="E118" s="801"/>
    </row>
    <row r="119" spans="1:5" ht="12" customHeight="1">
      <c r="A119" s="14" t="s">
        <v>344</v>
      </c>
      <c r="B119" s="66" t="s">
        <v>270</v>
      </c>
      <c r="C119" s="169">
        <v>2401725</v>
      </c>
      <c r="D119" s="169">
        <v>13623725</v>
      </c>
      <c r="E119" s="679">
        <v>13005563</v>
      </c>
    </row>
    <row r="120" spans="1:5" ht="12" customHeight="1">
      <c r="A120" s="12" t="s">
        <v>348</v>
      </c>
      <c r="B120" s="9" t="s">
        <v>36</v>
      </c>
      <c r="C120" s="170">
        <f>SUM(C121:C122)</f>
        <v>16281788</v>
      </c>
      <c r="D120" s="170">
        <f>SUM(D121:D122)</f>
        <v>46760298</v>
      </c>
      <c r="E120" s="170">
        <f>SUM(E121:E122)</f>
        <v>0</v>
      </c>
    </row>
    <row r="121" spans="1:5" ht="12" customHeight="1">
      <c r="A121" s="12" t="s">
        <v>349</v>
      </c>
      <c r="B121" s="6" t="s">
        <v>351</v>
      </c>
      <c r="C121" s="170">
        <v>8330929</v>
      </c>
      <c r="D121" s="170">
        <v>38809439</v>
      </c>
      <c r="E121" s="105"/>
    </row>
    <row r="122" spans="1:5" ht="12" customHeight="1" thickBot="1">
      <c r="A122" s="16" t="s">
        <v>350</v>
      </c>
      <c r="B122" s="234" t="s">
        <v>352</v>
      </c>
      <c r="C122" s="246">
        <v>7950859</v>
      </c>
      <c r="D122" s="171">
        <v>7950859</v>
      </c>
      <c r="E122" s="240"/>
    </row>
    <row r="123" spans="1:5" ht="12" customHeight="1" thickBot="1">
      <c r="A123" s="232" t="s">
        <v>7</v>
      </c>
      <c r="B123" s="233" t="s">
        <v>271</v>
      </c>
      <c r="C123" s="247">
        <f>+C124+C126+C128</f>
        <v>56326893</v>
      </c>
      <c r="D123" s="168">
        <f>+D124+D126+D128</f>
        <v>103139653</v>
      </c>
      <c r="E123" s="241">
        <f>+E124+E126+E128</f>
        <v>52804219</v>
      </c>
    </row>
    <row r="124" spans="1:5" ht="12" customHeight="1">
      <c r="A124" s="13" t="s">
        <v>70</v>
      </c>
      <c r="B124" s="6" t="s">
        <v>145</v>
      </c>
      <c r="C124" s="256">
        <v>54326893</v>
      </c>
      <c r="D124" s="170">
        <v>97106810</v>
      </c>
      <c r="E124" s="106">
        <v>48271376</v>
      </c>
    </row>
    <row r="125" spans="1:5" ht="12" customHeight="1">
      <c r="A125" s="13" t="s">
        <v>71</v>
      </c>
      <c r="B125" s="10" t="s">
        <v>275</v>
      </c>
      <c r="C125" s="256"/>
      <c r="D125" s="170"/>
      <c r="E125" s="106"/>
    </row>
    <row r="126" spans="1:5" ht="12" customHeight="1">
      <c r="A126" s="13" t="s">
        <v>72</v>
      </c>
      <c r="B126" s="10" t="s">
        <v>128</v>
      </c>
      <c r="C126" s="257"/>
      <c r="D126" s="169"/>
      <c r="E126" s="105"/>
    </row>
    <row r="127" spans="1:5" ht="12" customHeight="1">
      <c r="A127" s="13" t="s">
        <v>73</v>
      </c>
      <c r="B127" s="10" t="s">
        <v>276</v>
      </c>
      <c r="C127" s="169"/>
      <c r="D127" s="169"/>
      <c r="E127" s="105"/>
    </row>
    <row r="128" spans="1:5" ht="12" customHeight="1">
      <c r="A128" s="13" t="s">
        <v>74</v>
      </c>
      <c r="B128" s="113" t="s">
        <v>147</v>
      </c>
      <c r="C128" s="169">
        <v>2000000</v>
      </c>
      <c r="D128" s="169">
        <v>6032843</v>
      </c>
      <c r="E128" s="105">
        <v>4532843</v>
      </c>
    </row>
    <row r="129" spans="1:5" ht="12" customHeight="1">
      <c r="A129" s="13" t="s">
        <v>81</v>
      </c>
      <c r="B129" s="112" t="s">
        <v>335</v>
      </c>
      <c r="C129" s="169"/>
      <c r="D129" s="169"/>
      <c r="E129" s="105"/>
    </row>
    <row r="130" spans="1:5" ht="12" customHeight="1">
      <c r="A130" s="13" t="s">
        <v>83</v>
      </c>
      <c r="B130" s="177" t="s">
        <v>281</v>
      </c>
      <c r="C130" s="169"/>
      <c r="D130" s="169"/>
      <c r="E130" s="105"/>
    </row>
    <row r="131" spans="1:5" ht="15">
      <c r="A131" s="13" t="s">
        <v>129</v>
      </c>
      <c r="B131" s="65" t="s">
        <v>264</v>
      </c>
      <c r="C131" s="169"/>
      <c r="D131" s="169"/>
      <c r="E131" s="105"/>
    </row>
    <row r="132" spans="1:5" ht="12" customHeight="1">
      <c r="A132" s="13" t="s">
        <v>130</v>
      </c>
      <c r="B132" s="65" t="s">
        <v>280</v>
      </c>
      <c r="C132" s="169"/>
      <c r="D132" s="169">
        <v>1028112</v>
      </c>
      <c r="E132" s="105">
        <v>1028112</v>
      </c>
    </row>
    <row r="133" spans="1:5" ht="12" customHeight="1">
      <c r="A133" s="13" t="s">
        <v>131</v>
      </c>
      <c r="B133" s="65" t="s">
        <v>279</v>
      </c>
      <c r="C133" s="169"/>
      <c r="D133" s="169"/>
      <c r="E133" s="105"/>
    </row>
    <row r="134" spans="1:5" ht="12" customHeight="1">
      <c r="A134" s="13" t="s">
        <v>272</v>
      </c>
      <c r="B134" s="65" t="s">
        <v>267</v>
      </c>
      <c r="C134" s="169">
        <v>2000000</v>
      </c>
      <c r="D134" s="169">
        <v>2000000</v>
      </c>
      <c r="E134" s="105">
        <v>500000</v>
      </c>
    </row>
    <row r="135" spans="1:5" ht="12" customHeight="1">
      <c r="A135" s="13" t="s">
        <v>273</v>
      </c>
      <c r="B135" s="65" t="s">
        <v>278</v>
      </c>
      <c r="C135" s="169"/>
      <c r="D135" s="169"/>
      <c r="E135" s="105"/>
    </row>
    <row r="136" spans="1:5" ht="15.75" thickBot="1">
      <c r="A136" s="11" t="s">
        <v>274</v>
      </c>
      <c r="B136" s="65" t="s">
        <v>277</v>
      </c>
      <c r="C136" s="171"/>
      <c r="D136" s="171">
        <v>3004731</v>
      </c>
      <c r="E136" s="107">
        <v>3004731</v>
      </c>
    </row>
    <row r="137" spans="1:5" ht="12" customHeight="1" thickBot="1">
      <c r="A137" s="18" t="s">
        <v>8</v>
      </c>
      <c r="B137" s="58" t="s">
        <v>353</v>
      </c>
      <c r="C137" s="168">
        <f>+C102+C123</f>
        <v>601199472</v>
      </c>
      <c r="D137" s="255">
        <f>+D102+D123</f>
        <v>701513306</v>
      </c>
      <c r="E137" s="104">
        <f>+E102+E123</f>
        <v>522247821</v>
      </c>
    </row>
    <row r="138" spans="1:5" ht="12" customHeight="1" thickBot="1">
      <c r="A138" s="18" t="s">
        <v>9</v>
      </c>
      <c r="B138" s="58" t="s">
        <v>425</v>
      </c>
      <c r="C138" s="168">
        <f>+C139+C140+C141</f>
        <v>0</v>
      </c>
      <c r="D138" s="255">
        <f>+D139+D140+D141</f>
        <v>0</v>
      </c>
      <c r="E138" s="104">
        <f>+E139+E140+E141</f>
        <v>0</v>
      </c>
    </row>
    <row r="139" spans="1:5" ht="12" customHeight="1">
      <c r="A139" s="13" t="s">
        <v>179</v>
      </c>
      <c r="B139" s="10" t="s">
        <v>361</v>
      </c>
      <c r="C139" s="169"/>
      <c r="D139" s="257"/>
      <c r="E139" s="105"/>
    </row>
    <row r="140" spans="1:5" ht="12" customHeight="1">
      <c r="A140" s="13" t="s">
        <v>180</v>
      </c>
      <c r="B140" s="10" t="s">
        <v>362</v>
      </c>
      <c r="C140" s="169"/>
      <c r="D140" s="257"/>
      <c r="E140" s="105"/>
    </row>
    <row r="141" spans="1:5" ht="12" customHeight="1" thickBot="1">
      <c r="A141" s="11" t="s">
        <v>181</v>
      </c>
      <c r="B141" s="10" t="s">
        <v>363</v>
      </c>
      <c r="C141" s="169"/>
      <c r="D141" s="257"/>
      <c r="E141" s="105"/>
    </row>
    <row r="142" spans="1:5" ht="12" customHeight="1" thickBot="1">
      <c r="A142" s="18" t="s">
        <v>10</v>
      </c>
      <c r="B142" s="58" t="s">
        <v>355</v>
      </c>
      <c r="C142" s="168">
        <f>SUM(C143:C148)</f>
        <v>0</v>
      </c>
      <c r="D142" s="255">
        <f>SUM(D143:D148)</f>
        <v>0</v>
      </c>
      <c r="E142" s="104">
        <f>SUM(E143:E148)</f>
        <v>0</v>
      </c>
    </row>
    <row r="143" spans="1:5" ht="12" customHeight="1">
      <c r="A143" s="13" t="s">
        <v>57</v>
      </c>
      <c r="B143" s="7" t="s">
        <v>364</v>
      </c>
      <c r="C143" s="169"/>
      <c r="D143" s="257"/>
      <c r="E143" s="105"/>
    </row>
    <row r="144" spans="1:5" ht="12" customHeight="1">
      <c r="A144" s="13" t="s">
        <v>58</v>
      </c>
      <c r="B144" s="7" t="s">
        <v>356</v>
      </c>
      <c r="C144" s="169"/>
      <c r="D144" s="257"/>
      <c r="E144" s="105"/>
    </row>
    <row r="145" spans="1:5" ht="12" customHeight="1">
      <c r="A145" s="13" t="s">
        <v>59</v>
      </c>
      <c r="B145" s="7" t="s">
        <v>357</v>
      </c>
      <c r="C145" s="169"/>
      <c r="D145" s="257"/>
      <c r="E145" s="105"/>
    </row>
    <row r="146" spans="1:5" ht="12" customHeight="1">
      <c r="A146" s="13" t="s">
        <v>116</v>
      </c>
      <c r="B146" s="7" t="s">
        <v>358</v>
      </c>
      <c r="C146" s="169"/>
      <c r="D146" s="257"/>
      <c r="E146" s="105"/>
    </row>
    <row r="147" spans="1:5" ht="12" customHeight="1">
      <c r="A147" s="13" t="s">
        <v>117</v>
      </c>
      <c r="B147" s="7" t="s">
        <v>359</v>
      </c>
      <c r="C147" s="169"/>
      <c r="D147" s="257"/>
      <c r="E147" s="105"/>
    </row>
    <row r="148" spans="1:5" ht="12" customHeight="1" thickBot="1">
      <c r="A148" s="16" t="s">
        <v>118</v>
      </c>
      <c r="B148" s="371" t="s">
        <v>360</v>
      </c>
      <c r="C148" s="246"/>
      <c r="D148" s="322"/>
      <c r="E148" s="240"/>
    </row>
    <row r="149" spans="1:5" ht="12" customHeight="1" thickBot="1">
      <c r="A149" s="18" t="s">
        <v>11</v>
      </c>
      <c r="B149" s="58" t="s">
        <v>368</v>
      </c>
      <c r="C149" s="174">
        <f>+C150+C151+C152+C153</f>
        <v>0</v>
      </c>
      <c r="D149" s="259">
        <f>+D150+D151+D152+D153</f>
        <v>0</v>
      </c>
      <c r="E149" s="210">
        <f>+E150+E151+E152+E153</f>
        <v>0</v>
      </c>
    </row>
    <row r="150" spans="1:5" ht="12" customHeight="1">
      <c r="A150" s="13" t="s">
        <v>60</v>
      </c>
      <c r="B150" s="7" t="s">
        <v>282</v>
      </c>
      <c r="C150" s="169"/>
      <c r="D150" s="257"/>
      <c r="E150" s="105"/>
    </row>
    <row r="151" spans="1:5" ht="12" customHeight="1">
      <c r="A151" s="13" t="s">
        <v>61</v>
      </c>
      <c r="B151" s="7" t="s">
        <v>283</v>
      </c>
      <c r="C151" s="169"/>
      <c r="D151" s="257"/>
      <c r="E151" s="105"/>
    </row>
    <row r="152" spans="1:5" ht="12" customHeight="1">
      <c r="A152" s="13" t="s">
        <v>199</v>
      </c>
      <c r="B152" s="7" t="s">
        <v>369</v>
      </c>
      <c r="C152" s="169"/>
      <c r="D152" s="257"/>
      <c r="E152" s="105"/>
    </row>
    <row r="153" spans="1:5" ht="12" customHeight="1" thickBot="1">
      <c r="A153" s="11" t="s">
        <v>200</v>
      </c>
      <c r="B153" s="5" t="s">
        <v>299</v>
      </c>
      <c r="C153" s="169"/>
      <c r="D153" s="257"/>
      <c r="E153" s="105"/>
    </row>
    <row r="154" spans="1:5" ht="12" customHeight="1" thickBot="1">
      <c r="A154" s="18" t="s">
        <v>12</v>
      </c>
      <c r="B154" s="58" t="s">
        <v>370</v>
      </c>
      <c r="C154" s="248">
        <f>SUM(C155:C159)</f>
        <v>4440354</v>
      </c>
      <c r="D154" s="260">
        <f>SUM(D155:D159)</f>
        <v>15647961</v>
      </c>
      <c r="E154" s="242">
        <f>SUM(E155:E159)</f>
        <v>15647961</v>
      </c>
    </row>
    <row r="155" spans="1:5" ht="12" customHeight="1">
      <c r="A155" s="13" t="s">
        <v>62</v>
      </c>
      <c r="B155" s="7" t="s">
        <v>365</v>
      </c>
      <c r="C155" s="169"/>
      <c r="D155" s="257"/>
      <c r="E155" s="105"/>
    </row>
    <row r="156" spans="1:5" ht="12" customHeight="1">
      <c r="A156" s="13" t="s">
        <v>63</v>
      </c>
      <c r="B156" s="7" t="s">
        <v>372</v>
      </c>
      <c r="C156" s="257">
        <v>4440354</v>
      </c>
      <c r="D156" s="169">
        <v>15647961</v>
      </c>
      <c r="E156" s="105">
        <v>15647961</v>
      </c>
    </row>
    <row r="157" spans="1:5" ht="12" customHeight="1">
      <c r="A157" s="13" t="s">
        <v>211</v>
      </c>
      <c r="B157" s="7" t="s">
        <v>367</v>
      </c>
      <c r="C157" s="169"/>
      <c r="D157" s="257"/>
      <c r="E157" s="105"/>
    </row>
    <row r="158" spans="1:5" ht="12" customHeight="1">
      <c r="A158" s="13" t="s">
        <v>212</v>
      </c>
      <c r="B158" s="7" t="s">
        <v>373</v>
      </c>
      <c r="C158" s="169"/>
      <c r="D158" s="257"/>
      <c r="E158" s="105"/>
    </row>
    <row r="159" spans="1:5" ht="12" customHeight="1" thickBot="1">
      <c r="A159" s="13" t="s">
        <v>371</v>
      </c>
      <c r="B159" s="7" t="s">
        <v>374</v>
      </c>
      <c r="C159" s="169"/>
      <c r="D159" s="257"/>
      <c r="E159" s="105"/>
    </row>
    <row r="160" spans="1:5" ht="12" customHeight="1" thickBot="1">
      <c r="A160" s="18" t="s">
        <v>13</v>
      </c>
      <c r="B160" s="58" t="s">
        <v>375</v>
      </c>
      <c r="C160" s="249"/>
      <c r="D160" s="261"/>
      <c r="E160" s="243"/>
    </row>
    <row r="161" spans="1:5" ht="12" customHeight="1" thickBot="1">
      <c r="A161" s="18" t="s">
        <v>14</v>
      </c>
      <c r="B161" s="58" t="s">
        <v>376</v>
      </c>
      <c r="C161" s="249"/>
      <c r="D161" s="261"/>
      <c r="E161" s="243"/>
    </row>
    <row r="162" spans="1:9" ht="15" customHeight="1" thickBot="1">
      <c r="A162" s="18" t="s">
        <v>15</v>
      </c>
      <c r="B162" s="58" t="s">
        <v>378</v>
      </c>
      <c r="C162" s="250">
        <f>+C138+C142+C149+C154+C160+C161</f>
        <v>4440354</v>
      </c>
      <c r="D162" s="262">
        <f>+D138+D142+D149+D154+D160+D161</f>
        <v>15647961</v>
      </c>
      <c r="E162" s="244">
        <f>+E138+E142+E149+E154+E160+E161</f>
        <v>15647961</v>
      </c>
      <c r="F162" s="191"/>
      <c r="G162" s="192"/>
      <c r="H162" s="192"/>
      <c r="I162" s="192"/>
    </row>
    <row r="163" spans="1:5" s="180" customFormat="1" ht="12.75" customHeight="1" thickBot="1">
      <c r="A163" s="114" t="s">
        <v>16</v>
      </c>
      <c r="B163" s="155" t="s">
        <v>377</v>
      </c>
      <c r="C163" s="250">
        <f>+C137+C162</f>
        <v>605639826</v>
      </c>
      <c r="D163" s="262">
        <f>+D137+D162</f>
        <v>717161267</v>
      </c>
      <c r="E163" s="244">
        <f>+E137+E162</f>
        <v>537895782</v>
      </c>
    </row>
    <row r="164" spans="3:4" ht="15">
      <c r="C164" s="648">
        <f>C95-C163</f>
        <v>0</v>
      </c>
      <c r="D164" s="648">
        <f>D95-D163</f>
        <v>0</v>
      </c>
    </row>
    <row r="165" spans="1:5" ht="15">
      <c r="A165" s="843" t="s">
        <v>284</v>
      </c>
      <c r="B165" s="843"/>
      <c r="C165" s="843"/>
      <c r="D165" s="843"/>
      <c r="E165" s="843"/>
    </row>
    <row r="166" spans="1:5" ht="15" customHeight="1" thickBot="1">
      <c r="A166" s="853" t="s">
        <v>104</v>
      </c>
      <c r="B166" s="853"/>
      <c r="C166" s="116"/>
      <c r="E166" s="116" t="str">
        <f>E98</f>
        <v> Forintban!</v>
      </c>
    </row>
    <row r="167" spans="1:5" ht="25.5" customHeight="1" thickBot="1">
      <c r="A167" s="18">
        <v>1</v>
      </c>
      <c r="B167" s="23" t="s">
        <v>379</v>
      </c>
      <c r="C167" s="254">
        <f>+C70-C137</f>
        <v>-235462392</v>
      </c>
      <c r="D167" s="168">
        <f>+D70-D137</f>
        <v>-267750934</v>
      </c>
      <c r="E167" s="104">
        <f>+E70-E137</f>
        <v>-9691610</v>
      </c>
    </row>
    <row r="168" spans="1:5" ht="32.25" customHeight="1" thickBot="1">
      <c r="A168" s="18" t="s">
        <v>7</v>
      </c>
      <c r="B168" s="23" t="s">
        <v>385</v>
      </c>
      <c r="C168" s="168">
        <f>+C94-C162</f>
        <v>235462392</v>
      </c>
      <c r="D168" s="168">
        <f>+D94-D162</f>
        <v>267750934</v>
      </c>
      <c r="E168" s="104">
        <f>+E94-E162</f>
        <v>267750934</v>
      </c>
    </row>
  </sheetData>
  <sheetProtection/>
  <mergeCells count="16">
    <mergeCell ref="B1:E1"/>
    <mergeCell ref="A2:E2"/>
    <mergeCell ref="A3:E3"/>
    <mergeCell ref="A4:E4"/>
    <mergeCell ref="A166:B166"/>
    <mergeCell ref="A8:A9"/>
    <mergeCell ref="B8:B9"/>
    <mergeCell ref="C8:E8"/>
    <mergeCell ref="A99:A100"/>
    <mergeCell ref="B99:B100"/>
    <mergeCell ref="C99:E99"/>
    <mergeCell ref="A165:E165"/>
    <mergeCell ref="A6:E6"/>
    <mergeCell ref="A97:E97"/>
    <mergeCell ref="A7:B7"/>
    <mergeCell ref="A98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D11" sqref="D11"/>
    </sheetView>
  </sheetViews>
  <sheetFormatPr defaultColWidth="9.375" defaultRowHeight="12.75"/>
  <cols>
    <col min="1" max="1" width="5.50390625" style="31" customWidth="1"/>
    <col min="2" max="2" width="36.75390625" style="31" customWidth="1"/>
    <col min="3" max="8" width="13.7539062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63" t="s">
        <v>708</v>
      </c>
      <c r="B1" s="964"/>
      <c r="C1" s="964"/>
      <c r="D1" s="964"/>
      <c r="E1" s="964"/>
      <c r="F1" s="964"/>
      <c r="G1" s="964"/>
      <c r="H1" s="964"/>
      <c r="I1" s="964"/>
      <c r="J1" s="952" t="str">
        <f>CONCATENATE("27. melléklet ",Z_ALAPADATOK!A7," ",Z_ALAPADATOK!B7," ",Z_ALAPADATOK!C7," ",Z_ALAPADATOK!D7," ",Z_ALAPADATOK!E7," ",Z_ALAPADATOK!F7," ",Z_ALAPADATOK!G7," ",Z_ALAPADATOK!H7)</f>
        <v>27. melléklet a  / 2023. ( V…... ) önkormányzati rendelethez</v>
      </c>
    </row>
    <row r="2" spans="1:10" ht="14.25" thickBot="1">
      <c r="A2" s="69"/>
      <c r="B2" s="69"/>
      <c r="C2" s="69"/>
      <c r="D2" s="69"/>
      <c r="E2" s="69"/>
      <c r="F2" s="69"/>
      <c r="G2" s="69"/>
      <c r="H2" s="965" t="str">
        <f>'26'!H3</f>
        <v>Forintban</v>
      </c>
      <c r="I2" s="965"/>
      <c r="J2" s="952"/>
    </row>
    <row r="3" spans="1:10" ht="13.5" thickBot="1">
      <c r="A3" s="966" t="s">
        <v>4</v>
      </c>
      <c r="B3" s="968" t="s">
        <v>559</v>
      </c>
      <c r="C3" s="970" t="s">
        <v>560</v>
      </c>
      <c r="D3" s="972" t="s">
        <v>561</v>
      </c>
      <c r="E3" s="973"/>
      <c r="F3" s="973"/>
      <c r="G3" s="973"/>
      <c r="H3" s="973"/>
      <c r="I3" s="974" t="s">
        <v>562</v>
      </c>
      <c r="J3" s="952"/>
    </row>
    <row r="4" spans="1:10" s="47" customFormat="1" ht="42" customHeight="1" thickBot="1">
      <c r="A4" s="967"/>
      <c r="B4" s="969"/>
      <c r="C4" s="971"/>
      <c r="D4" s="387" t="s">
        <v>563</v>
      </c>
      <c r="E4" s="387" t="s">
        <v>564</v>
      </c>
      <c r="F4" s="387" t="s">
        <v>565</v>
      </c>
      <c r="G4" s="611" t="s">
        <v>566</v>
      </c>
      <c r="H4" s="611" t="s">
        <v>567</v>
      </c>
      <c r="I4" s="975"/>
      <c r="J4" s="952"/>
    </row>
    <row r="5" spans="1:10" s="47" customFormat="1" ht="12" customHeight="1" thickBot="1">
      <c r="A5" s="418" t="s">
        <v>389</v>
      </c>
      <c r="B5" s="419" t="s">
        <v>390</v>
      </c>
      <c r="C5" s="419" t="s">
        <v>391</v>
      </c>
      <c r="D5" s="419" t="s">
        <v>393</v>
      </c>
      <c r="E5" s="419" t="s">
        <v>392</v>
      </c>
      <c r="F5" s="419" t="s">
        <v>394</v>
      </c>
      <c r="G5" s="419" t="s">
        <v>395</v>
      </c>
      <c r="H5" s="419" t="s">
        <v>568</v>
      </c>
      <c r="I5" s="421" t="s">
        <v>569</v>
      </c>
      <c r="J5" s="952"/>
    </row>
    <row r="6" spans="1:10" s="47" customFormat="1" ht="18" customHeight="1">
      <c r="A6" s="976" t="s">
        <v>570</v>
      </c>
      <c r="B6" s="977"/>
      <c r="C6" s="977"/>
      <c r="D6" s="977"/>
      <c r="E6" s="977"/>
      <c r="F6" s="977"/>
      <c r="G6" s="977"/>
      <c r="H6" s="977"/>
      <c r="I6" s="978"/>
      <c r="J6" s="952"/>
    </row>
    <row r="7" spans="1:10" ht="15.75" customHeight="1">
      <c r="A7" s="98" t="s">
        <v>6</v>
      </c>
      <c r="B7" s="79" t="s">
        <v>571</v>
      </c>
      <c r="C7" s="70"/>
      <c r="D7" s="70"/>
      <c r="E7" s="70"/>
      <c r="F7" s="70"/>
      <c r="G7" s="510"/>
      <c r="H7" s="511">
        <f aca="true" t="shared" si="0" ref="H7:H13">SUM(D7:G7)</f>
        <v>0</v>
      </c>
      <c r="I7" s="99">
        <f aca="true" t="shared" si="1" ref="I7:I13">C7+H7</f>
        <v>0</v>
      </c>
      <c r="J7" s="952"/>
    </row>
    <row r="8" spans="1:10" ht="12.75">
      <c r="A8" s="98" t="s">
        <v>7</v>
      </c>
      <c r="B8" s="79" t="s">
        <v>139</v>
      </c>
      <c r="C8" s="70"/>
      <c r="D8" s="70"/>
      <c r="E8" s="70"/>
      <c r="F8" s="70"/>
      <c r="G8" s="510"/>
      <c r="H8" s="511">
        <f t="shared" si="0"/>
        <v>0</v>
      </c>
      <c r="I8" s="99">
        <f t="shared" si="1"/>
        <v>0</v>
      </c>
      <c r="J8" s="952"/>
    </row>
    <row r="9" spans="1:10" ht="12.75">
      <c r="A9" s="98" t="s">
        <v>8</v>
      </c>
      <c r="B9" s="79" t="s">
        <v>140</v>
      </c>
      <c r="C9" s="70"/>
      <c r="D9" s="70"/>
      <c r="E9" s="70"/>
      <c r="F9" s="70"/>
      <c r="G9" s="510"/>
      <c r="H9" s="511">
        <f t="shared" si="0"/>
        <v>0</v>
      </c>
      <c r="I9" s="99">
        <f t="shared" si="1"/>
        <v>0</v>
      </c>
      <c r="J9" s="952"/>
    </row>
    <row r="10" spans="1:10" ht="15.75" customHeight="1">
      <c r="A10" s="98" t="s">
        <v>9</v>
      </c>
      <c r="B10" s="79" t="s">
        <v>141</v>
      </c>
      <c r="C10" s="70"/>
      <c r="D10" s="70"/>
      <c r="E10" s="70"/>
      <c r="F10" s="70"/>
      <c r="G10" s="510"/>
      <c r="H10" s="511">
        <f t="shared" si="0"/>
        <v>0</v>
      </c>
      <c r="I10" s="99">
        <f t="shared" si="1"/>
        <v>0</v>
      </c>
      <c r="J10" s="952"/>
    </row>
    <row r="11" spans="1:10" ht="12.75">
      <c r="A11" s="98" t="s">
        <v>10</v>
      </c>
      <c r="B11" s="79" t="s">
        <v>142</v>
      </c>
      <c r="C11" s="70"/>
      <c r="D11" s="70"/>
      <c r="E11" s="70"/>
      <c r="F11" s="70"/>
      <c r="G11" s="510"/>
      <c r="H11" s="511">
        <f t="shared" si="0"/>
        <v>0</v>
      </c>
      <c r="I11" s="99">
        <f t="shared" si="1"/>
        <v>0</v>
      </c>
      <c r="J11" s="952"/>
    </row>
    <row r="12" spans="1:10" ht="15.75" customHeight="1">
      <c r="A12" s="100" t="s">
        <v>11</v>
      </c>
      <c r="B12" s="101" t="s">
        <v>572</v>
      </c>
      <c r="C12" s="71"/>
      <c r="D12" s="71"/>
      <c r="E12" s="71"/>
      <c r="F12" s="71"/>
      <c r="G12" s="512"/>
      <c r="H12" s="511">
        <f t="shared" si="0"/>
        <v>0</v>
      </c>
      <c r="I12" s="99">
        <f t="shared" si="1"/>
        <v>0</v>
      </c>
      <c r="J12" s="952"/>
    </row>
    <row r="13" spans="1:10" ht="15.75" customHeight="1" thickBot="1">
      <c r="A13" s="513" t="s">
        <v>12</v>
      </c>
      <c r="B13" s="514" t="s">
        <v>573</v>
      </c>
      <c r="C13" s="515"/>
      <c r="D13" s="515"/>
      <c r="E13" s="515"/>
      <c r="F13" s="515"/>
      <c r="G13" s="516"/>
      <c r="H13" s="511">
        <f t="shared" si="0"/>
        <v>0</v>
      </c>
      <c r="I13" s="99">
        <f t="shared" si="1"/>
        <v>0</v>
      </c>
      <c r="J13" s="952"/>
    </row>
    <row r="14" spans="1:10" s="72" customFormat="1" ht="18" customHeight="1" thickBot="1">
      <c r="A14" s="979" t="s">
        <v>574</v>
      </c>
      <c r="B14" s="980"/>
      <c r="C14" s="102">
        <f aca="true" t="shared" si="2" ref="C14:I14">SUM(C7:C13)</f>
        <v>0</v>
      </c>
      <c r="D14" s="102">
        <f>SUM(D7:D13)</f>
        <v>0</v>
      </c>
      <c r="E14" s="102">
        <f t="shared" si="2"/>
        <v>0</v>
      </c>
      <c r="F14" s="102">
        <f t="shared" si="2"/>
        <v>0</v>
      </c>
      <c r="G14" s="517">
        <f t="shared" si="2"/>
        <v>0</v>
      </c>
      <c r="H14" s="517">
        <f t="shared" si="2"/>
        <v>0</v>
      </c>
      <c r="I14" s="103">
        <f t="shared" si="2"/>
        <v>0</v>
      </c>
      <c r="J14" s="952"/>
    </row>
    <row r="15" spans="1:10" s="69" customFormat="1" ht="18" customHeight="1">
      <c r="A15" s="981" t="s">
        <v>575</v>
      </c>
      <c r="B15" s="982"/>
      <c r="C15" s="982"/>
      <c r="D15" s="982"/>
      <c r="E15" s="982"/>
      <c r="F15" s="982"/>
      <c r="G15" s="982"/>
      <c r="H15" s="982"/>
      <c r="I15" s="983"/>
      <c r="J15" s="952"/>
    </row>
    <row r="16" spans="1:10" s="69" customFormat="1" ht="12.75">
      <c r="A16" s="98" t="s">
        <v>6</v>
      </c>
      <c r="B16" s="79" t="s">
        <v>576</v>
      </c>
      <c r="C16" s="70"/>
      <c r="D16" s="70"/>
      <c r="E16" s="70"/>
      <c r="F16" s="70"/>
      <c r="G16" s="510"/>
      <c r="H16" s="511">
        <f>SUM(D16:G16)</f>
        <v>0</v>
      </c>
      <c r="I16" s="99">
        <f>C16+H16</f>
        <v>0</v>
      </c>
      <c r="J16" s="952"/>
    </row>
    <row r="17" spans="1:10" ht="13.5" thickBot="1">
      <c r="A17" s="513" t="s">
        <v>7</v>
      </c>
      <c r="B17" s="514" t="s">
        <v>573</v>
      </c>
      <c r="C17" s="515"/>
      <c r="D17" s="515"/>
      <c r="E17" s="515"/>
      <c r="F17" s="515"/>
      <c r="G17" s="516"/>
      <c r="H17" s="511">
        <f>SUM(D17:G17)</f>
        <v>0</v>
      </c>
      <c r="I17" s="518">
        <f>C17+H17</f>
        <v>0</v>
      </c>
      <c r="J17" s="952"/>
    </row>
    <row r="18" spans="1:10" ht="15.75" customHeight="1" thickBot="1">
      <c r="A18" s="979" t="s">
        <v>577</v>
      </c>
      <c r="B18" s="980"/>
      <c r="C18" s="102">
        <f aca="true" t="shared" si="3" ref="C18:I18">SUM(C16:C17)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517">
        <f t="shared" si="3"/>
        <v>0</v>
      </c>
      <c r="H18" s="517">
        <f t="shared" si="3"/>
        <v>0</v>
      </c>
      <c r="I18" s="103">
        <f t="shared" si="3"/>
        <v>0</v>
      </c>
      <c r="J18" s="952"/>
    </row>
    <row r="19" spans="1:10" ht="18" customHeight="1" thickBot="1">
      <c r="A19" s="984" t="s">
        <v>578</v>
      </c>
      <c r="B19" s="985"/>
      <c r="C19" s="519">
        <f aca="true" t="shared" si="4" ref="C19:I19">C14+C18</f>
        <v>0</v>
      </c>
      <c r="D19" s="519">
        <f t="shared" si="4"/>
        <v>0</v>
      </c>
      <c r="E19" s="519">
        <f t="shared" si="4"/>
        <v>0</v>
      </c>
      <c r="F19" s="519">
        <f t="shared" si="4"/>
        <v>0</v>
      </c>
      <c r="G19" s="519">
        <f t="shared" si="4"/>
        <v>0</v>
      </c>
      <c r="H19" s="519">
        <f t="shared" si="4"/>
        <v>0</v>
      </c>
      <c r="I19" s="103">
        <f t="shared" si="4"/>
        <v>0</v>
      </c>
      <c r="J19" s="952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tabSelected="1" zoomScale="120" zoomScaleNormal="120" workbookViewId="0" topLeftCell="A1">
      <selection activeCell="G11" sqref="G11:G12"/>
    </sheetView>
  </sheetViews>
  <sheetFormatPr defaultColWidth="9.375" defaultRowHeight="12.75"/>
  <cols>
    <col min="1" max="1" width="5.75390625" style="537" customWidth="1"/>
    <col min="2" max="2" width="55.75390625" style="2" customWidth="1"/>
    <col min="3" max="4" width="14.75390625" style="2" customWidth="1"/>
    <col min="5" max="16384" width="9.375" style="2" customWidth="1"/>
  </cols>
  <sheetData>
    <row r="1" spans="1:4" ht="13.5">
      <c r="A1" s="987" t="str">
        <f>CONCATENATE("28. melléklet ",Z_ALAPADATOK!A7," ",Z_ALAPADATOK!B7," ",Z_ALAPADATOK!C7," ",Z_ALAPADATOK!D7," ",Z_ALAPADATOK!E7," ",Z_ALAPADATOK!F7," ",Z_ALAPADATOK!G7," ",Z_ALAPADATOK!H7)</f>
        <v>28. melléklet a  / 2023. ( V…... ) önkormányzati rendelethez</v>
      </c>
      <c r="B1" s="865"/>
      <c r="C1" s="865"/>
      <c r="D1" s="865"/>
    </row>
    <row r="2" spans="1:4" ht="12.75">
      <c r="A2" s="613"/>
      <c r="B2" s="614"/>
      <c r="C2" s="614"/>
      <c r="D2" s="614"/>
    </row>
    <row r="3" spans="1:4" ht="15">
      <c r="A3" s="963" t="s">
        <v>637</v>
      </c>
      <c r="B3" s="944"/>
      <c r="C3" s="944"/>
      <c r="D3" s="944"/>
    </row>
    <row r="4" spans="1:4" ht="15">
      <c r="A4" s="963" t="s">
        <v>638</v>
      </c>
      <c r="B4" s="944"/>
      <c r="C4" s="944"/>
      <c r="D4" s="944"/>
    </row>
    <row r="5" spans="1:4" s="494" customFormat="1" ht="14.25" thickBot="1">
      <c r="A5" s="606"/>
      <c r="B5" s="394"/>
      <c r="C5" s="394"/>
      <c r="D5" s="404" t="str">
        <f>'26'!H3</f>
        <v>Forintban</v>
      </c>
    </row>
    <row r="6" spans="1:4" s="47" customFormat="1" ht="48" customHeight="1" thickBot="1">
      <c r="A6" s="380" t="s">
        <v>4</v>
      </c>
      <c r="B6" s="387" t="s">
        <v>5</v>
      </c>
      <c r="C6" s="387" t="s">
        <v>579</v>
      </c>
      <c r="D6" s="615" t="s">
        <v>580</v>
      </c>
    </row>
    <row r="7" spans="1:4" s="47" customFormat="1" ht="13.5" customHeight="1" thickBot="1">
      <c r="A7" s="616" t="s">
        <v>389</v>
      </c>
      <c r="B7" s="617" t="s">
        <v>390</v>
      </c>
      <c r="C7" s="617" t="s">
        <v>391</v>
      </c>
      <c r="D7" s="618" t="s">
        <v>393</v>
      </c>
    </row>
    <row r="8" spans="1:4" ht="18" customHeight="1">
      <c r="A8" s="520" t="s">
        <v>6</v>
      </c>
      <c r="B8" s="521" t="s">
        <v>581</v>
      </c>
      <c r="C8" s="522"/>
      <c r="D8" s="523"/>
    </row>
    <row r="9" spans="1:4" ht="18" customHeight="1">
      <c r="A9" s="524" t="s">
        <v>7</v>
      </c>
      <c r="B9" s="525" t="s">
        <v>582</v>
      </c>
      <c r="C9" s="526"/>
      <c r="D9" s="527"/>
    </row>
    <row r="10" spans="1:4" ht="18" customHeight="1">
      <c r="A10" s="524" t="s">
        <v>8</v>
      </c>
      <c r="B10" s="525" t="s">
        <v>583</v>
      </c>
      <c r="C10" s="526"/>
      <c r="D10" s="527"/>
    </row>
    <row r="11" spans="1:4" ht="18" customHeight="1">
      <c r="A11" s="524" t="s">
        <v>9</v>
      </c>
      <c r="B11" s="525" t="s">
        <v>584</v>
      </c>
      <c r="C11" s="526"/>
      <c r="D11" s="527"/>
    </row>
    <row r="12" spans="1:4" ht="18" customHeight="1">
      <c r="A12" s="528" t="s">
        <v>10</v>
      </c>
      <c r="B12" s="525" t="s">
        <v>585</v>
      </c>
      <c r="C12" s="526">
        <v>34968744</v>
      </c>
      <c r="D12" s="527">
        <v>37733998</v>
      </c>
    </row>
    <row r="13" spans="1:4" ht="18" customHeight="1">
      <c r="A13" s="524" t="s">
        <v>11</v>
      </c>
      <c r="B13" s="525" t="s">
        <v>586</v>
      </c>
      <c r="C13" s="526">
        <v>34249778</v>
      </c>
      <c r="D13" s="527">
        <v>36930232</v>
      </c>
    </row>
    <row r="14" spans="1:4" ht="18" customHeight="1">
      <c r="A14" s="528" t="s">
        <v>12</v>
      </c>
      <c r="B14" s="529" t="s">
        <v>587</v>
      </c>
      <c r="C14" s="526">
        <v>718966</v>
      </c>
      <c r="D14" s="527">
        <v>803766</v>
      </c>
    </row>
    <row r="15" spans="1:4" ht="18" customHeight="1">
      <c r="A15" s="528" t="s">
        <v>13</v>
      </c>
      <c r="B15" s="529" t="s">
        <v>588</v>
      </c>
      <c r="C15" s="526">
        <v>0</v>
      </c>
      <c r="D15" s="527"/>
    </row>
    <row r="16" spans="1:4" ht="18" customHeight="1">
      <c r="A16" s="524" t="s">
        <v>14</v>
      </c>
      <c r="B16" s="529" t="s">
        <v>589</v>
      </c>
      <c r="C16" s="526"/>
      <c r="D16" s="527"/>
    </row>
    <row r="17" spans="1:4" ht="18" customHeight="1">
      <c r="A17" s="528" t="s">
        <v>15</v>
      </c>
      <c r="B17" s="529" t="s">
        <v>590</v>
      </c>
      <c r="C17" s="526"/>
      <c r="D17" s="527"/>
    </row>
    <row r="18" spans="1:4" ht="12.75">
      <c r="A18" s="524" t="s">
        <v>16</v>
      </c>
      <c r="B18" s="529" t="s">
        <v>591</v>
      </c>
      <c r="C18" s="526"/>
      <c r="D18" s="527"/>
    </row>
    <row r="19" spans="1:4" ht="18" customHeight="1">
      <c r="A19" s="528" t="s">
        <v>17</v>
      </c>
      <c r="B19" s="525" t="s">
        <v>592</v>
      </c>
      <c r="C19" s="526"/>
      <c r="D19" s="527"/>
    </row>
    <row r="20" spans="1:4" ht="18" customHeight="1">
      <c r="A20" s="524" t="s">
        <v>18</v>
      </c>
      <c r="B20" s="525" t="s">
        <v>593</v>
      </c>
      <c r="C20" s="526"/>
      <c r="D20" s="527"/>
    </row>
    <row r="21" spans="1:4" ht="18" customHeight="1">
      <c r="A21" s="528" t="s">
        <v>19</v>
      </c>
      <c r="B21" s="525" t="s">
        <v>594</v>
      </c>
      <c r="C21" s="526"/>
      <c r="D21" s="527"/>
    </row>
    <row r="22" spans="1:4" ht="18" customHeight="1">
      <c r="A22" s="524" t="s">
        <v>20</v>
      </c>
      <c r="B22" s="525" t="s">
        <v>595</v>
      </c>
      <c r="C22" s="526"/>
      <c r="D22" s="527"/>
    </row>
    <row r="23" spans="1:4" ht="18" customHeight="1">
      <c r="A23" s="528" t="s">
        <v>21</v>
      </c>
      <c r="B23" s="525" t="s">
        <v>596</v>
      </c>
      <c r="C23" s="526"/>
      <c r="D23" s="527"/>
    </row>
    <row r="24" spans="1:4" ht="18" customHeight="1">
      <c r="A24" s="524" t="s">
        <v>22</v>
      </c>
      <c r="B24" s="530"/>
      <c r="C24" s="526"/>
      <c r="D24" s="527"/>
    </row>
    <row r="25" spans="1:4" ht="18" customHeight="1">
      <c r="A25" s="528" t="s">
        <v>23</v>
      </c>
      <c r="B25" s="530"/>
      <c r="C25" s="526"/>
      <c r="D25" s="527"/>
    </row>
    <row r="26" spans="1:4" ht="18" customHeight="1">
      <c r="A26" s="524" t="s">
        <v>24</v>
      </c>
      <c r="B26" s="530"/>
      <c r="C26" s="526"/>
      <c r="D26" s="527"/>
    </row>
    <row r="27" spans="1:4" ht="18" customHeight="1">
      <c r="A27" s="528" t="s">
        <v>25</v>
      </c>
      <c r="B27" s="530"/>
      <c r="C27" s="526"/>
      <c r="D27" s="527"/>
    </row>
    <row r="28" spans="1:4" ht="18" customHeight="1">
      <c r="A28" s="524" t="s">
        <v>26</v>
      </c>
      <c r="B28" s="530"/>
      <c r="C28" s="526"/>
      <c r="D28" s="527"/>
    </row>
    <row r="29" spans="1:4" ht="18" customHeight="1">
      <c r="A29" s="528" t="s">
        <v>27</v>
      </c>
      <c r="B29" s="530"/>
      <c r="C29" s="526"/>
      <c r="D29" s="527"/>
    </row>
    <row r="30" spans="1:4" ht="18" customHeight="1">
      <c r="A30" s="524" t="s">
        <v>28</v>
      </c>
      <c r="B30" s="530"/>
      <c r="C30" s="526"/>
      <c r="D30" s="527"/>
    </row>
    <row r="31" spans="1:4" ht="18" customHeight="1">
      <c r="A31" s="528" t="s">
        <v>29</v>
      </c>
      <c r="B31" s="530"/>
      <c r="C31" s="526"/>
      <c r="D31" s="527"/>
    </row>
    <row r="32" spans="1:4" ht="18" customHeight="1" thickBot="1">
      <c r="A32" s="531" t="s">
        <v>30</v>
      </c>
      <c r="B32" s="532"/>
      <c r="C32" s="533"/>
      <c r="D32" s="534"/>
    </row>
    <row r="33" spans="1:4" ht="18" customHeight="1" thickBot="1">
      <c r="A33" s="535" t="s">
        <v>31</v>
      </c>
      <c r="B33" s="612" t="s">
        <v>38</v>
      </c>
      <c r="C33" s="501">
        <f>+C8+C9+C10+C11+C12+C19+C20+C21+C22+C23+C24+C25+C26+C27+C28+C29+C30+C31+C32</f>
        <v>34968744</v>
      </c>
      <c r="D33" s="502">
        <f>+D8+D9+D10+D11+D12+D19+D20+D21+D22+D23+D24+D25+D26+D27+D28+D29+D30+D31+D32</f>
        <v>37733998</v>
      </c>
    </row>
    <row r="34" spans="1:4" ht="25.5" customHeight="1">
      <c r="A34" s="536"/>
      <c r="B34" s="986" t="s">
        <v>597</v>
      </c>
      <c r="C34" s="986"/>
      <c r="D34" s="986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="120" zoomScaleNormal="120" workbookViewId="0" topLeftCell="A1">
      <selection activeCell="A4" sqref="A4:E4"/>
    </sheetView>
  </sheetViews>
  <sheetFormatPr defaultColWidth="9.375" defaultRowHeight="12.75"/>
  <cols>
    <col min="1" max="1" width="6.625" style="31" customWidth="1"/>
    <col min="2" max="2" width="40.75390625" style="31" customWidth="1"/>
    <col min="3" max="3" width="20.75390625" style="31" customWidth="1"/>
    <col min="4" max="5" width="12.75390625" style="31" customWidth="1"/>
    <col min="6" max="16384" width="9.375" style="31" customWidth="1"/>
  </cols>
  <sheetData>
    <row r="1" spans="1:5" ht="13.5">
      <c r="A1" s="990" t="str">
        <f>CONCATENATE("29. melléklet ",Z_ALAPADATOK!A7," ",Z_ALAPADATOK!B7," ",Z_ALAPADATOK!C7," ",Z_ALAPADATOK!D7," ",Z_ALAPADATOK!E7," ",Z_ALAPADATOK!F7," ",Z_ALAPADATOK!G7," ",Z_ALAPADATOK!H7)</f>
        <v>29. melléklet a  / 2023. ( V…... ) önkormányzati rendelethez</v>
      </c>
      <c r="B1" s="990"/>
      <c r="C1" s="990"/>
      <c r="D1" s="990"/>
      <c r="E1" s="990"/>
    </row>
    <row r="2" spans="1:5" ht="12.75">
      <c r="A2" s="69"/>
      <c r="B2" s="69"/>
      <c r="C2" s="69"/>
      <c r="D2" s="69"/>
      <c r="E2" s="69"/>
    </row>
    <row r="3" spans="1:5" ht="15">
      <c r="A3" s="900" t="s">
        <v>639</v>
      </c>
      <c r="B3" s="900"/>
      <c r="C3" s="900"/>
      <c r="D3" s="900"/>
      <c r="E3" s="900"/>
    </row>
    <row r="4" spans="1:5" ht="15">
      <c r="A4" s="900" t="s">
        <v>721</v>
      </c>
      <c r="B4" s="900"/>
      <c r="C4" s="900"/>
      <c r="D4" s="900"/>
      <c r="E4" s="900"/>
    </row>
    <row r="5" spans="1:5" ht="12.75">
      <c r="A5" s="69"/>
      <c r="B5" s="69"/>
      <c r="C5" s="69"/>
      <c r="D5" s="69"/>
      <c r="E5" s="69"/>
    </row>
    <row r="6" spans="1:5" ht="14.25" thickBot="1">
      <c r="A6" s="69"/>
      <c r="B6" s="69"/>
      <c r="C6" s="619"/>
      <c r="D6" s="619"/>
      <c r="E6" s="619" t="str">
        <f>'28'!D5</f>
        <v>Forintban</v>
      </c>
    </row>
    <row r="7" spans="1:5" ht="42.75" customHeight="1" thickBot="1">
      <c r="A7" s="620" t="s">
        <v>52</v>
      </c>
      <c r="B7" s="751" t="s">
        <v>598</v>
      </c>
      <c r="C7" s="751" t="s">
        <v>599</v>
      </c>
      <c r="D7" s="755" t="s">
        <v>600</v>
      </c>
      <c r="E7" s="621" t="s">
        <v>601</v>
      </c>
    </row>
    <row r="8" spans="1:5" ht="15.75" customHeight="1">
      <c r="A8" s="538" t="s">
        <v>6</v>
      </c>
      <c r="B8" s="750" t="s">
        <v>794</v>
      </c>
      <c r="C8" s="757" t="s">
        <v>807</v>
      </c>
      <c r="D8" s="754">
        <v>100</v>
      </c>
      <c r="E8" s="539">
        <v>100</v>
      </c>
    </row>
    <row r="9" spans="1:5" ht="15.75" customHeight="1">
      <c r="A9" s="540" t="s">
        <v>7</v>
      </c>
      <c r="B9" s="746" t="s">
        <v>795</v>
      </c>
      <c r="C9" s="757" t="s">
        <v>807</v>
      </c>
      <c r="D9" s="753">
        <v>100</v>
      </c>
      <c r="E9" s="541">
        <v>0</v>
      </c>
    </row>
    <row r="10" spans="1:5" ht="15.75" customHeight="1">
      <c r="A10" s="540" t="s">
        <v>8</v>
      </c>
      <c r="B10" s="746" t="s">
        <v>796</v>
      </c>
      <c r="C10" s="757" t="s">
        <v>807</v>
      </c>
      <c r="D10" s="753">
        <v>100</v>
      </c>
      <c r="E10" s="541">
        <v>100</v>
      </c>
    </row>
    <row r="11" spans="1:5" ht="15.75" customHeight="1">
      <c r="A11" s="540" t="s">
        <v>9</v>
      </c>
      <c r="B11" s="746" t="s">
        <v>797</v>
      </c>
      <c r="C11" s="757" t="s">
        <v>807</v>
      </c>
      <c r="D11" s="753">
        <v>100</v>
      </c>
      <c r="E11" s="541">
        <v>150</v>
      </c>
    </row>
    <row r="12" spans="1:5" ht="15.75" customHeight="1">
      <c r="A12" s="540" t="s">
        <v>10</v>
      </c>
      <c r="B12" s="746" t="s">
        <v>798</v>
      </c>
      <c r="C12" s="757" t="s">
        <v>807</v>
      </c>
      <c r="D12" s="753">
        <v>100</v>
      </c>
      <c r="E12" s="541">
        <v>0</v>
      </c>
    </row>
    <row r="13" spans="1:5" ht="15.75" customHeight="1">
      <c r="A13" s="540" t="s">
        <v>11</v>
      </c>
      <c r="B13" s="746" t="s">
        <v>799</v>
      </c>
      <c r="C13" s="757" t="s">
        <v>807</v>
      </c>
      <c r="D13" s="753">
        <v>70</v>
      </c>
      <c r="E13" s="541">
        <v>0</v>
      </c>
    </row>
    <row r="14" spans="1:5" ht="15.75" customHeight="1">
      <c r="A14" s="540" t="s">
        <v>12</v>
      </c>
      <c r="B14" s="747" t="s">
        <v>800</v>
      </c>
      <c r="C14" s="757" t="s">
        <v>807</v>
      </c>
      <c r="D14" s="753">
        <v>100</v>
      </c>
      <c r="E14" s="541">
        <v>130</v>
      </c>
    </row>
    <row r="15" spans="1:5" ht="15.75" customHeight="1">
      <c r="A15" s="540" t="s">
        <v>13</v>
      </c>
      <c r="B15" s="748" t="s">
        <v>801</v>
      </c>
      <c r="C15" s="757" t="s">
        <v>807</v>
      </c>
      <c r="D15" s="753">
        <v>100</v>
      </c>
      <c r="E15" s="541">
        <v>100</v>
      </c>
    </row>
    <row r="16" spans="1:5" ht="15.75" customHeight="1">
      <c r="A16" s="540" t="s">
        <v>14</v>
      </c>
      <c r="B16" s="748" t="s">
        <v>802</v>
      </c>
      <c r="C16" s="757" t="s">
        <v>807</v>
      </c>
      <c r="D16" s="753">
        <v>50</v>
      </c>
      <c r="E16" s="541">
        <v>0</v>
      </c>
    </row>
    <row r="17" spans="1:5" ht="15.75" customHeight="1">
      <c r="A17" s="540" t="s">
        <v>15</v>
      </c>
      <c r="B17" s="749" t="s">
        <v>803</v>
      </c>
      <c r="C17" s="757" t="s">
        <v>807</v>
      </c>
      <c r="D17" s="753">
        <v>50</v>
      </c>
      <c r="E17" s="541">
        <v>0</v>
      </c>
    </row>
    <row r="18" spans="1:5" ht="15.75" customHeight="1">
      <c r="A18" s="540" t="s">
        <v>16</v>
      </c>
      <c r="B18" s="748" t="s">
        <v>804</v>
      </c>
      <c r="C18" s="757" t="s">
        <v>807</v>
      </c>
      <c r="D18" s="753">
        <v>100</v>
      </c>
      <c r="E18" s="541">
        <v>100</v>
      </c>
    </row>
    <row r="19" spans="1:5" ht="15.75" customHeight="1">
      <c r="A19" s="540" t="s">
        <v>17</v>
      </c>
      <c r="B19" s="748" t="s">
        <v>805</v>
      </c>
      <c r="C19" s="757" t="s">
        <v>807</v>
      </c>
      <c r="D19" s="753">
        <v>50</v>
      </c>
      <c r="E19" s="541">
        <v>0</v>
      </c>
    </row>
    <row r="20" spans="1:5" ht="15.75" customHeight="1" thickBot="1">
      <c r="A20" s="540" t="s">
        <v>18</v>
      </c>
      <c r="B20" s="748" t="s">
        <v>806</v>
      </c>
      <c r="C20" s="757" t="s">
        <v>807</v>
      </c>
      <c r="D20" s="756">
        <v>100</v>
      </c>
      <c r="E20" s="541">
        <v>0</v>
      </c>
    </row>
    <row r="21" spans="1:5" ht="15.75" customHeight="1" thickBot="1">
      <c r="A21" s="988" t="s">
        <v>38</v>
      </c>
      <c r="B21" s="989"/>
      <c r="C21" s="542"/>
      <c r="D21" s="752">
        <f>SUM(D8:D20)</f>
        <v>1120</v>
      </c>
      <c r="E21" s="543">
        <f>SUM(E8:E20)</f>
        <v>680</v>
      </c>
    </row>
  </sheetData>
  <sheetProtection/>
  <mergeCells count="4">
    <mergeCell ref="A21:B2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1"/>
  <sheetViews>
    <sheetView zoomScale="120" zoomScaleNormal="120" zoomScaleSheetLayoutView="120" workbookViewId="0" topLeftCell="A1">
      <selection activeCell="I16" sqref="I16"/>
    </sheetView>
  </sheetViews>
  <sheetFormatPr defaultColWidth="12.00390625" defaultRowHeight="12.75"/>
  <cols>
    <col min="1" max="1" width="6.125" style="545" customWidth="1"/>
    <col min="2" max="2" width="49.625" style="545" customWidth="1"/>
    <col min="3" max="3" width="12.125" style="544" customWidth="1"/>
    <col min="4" max="4" width="12.125" style="548" customWidth="1"/>
    <col min="5" max="5" width="12.00390625" style="544" customWidth="1"/>
    <col min="6" max="6" width="14.375" style="544" customWidth="1"/>
    <col min="7" max="16384" width="12.00390625" style="544" customWidth="1"/>
  </cols>
  <sheetData>
    <row r="1" spans="1:4" ht="15">
      <c r="A1" s="849"/>
      <c r="B1" s="849"/>
      <c r="C1" s="849"/>
      <c r="D1" s="849"/>
    </row>
    <row r="2" spans="1:4" ht="15">
      <c r="A2" s="991" t="s">
        <v>1255</v>
      </c>
      <c r="B2" s="991"/>
      <c r="C2" s="991"/>
      <c r="D2" s="991"/>
    </row>
    <row r="3" spans="1:4" ht="16.5" customHeight="1">
      <c r="A3" s="991" t="s">
        <v>1256</v>
      </c>
      <c r="B3" s="991"/>
      <c r="C3" s="991"/>
      <c r="D3" s="991"/>
    </row>
    <row r="4" spans="1:4" ht="16.5" customHeight="1">
      <c r="A4" s="992" t="s">
        <v>722</v>
      </c>
      <c r="B4" s="992"/>
      <c r="C4" s="992"/>
      <c r="D4" s="992"/>
    </row>
    <row r="5" spans="1:4" ht="16.5" customHeight="1" thickBot="1">
      <c r="A5" s="622"/>
      <c r="B5" s="622"/>
      <c r="C5" s="993"/>
      <c r="D5" s="993"/>
    </row>
    <row r="6" spans="1:4" ht="15.75" customHeight="1">
      <c r="A6" s="1001" t="s">
        <v>602</v>
      </c>
      <c r="B6" s="998" t="s">
        <v>1236</v>
      </c>
      <c r="C6" s="994" t="s">
        <v>808</v>
      </c>
      <c r="D6" s="995"/>
    </row>
    <row r="7" spans="1:4" ht="11.25" customHeight="1">
      <c r="A7" s="1002"/>
      <c r="B7" s="999"/>
      <c r="C7" s="996"/>
      <c r="D7" s="997"/>
    </row>
    <row r="8" spans="1:4" ht="15.75" thickBot="1">
      <c r="A8" s="1003"/>
      <c r="B8" s="1000"/>
      <c r="C8" s="826" t="s">
        <v>809</v>
      </c>
      <c r="D8" s="827" t="s">
        <v>810</v>
      </c>
    </row>
    <row r="9" spans="1:4" s="546" customFormat="1" ht="15">
      <c r="A9" s="823" t="s">
        <v>389</v>
      </c>
      <c r="B9" s="824" t="s">
        <v>390</v>
      </c>
      <c r="C9" s="824" t="s">
        <v>391</v>
      </c>
      <c r="D9" s="825" t="s">
        <v>393</v>
      </c>
    </row>
    <row r="10" spans="1:4" ht="15">
      <c r="A10" s="819" t="s">
        <v>39</v>
      </c>
      <c r="B10" s="765" t="s">
        <v>811</v>
      </c>
      <c r="C10" s="766">
        <v>0</v>
      </c>
      <c r="D10" s="813">
        <v>0</v>
      </c>
    </row>
    <row r="11" spans="1:4" ht="15">
      <c r="A11" s="819" t="s">
        <v>43</v>
      </c>
      <c r="B11" s="765" t="s">
        <v>812</v>
      </c>
      <c r="C11" s="766">
        <v>1552800</v>
      </c>
      <c r="D11" s="813">
        <v>1080376</v>
      </c>
    </row>
    <row r="12" spans="1:4" ht="15">
      <c r="A12" s="819" t="s">
        <v>44</v>
      </c>
      <c r="B12" s="765" t="s">
        <v>813</v>
      </c>
      <c r="C12" s="766">
        <v>0</v>
      </c>
      <c r="D12" s="813">
        <v>0</v>
      </c>
    </row>
    <row r="13" spans="1:4" ht="15">
      <c r="A13" s="820" t="s">
        <v>336</v>
      </c>
      <c r="B13" s="767" t="s">
        <v>814</v>
      </c>
      <c r="C13" s="768">
        <v>1552800</v>
      </c>
      <c r="D13" s="815">
        <v>1080376</v>
      </c>
    </row>
    <row r="14" spans="1:4" ht="15">
      <c r="A14" s="819" t="s">
        <v>815</v>
      </c>
      <c r="B14" s="765" t="s">
        <v>816</v>
      </c>
      <c r="C14" s="766">
        <v>3408137960</v>
      </c>
      <c r="D14" s="813">
        <v>3380604138</v>
      </c>
    </row>
    <row r="15" spans="1:4" ht="15">
      <c r="A15" s="819" t="s">
        <v>817</v>
      </c>
      <c r="B15" s="765" t="s">
        <v>818</v>
      </c>
      <c r="C15" s="766">
        <v>47996190</v>
      </c>
      <c r="D15" s="813">
        <v>52831190</v>
      </c>
    </row>
    <row r="16" spans="1:4" ht="15">
      <c r="A16" s="819" t="s">
        <v>819</v>
      </c>
      <c r="B16" s="765" t="s">
        <v>820</v>
      </c>
      <c r="C16" s="766">
        <v>0</v>
      </c>
      <c r="D16" s="813">
        <v>0</v>
      </c>
    </row>
    <row r="17" spans="1:4" ht="15">
      <c r="A17" s="819" t="s">
        <v>821</v>
      </c>
      <c r="B17" s="765" t="s">
        <v>822</v>
      </c>
      <c r="C17" s="766">
        <v>24347257</v>
      </c>
      <c r="D17" s="813">
        <v>29793051</v>
      </c>
    </row>
    <row r="18" spans="1:4" ht="15">
      <c r="A18" s="819" t="s">
        <v>823</v>
      </c>
      <c r="B18" s="765" t="s">
        <v>824</v>
      </c>
      <c r="C18" s="766">
        <v>0</v>
      </c>
      <c r="D18" s="813">
        <v>0</v>
      </c>
    </row>
    <row r="19" spans="1:4" ht="15">
      <c r="A19" s="820" t="s">
        <v>825</v>
      </c>
      <c r="B19" s="767" t="s">
        <v>826</v>
      </c>
      <c r="C19" s="768">
        <v>3480481407</v>
      </c>
      <c r="D19" s="815">
        <v>3463228379</v>
      </c>
    </row>
    <row r="20" spans="1:4" ht="15">
      <c r="A20" s="819" t="s">
        <v>827</v>
      </c>
      <c r="B20" s="765" t="s">
        <v>828</v>
      </c>
      <c r="C20" s="766">
        <v>16288560</v>
      </c>
      <c r="D20" s="813">
        <v>16288560</v>
      </c>
    </row>
    <row r="21" spans="1:4" ht="15">
      <c r="A21" s="819" t="s">
        <v>829</v>
      </c>
      <c r="B21" s="765" t="s">
        <v>830</v>
      </c>
      <c r="C21" s="766">
        <v>0</v>
      </c>
      <c r="D21" s="813">
        <v>0</v>
      </c>
    </row>
    <row r="22" spans="1:4" ht="27">
      <c r="A22" s="819" t="s">
        <v>831</v>
      </c>
      <c r="B22" s="765" t="s">
        <v>832</v>
      </c>
      <c r="C22" s="766">
        <v>0</v>
      </c>
      <c r="D22" s="813">
        <v>0</v>
      </c>
    </row>
    <row r="23" spans="1:4" ht="15">
      <c r="A23" s="819" t="s">
        <v>833</v>
      </c>
      <c r="B23" s="765" t="s">
        <v>834</v>
      </c>
      <c r="C23" s="766">
        <v>0</v>
      </c>
      <c r="D23" s="813">
        <v>0</v>
      </c>
    </row>
    <row r="24" spans="1:4" ht="15">
      <c r="A24" s="819" t="s">
        <v>835</v>
      </c>
      <c r="B24" s="765" t="s">
        <v>836</v>
      </c>
      <c r="C24" s="766">
        <v>0</v>
      </c>
      <c r="D24" s="813">
        <v>0</v>
      </c>
    </row>
    <row r="25" spans="1:4" ht="27">
      <c r="A25" s="819" t="s">
        <v>837</v>
      </c>
      <c r="B25" s="765" t="s">
        <v>838</v>
      </c>
      <c r="C25" s="766">
        <v>5639575</v>
      </c>
      <c r="D25" s="813">
        <v>5639575</v>
      </c>
    </row>
    <row r="26" spans="1:4" ht="15">
      <c r="A26" s="819" t="s">
        <v>839</v>
      </c>
      <c r="B26" s="765" t="s">
        <v>840</v>
      </c>
      <c r="C26" s="766">
        <v>10648985</v>
      </c>
      <c r="D26" s="813">
        <v>10648985</v>
      </c>
    </row>
    <row r="27" spans="1:4" ht="27">
      <c r="A27" s="819" t="s">
        <v>841</v>
      </c>
      <c r="B27" s="765" t="s">
        <v>842</v>
      </c>
      <c r="C27" s="766">
        <v>0</v>
      </c>
      <c r="D27" s="813">
        <v>0</v>
      </c>
    </row>
    <row r="28" spans="1:4" ht="15">
      <c r="A28" s="819" t="s">
        <v>843</v>
      </c>
      <c r="B28" s="765" t="s">
        <v>844</v>
      </c>
      <c r="C28" s="766">
        <v>0</v>
      </c>
      <c r="D28" s="813">
        <v>0</v>
      </c>
    </row>
    <row r="29" spans="1:4" ht="15">
      <c r="A29" s="819" t="s">
        <v>845</v>
      </c>
      <c r="B29" s="765" t="s">
        <v>846</v>
      </c>
      <c r="C29" s="766">
        <v>0</v>
      </c>
      <c r="D29" s="813">
        <v>0</v>
      </c>
    </row>
    <row r="30" spans="1:4" ht="15">
      <c r="A30" s="819" t="s">
        <v>847</v>
      </c>
      <c r="B30" s="765" t="s">
        <v>848</v>
      </c>
      <c r="C30" s="766">
        <v>0</v>
      </c>
      <c r="D30" s="813">
        <v>0</v>
      </c>
    </row>
    <row r="31" spans="1:4" ht="27">
      <c r="A31" s="820" t="s">
        <v>849</v>
      </c>
      <c r="B31" s="767" t="s">
        <v>850</v>
      </c>
      <c r="C31" s="768">
        <v>16288560</v>
      </c>
      <c r="D31" s="815">
        <v>16288560</v>
      </c>
    </row>
    <row r="32" spans="1:4" ht="27">
      <c r="A32" s="819" t="s">
        <v>851</v>
      </c>
      <c r="B32" s="765" t="s">
        <v>852</v>
      </c>
      <c r="C32" s="766">
        <v>0</v>
      </c>
      <c r="D32" s="813">
        <v>0</v>
      </c>
    </row>
    <row r="33" spans="1:4" ht="15">
      <c r="A33" s="819" t="s">
        <v>853</v>
      </c>
      <c r="B33" s="765" t="s">
        <v>854</v>
      </c>
      <c r="C33" s="766">
        <v>0</v>
      </c>
      <c r="D33" s="813">
        <v>0</v>
      </c>
    </row>
    <row r="34" spans="1:4" ht="15">
      <c r="A34" s="819" t="s">
        <v>855</v>
      </c>
      <c r="B34" s="765" t="s">
        <v>856</v>
      </c>
      <c r="C34" s="766">
        <v>0</v>
      </c>
      <c r="D34" s="813">
        <v>0</v>
      </c>
    </row>
    <row r="35" spans="1:4" ht="27">
      <c r="A35" s="819" t="s">
        <v>857</v>
      </c>
      <c r="B35" s="765" t="s">
        <v>858</v>
      </c>
      <c r="C35" s="766">
        <v>0</v>
      </c>
      <c r="D35" s="813">
        <v>0</v>
      </c>
    </row>
    <row r="36" spans="1:4" ht="27">
      <c r="A36" s="819" t="s">
        <v>859</v>
      </c>
      <c r="B36" s="765" t="s">
        <v>860</v>
      </c>
      <c r="C36" s="766">
        <v>0</v>
      </c>
      <c r="D36" s="813">
        <v>0</v>
      </c>
    </row>
    <row r="37" spans="1:4" ht="27">
      <c r="A37" s="820" t="s">
        <v>861</v>
      </c>
      <c r="B37" s="767" t="s">
        <v>862</v>
      </c>
      <c r="C37" s="768">
        <v>0</v>
      </c>
      <c r="D37" s="815">
        <v>0</v>
      </c>
    </row>
    <row r="38" spans="1:4" ht="27">
      <c r="A38" s="820" t="s">
        <v>863</v>
      </c>
      <c r="B38" s="767" t="s">
        <v>864</v>
      </c>
      <c r="C38" s="768">
        <v>3498322767</v>
      </c>
      <c r="D38" s="815">
        <v>3480597315</v>
      </c>
    </row>
    <row r="39" spans="1:4" ht="15">
      <c r="A39" s="819" t="s">
        <v>865</v>
      </c>
      <c r="B39" s="765" t="s">
        <v>866</v>
      </c>
      <c r="C39" s="766">
        <v>608616</v>
      </c>
      <c r="D39" s="813">
        <v>1348670</v>
      </c>
    </row>
    <row r="40" spans="1:4" ht="15">
      <c r="A40" s="819" t="s">
        <v>867</v>
      </c>
      <c r="B40" s="765" t="s">
        <v>868</v>
      </c>
      <c r="C40" s="766">
        <v>0</v>
      </c>
      <c r="D40" s="813">
        <v>0</v>
      </c>
    </row>
    <row r="41" spans="1:4" ht="15">
      <c r="A41" s="819" t="s">
        <v>869</v>
      </c>
      <c r="B41" s="765" t="s">
        <v>870</v>
      </c>
      <c r="C41" s="766">
        <v>0</v>
      </c>
      <c r="D41" s="813">
        <v>0</v>
      </c>
    </row>
    <row r="42" spans="1:4" ht="15">
      <c r="A42" s="819" t="s">
        <v>871</v>
      </c>
      <c r="B42" s="765" t="s">
        <v>872</v>
      </c>
      <c r="C42" s="766">
        <v>0</v>
      </c>
      <c r="D42" s="813">
        <v>0</v>
      </c>
    </row>
    <row r="43" spans="1:4" ht="15">
      <c r="A43" s="819" t="s">
        <v>873</v>
      </c>
      <c r="B43" s="765" t="s">
        <v>874</v>
      </c>
      <c r="C43" s="766">
        <v>0</v>
      </c>
      <c r="D43" s="813">
        <v>0</v>
      </c>
    </row>
    <row r="44" spans="1:4" ht="15">
      <c r="A44" s="820" t="s">
        <v>875</v>
      </c>
      <c r="B44" s="767" t="s">
        <v>876</v>
      </c>
      <c r="C44" s="768">
        <v>608616</v>
      </c>
      <c r="D44" s="815">
        <v>1348670</v>
      </c>
    </row>
    <row r="45" spans="1:4" ht="15">
      <c r="A45" s="819" t="s">
        <v>877</v>
      </c>
      <c r="B45" s="765" t="s">
        <v>878</v>
      </c>
      <c r="C45" s="766">
        <v>0</v>
      </c>
      <c r="D45" s="813">
        <v>0</v>
      </c>
    </row>
    <row r="46" spans="1:4" ht="15">
      <c r="A46" s="819" t="s">
        <v>879</v>
      </c>
      <c r="B46" s="765" t="s">
        <v>880</v>
      </c>
      <c r="C46" s="766">
        <v>0</v>
      </c>
      <c r="D46" s="813">
        <v>0</v>
      </c>
    </row>
    <row r="47" spans="1:4" ht="15">
      <c r="A47" s="819" t="s">
        <v>881</v>
      </c>
      <c r="B47" s="765" t="s">
        <v>882</v>
      </c>
      <c r="C47" s="766">
        <v>0</v>
      </c>
      <c r="D47" s="813">
        <v>0</v>
      </c>
    </row>
    <row r="48" spans="1:4" ht="27">
      <c r="A48" s="819" t="s">
        <v>883</v>
      </c>
      <c r="B48" s="765" t="s">
        <v>1162</v>
      </c>
      <c r="C48" s="766">
        <v>0</v>
      </c>
      <c r="D48" s="813">
        <v>0</v>
      </c>
    </row>
    <row r="49" spans="1:4" ht="15">
      <c r="A49" s="819" t="s">
        <v>884</v>
      </c>
      <c r="B49" s="765" t="s">
        <v>885</v>
      </c>
      <c r="C49" s="766">
        <v>0</v>
      </c>
      <c r="D49" s="813">
        <v>0</v>
      </c>
    </row>
    <row r="50" spans="1:4" ht="15">
      <c r="A50" s="819" t="s">
        <v>886</v>
      </c>
      <c r="B50" s="765" t="s">
        <v>887</v>
      </c>
      <c r="C50" s="766">
        <v>0</v>
      </c>
      <c r="D50" s="813">
        <v>0</v>
      </c>
    </row>
    <row r="51" spans="1:4" ht="15">
      <c r="A51" s="819" t="s">
        <v>888</v>
      </c>
      <c r="B51" s="765" t="s">
        <v>889</v>
      </c>
      <c r="C51" s="766">
        <v>0</v>
      </c>
      <c r="D51" s="813">
        <v>0</v>
      </c>
    </row>
    <row r="52" spans="1:4" ht="15">
      <c r="A52" s="819" t="s">
        <v>890</v>
      </c>
      <c r="B52" s="765" t="s">
        <v>891</v>
      </c>
      <c r="C52" s="766">
        <v>0</v>
      </c>
      <c r="D52" s="813">
        <v>0</v>
      </c>
    </row>
    <row r="53" spans="1:4" ht="15">
      <c r="A53" s="820" t="s">
        <v>892</v>
      </c>
      <c r="B53" s="767" t="s">
        <v>894</v>
      </c>
      <c r="C53" s="768">
        <v>0</v>
      </c>
      <c r="D53" s="815">
        <v>0</v>
      </c>
    </row>
    <row r="54" spans="1:4" ht="27">
      <c r="A54" s="820" t="s">
        <v>893</v>
      </c>
      <c r="B54" s="767" t="s">
        <v>896</v>
      </c>
      <c r="C54" s="768">
        <v>608616</v>
      </c>
      <c r="D54" s="815">
        <v>1348670</v>
      </c>
    </row>
    <row r="55" spans="1:4" ht="15">
      <c r="A55" s="819" t="s">
        <v>895</v>
      </c>
      <c r="B55" s="765" t="s">
        <v>898</v>
      </c>
      <c r="C55" s="766">
        <v>0</v>
      </c>
      <c r="D55" s="813">
        <v>0</v>
      </c>
    </row>
    <row r="56" spans="1:4" ht="15">
      <c r="A56" s="819" t="s">
        <v>897</v>
      </c>
      <c r="B56" s="765" t="s">
        <v>900</v>
      </c>
      <c r="C56" s="766">
        <v>0</v>
      </c>
      <c r="D56" s="813">
        <v>0</v>
      </c>
    </row>
    <row r="57" spans="1:4" ht="15">
      <c r="A57" s="820" t="s">
        <v>899</v>
      </c>
      <c r="B57" s="767" t="s">
        <v>902</v>
      </c>
      <c r="C57" s="768">
        <v>0</v>
      </c>
      <c r="D57" s="815">
        <v>0</v>
      </c>
    </row>
    <row r="58" spans="1:4" ht="15">
      <c r="A58" s="819" t="s">
        <v>901</v>
      </c>
      <c r="B58" s="765" t="s">
        <v>904</v>
      </c>
      <c r="C58" s="766">
        <v>209505</v>
      </c>
      <c r="D58" s="813">
        <v>335280</v>
      </c>
    </row>
    <row r="59" spans="1:4" ht="15">
      <c r="A59" s="819" t="s">
        <v>903</v>
      </c>
      <c r="B59" s="765" t="s">
        <v>906</v>
      </c>
      <c r="C59" s="766">
        <v>0</v>
      </c>
      <c r="D59" s="813">
        <v>0</v>
      </c>
    </row>
    <row r="60" spans="1:4" ht="15">
      <c r="A60" s="819" t="s">
        <v>905</v>
      </c>
      <c r="B60" s="765" t="s">
        <v>908</v>
      </c>
      <c r="C60" s="766">
        <v>0</v>
      </c>
      <c r="D60" s="813">
        <v>0</v>
      </c>
    </row>
    <row r="61" spans="1:4" ht="27">
      <c r="A61" s="820" t="s">
        <v>907</v>
      </c>
      <c r="B61" s="767" t="s">
        <v>910</v>
      </c>
      <c r="C61" s="768">
        <v>209505</v>
      </c>
      <c r="D61" s="815">
        <v>335280</v>
      </c>
    </row>
    <row r="62" spans="1:4" ht="15">
      <c r="A62" s="819" t="s">
        <v>909</v>
      </c>
      <c r="B62" s="765" t="s">
        <v>912</v>
      </c>
      <c r="C62" s="766">
        <v>289310177</v>
      </c>
      <c r="D62" s="813">
        <v>270434774</v>
      </c>
    </row>
    <row r="63" spans="1:4" ht="15">
      <c r="A63" s="819" t="s">
        <v>911</v>
      </c>
      <c r="B63" s="765" t="s">
        <v>914</v>
      </c>
      <c r="C63" s="766">
        <v>3021215</v>
      </c>
      <c r="D63" s="813">
        <v>21</v>
      </c>
    </row>
    <row r="64" spans="1:4" ht="15">
      <c r="A64" s="820" t="s">
        <v>913</v>
      </c>
      <c r="B64" s="767" t="s">
        <v>916</v>
      </c>
      <c r="C64" s="768">
        <v>292331392</v>
      </c>
      <c r="D64" s="815">
        <v>270434795</v>
      </c>
    </row>
    <row r="65" spans="1:4" ht="15">
      <c r="A65" s="819" t="s">
        <v>915</v>
      </c>
      <c r="B65" s="765" t="s">
        <v>918</v>
      </c>
      <c r="C65" s="766">
        <v>0</v>
      </c>
      <c r="D65" s="813">
        <v>0</v>
      </c>
    </row>
    <row r="66" spans="1:4" ht="15">
      <c r="A66" s="819" t="s">
        <v>917</v>
      </c>
      <c r="B66" s="765" t="s">
        <v>920</v>
      </c>
      <c r="C66" s="766">
        <v>0</v>
      </c>
      <c r="D66" s="813">
        <v>0</v>
      </c>
    </row>
    <row r="67" spans="1:4" ht="15">
      <c r="A67" s="820" t="s">
        <v>919</v>
      </c>
      <c r="B67" s="767" t="s">
        <v>922</v>
      </c>
      <c r="C67" s="768">
        <v>0</v>
      </c>
      <c r="D67" s="815">
        <v>0</v>
      </c>
    </row>
    <row r="68" spans="1:4" ht="15">
      <c r="A68" s="820" t="s">
        <v>921</v>
      </c>
      <c r="B68" s="767" t="s">
        <v>924</v>
      </c>
      <c r="C68" s="768">
        <v>292540897</v>
      </c>
      <c r="D68" s="815">
        <v>270770075</v>
      </c>
    </row>
    <row r="69" spans="1:4" ht="41.25">
      <c r="A69" s="819" t="s">
        <v>923</v>
      </c>
      <c r="B69" s="765" t="s">
        <v>926</v>
      </c>
      <c r="C69" s="766">
        <v>0</v>
      </c>
      <c r="D69" s="813">
        <v>0</v>
      </c>
    </row>
    <row r="70" spans="1:4" ht="41.25">
      <c r="A70" s="819" t="s">
        <v>925</v>
      </c>
      <c r="B70" s="765" t="s">
        <v>928</v>
      </c>
      <c r="C70" s="766">
        <v>0</v>
      </c>
      <c r="D70" s="813">
        <v>0</v>
      </c>
    </row>
    <row r="71" spans="1:4" ht="41.25">
      <c r="A71" s="819" t="s">
        <v>927</v>
      </c>
      <c r="B71" s="765" t="s">
        <v>930</v>
      </c>
      <c r="C71" s="766">
        <v>0</v>
      </c>
      <c r="D71" s="813">
        <v>0</v>
      </c>
    </row>
    <row r="72" spans="1:4" ht="41.25">
      <c r="A72" s="819" t="s">
        <v>929</v>
      </c>
      <c r="B72" s="765" t="s">
        <v>932</v>
      </c>
      <c r="C72" s="766">
        <v>0</v>
      </c>
      <c r="D72" s="813">
        <v>0</v>
      </c>
    </row>
    <row r="73" spans="1:4" ht="27">
      <c r="A73" s="819" t="s">
        <v>931</v>
      </c>
      <c r="B73" s="765" t="s">
        <v>934</v>
      </c>
      <c r="C73" s="766">
        <v>9134233</v>
      </c>
      <c r="D73" s="813">
        <v>14771429</v>
      </c>
    </row>
    <row r="74" spans="1:4" ht="27">
      <c r="A74" s="819" t="s">
        <v>933</v>
      </c>
      <c r="B74" s="765" t="s">
        <v>936</v>
      </c>
      <c r="C74" s="766">
        <v>0</v>
      </c>
      <c r="D74" s="813">
        <v>0</v>
      </c>
    </row>
    <row r="75" spans="1:4" ht="27">
      <c r="A75" s="819" t="s">
        <v>935</v>
      </c>
      <c r="B75" s="765" t="s">
        <v>938</v>
      </c>
      <c r="C75" s="766">
        <v>0</v>
      </c>
      <c r="D75" s="813">
        <v>0</v>
      </c>
    </row>
    <row r="76" spans="1:4" ht="27">
      <c r="A76" s="819" t="s">
        <v>937</v>
      </c>
      <c r="B76" s="765" t="s">
        <v>940</v>
      </c>
      <c r="C76" s="766">
        <v>0</v>
      </c>
      <c r="D76" s="813">
        <v>0</v>
      </c>
    </row>
    <row r="77" spans="1:4" ht="27">
      <c r="A77" s="819" t="s">
        <v>939</v>
      </c>
      <c r="B77" s="765" t="s">
        <v>942</v>
      </c>
      <c r="C77" s="766">
        <v>5815737</v>
      </c>
      <c r="D77" s="813">
        <v>5999592</v>
      </c>
    </row>
    <row r="78" spans="1:4" ht="27">
      <c r="A78" s="819" t="s">
        <v>941</v>
      </c>
      <c r="B78" s="765" t="s">
        <v>944</v>
      </c>
      <c r="C78" s="766">
        <v>1904580</v>
      </c>
      <c r="D78" s="813">
        <v>6244142</v>
      </c>
    </row>
    <row r="79" spans="1:4" ht="27">
      <c r="A79" s="819" t="s">
        <v>943</v>
      </c>
      <c r="B79" s="765" t="s">
        <v>946</v>
      </c>
      <c r="C79" s="766">
        <v>1413916</v>
      </c>
      <c r="D79" s="813">
        <v>2527695</v>
      </c>
    </row>
    <row r="80" spans="1:4" ht="27">
      <c r="A80" s="819" t="s">
        <v>945</v>
      </c>
      <c r="B80" s="765" t="s">
        <v>948</v>
      </c>
      <c r="C80" s="766">
        <v>1584106</v>
      </c>
      <c r="D80" s="813">
        <v>2760114</v>
      </c>
    </row>
    <row r="81" spans="1:4" ht="41.25">
      <c r="A81" s="819" t="s">
        <v>947</v>
      </c>
      <c r="B81" s="765" t="s">
        <v>950</v>
      </c>
      <c r="C81" s="766">
        <v>669707</v>
      </c>
      <c r="D81" s="813">
        <v>1270250</v>
      </c>
    </row>
    <row r="82" spans="1:4" ht="27">
      <c r="A82" s="819" t="s">
        <v>949</v>
      </c>
      <c r="B82" s="765" t="s">
        <v>952</v>
      </c>
      <c r="C82" s="766">
        <v>71516</v>
      </c>
      <c r="D82" s="813">
        <v>4000</v>
      </c>
    </row>
    <row r="83" spans="1:4" ht="27">
      <c r="A83" s="819" t="s">
        <v>951</v>
      </c>
      <c r="B83" s="765" t="s">
        <v>954</v>
      </c>
      <c r="C83" s="766">
        <v>440874</v>
      </c>
      <c r="D83" s="813">
        <v>809034</v>
      </c>
    </row>
    <row r="84" spans="1:4" ht="27">
      <c r="A84" s="819" t="s">
        <v>953</v>
      </c>
      <c r="B84" s="765" t="s">
        <v>956</v>
      </c>
      <c r="C84" s="766">
        <v>402009</v>
      </c>
      <c r="D84" s="813">
        <v>676830</v>
      </c>
    </row>
    <row r="85" spans="1:4" ht="27">
      <c r="A85" s="819" t="s">
        <v>955</v>
      </c>
      <c r="B85" s="765" t="s">
        <v>958</v>
      </c>
      <c r="C85" s="766">
        <v>0</v>
      </c>
      <c r="D85" s="813">
        <v>0</v>
      </c>
    </row>
    <row r="86" spans="1:4" ht="27">
      <c r="A86" s="819" t="s">
        <v>957</v>
      </c>
      <c r="B86" s="765" t="s">
        <v>960</v>
      </c>
      <c r="C86" s="766">
        <v>0</v>
      </c>
      <c r="D86" s="813">
        <v>0</v>
      </c>
    </row>
    <row r="87" spans="1:4" ht="27">
      <c r="A87" s="819" t="s">
        <v>959</v>
      </c>
      <c r="B87" s="765" t="s">
        <v>962</v>
      </c>
      <c r="C87" s="766">
        <v>0</v>
      </c>
      <c r="D87" s="813">
        <v>0</v>
      </c>
    </row>
    <row r="88" spans="1:4" ht="27">
      <c r="A88" s="819" t="s">
        <v>961</v>
      </c>
      <c r="B88" s="765" t="s">
        <v>964</v>
      </c>
      <c r="C88" s="766">
        <v>0</v>
      </c>
      <c r="D88" s="813">
        <v>0</v>
      </c>
    </row>
    <row r="89" spans="1:4" ht="27">
      <c r="A89" s="819" t="s">
        <v>963</v>
      </c>
      <c r="B89" s="765" t="s">
        <v>966</v>
      </c>
      <c r="C89" s="766">
        <v>0</v>
      </c>
      <c r="D89" s="813">
        <v>0</v>
      </c>
    </row>
    <row r="90" spans="1:4" ht="27">
      <c r="A90" s="819" t="s">
        <v>965</v>
      </c>
      <c r="B90" s="765" t="s">
        <v>968</v>
      </c>
      <c r="C90" s="766">
        <v>0</v>
      </c>
      <c r="D90" s="813">
        <v>0</v>
      </c>
    </row>
    <row r="91" spans="1:4" ht="27">
      <c r="A91" s="819" t="s">
        <v>967</v>
      </c>
      <c r="B91" s="765" t="s">
        <v>970</v>
      </c>
      <c r="C91" s="766">
        <v>0</v>
      </c>
      <c r="D91" s="813">
        <v>0</v>
      </c>
    </row>
    <row r="92" spans="1:4" ht="27">
      <c r="A92" s="819" t="s">
        <v>969</v>
      </c>
      <c r="B92" s="765" t="s">
        <v>972</v>
      </c>
      <c r="C92" s="766">
        <v>0</v>
      </c>
      <c r="D92" s="813">
        <v>0</v>
      </c>
    </row>
    <row r="93" spans="1:4" ht="27">
      <c r="A93" s="819" t="s">
        <v>971</v>
      </c>
      <c r="B93" s="765" t="s">
        <v>974</v>
      </c>
      <c r="C93" s="766">
        <v>0</v>
      </c>
      <c r="D93" s="813">
        <v>0</v>
      </c>
    </row>
    <row r="94" spans="1:4" ht="27">
      <c r="A94" s="819" t="s">
        <v>973</v>
      </c>
      <c r="B94" s="765" t="s">
        <v>976</v>
      </c>
      <c r="C94" s="766">
        <v>0</v>
      </c>
      <c r="D94" s="813">
        <v>0</v>
      </c>
    </row>
    <row r="95" spans="1:4" ht="27">
      <c r="A95" s="819" t="s">
        <v>975</v>
      </c>
      <c r="B95" s="765" t="s">
        <v>978</v>
      </c>
      <c r="C95" s="766">
        <v>0</v>
      </c>
      <c r="D95" s="813">
        <v>0</v>
      </c>
    </row>
    <row r="96" spans="1:4" ht="27">
      <c r="A96" s="819" t="s">
        <v>977</v>
      </c>
      <c r="B96" s="765" t="s">
        <v>980</v>
      </c>
      <c r="C96" s="766">
        <v>0</v>
      </c>
      <c r="D96" s="813">
        <v>0</v>
      </c>
    </row>
    <row r="97" spans="1:4" ht="41.25">
      <c r="A97" s="819" t="s">
        <v>979</v>
      </c>
      <c r="B97" s="765" t="s">
        <v>982</v>
      </c>
      <c r="C97" s="766">
        <v>0</v>
      </c>
      <c r="D97" s="813">
        <v>0</v>
      </c>
    </row>
    <row r="98" spans="1:4" ht="54.75">
      <c r="A98" s="819" t="s">
        <v>981</v>
      </c>
      <c r="B98" s="765" t="s">
        <v>984</v>
      </c>
      <c r="C98" s="766">
        <v>0</v>
      </c>
      <c r="D98" s="813">
        <v>0</v>
      </c>
    </row>
    <row r="99" spans="1:4" ht="41.25">
      <c r="A99" s="819" t="s">
        <v>983</v>
      </c>
      <c r="B99" s="765" t="s">
        <v>986</v>
      </c>
      <c r="C99" s="766">
        <v>0</v>
      </c>
      <c r="D99" s="813">
        <v>0</v>
      </c>
    </row>
    <row r="100" spans="1:4" ht="27">
      <c r="A100" s="819" t="s">
        <v>985</v>
      </c>
      <c r="B100" s="765" t="s">
        <v>988</v>
      </c>
      <c r="C100" s="766">
        <v>1087100</v>
      </c>
      <c r="D100" s="813">
        <v>1285200</v>
      </c>
    </row>
    <row r="101" spans="1:4" ht="41.25">
      <c r="A101" s="819" t="s">
        <v>987</v>
      </c>
      <c r="B101" s="765" t="s">
        <v>990</v>
      </c>
      <c r="C101" s="766">
        <v>0</v>
      </c>
      <c r="D101" s="813">
        <v>0</v>
      </c>
    </row>
    <row r="102" spans="1:4" ht="54.75">
      <c r="A102" s="819" t="s">
        <v>989</v>
      </c>
      <c r="B102" s="765" t="s">
        <v>992</v>
      </c>
      <c r="C102" s="766">
        <v>0</v>
      </c>
      <c r="D102" s="813">
        <v>0</v>
      </c>
    </row>
    <row r="103" spans="1:4" ht="41.25">
      <c r="A103" s="819" t="s">
        <v>991</v>
      </c>
      <c r="B103" s="765" t="s">
        <v>994</v>
      </c>
      <c r="C103" s="766">
        <v>1087100</v>
      </c>
      <c r="D103" s="813">
        <v>1285200</v>
      </c>
    </row>
    <row r="104" spans="1:4" ht="27">
      <c r="A104" s="819" t="s">
        <v>993</v>
      </c>
      <c r="B104" s="765" t="s">
        <v>996</v>
      </c>
      <c r="C104" s="766">
        <v>0</v>
      </c>
      <c r="D104" s="813">
        <v>0</v>
      </c>
    </row>
    <row r="105" spans="1:4" ht="41.25">
      <c r="A105" s="819" t="s">
        <v>995</v>
      </c>
      <c r="B105" s="765" t="s">
        <v>998</v>
      </c>
      <c r="C105" s="766">
        <v>0</v>
      </c>
      <c r="D105" s="813">
        <v>0</v>
      </c>
    </row>
    <row r="106" spans="1:4" ht="41.25">
      <c r="A106" s="819" t="s">
        <v>997</v>
      </c>
      <c r="B106" s="765" t="s">
        <v>1000</v>
      </c>
      <c r="C106" s="766">
        <v>0</v>
      </c>
      <c r="D106" s="813">
        <v>0</v>
      </c>
    </row>
    <row r="107" spans="1:4" ht="27">
      <c r="A107" s="819" t="s">
        <v>999</v>
      </c>
      <c r="B107" s="765" t="s">
        <v>1002</v>
      </c>
      <c r="C107" s="766">
        <v>0</v>
      </c>
      <c r="D107" s="813">
        <v>0</v>
      </c>
    </row>
    <row r="108" spans="1:4" ht="27">
      <c r="A108" s="819" t="s">
        <v>1001</v>
      </c>
      <c r="B108" s="765" t="s">
        <v>1004</v>
      </c>
      <c r="C108" s="766">
        <v>0</v>
      </c>
      <c r="D108" s="813">
        <v>0</v>
      </c>
    </row>
    <row r="109" spans="1:4" ht="27">
      <c r="A109" s="819" t="s">
        <v>1003</v>
      </c>
      <c r="B109" s="765" t="s">
        <v>1006</v>
      </c>
      <c r="C109" s="766">
        <v>0</v>
      </c>
      <c r="D109" s="813">
        <v>0</v>
      </c>
    </row>
    <row r="110" spans="1:4" ht="41.25">
      <c r="A110" s="819" t="s">
        <v>1005</v>
      </c>
      <c r="B110" s="765" t="s">
        <v>1008</v>
      </c>
      <c r="C110" s="766">
        <v>0</v>
      </c>
      <c r="D110" s="813">
        <v>0</v>
      </c>
    </row>
    <row r="111" spans="1:4" ht="41.25">
      <c r="A111" s="819" t="s">
        <v>1007</v>
      </c>
      <c r="B111" s="765" t="s">
        <v>1010</v>
      </c>
      <c r="C111" s="766">
        <v>0</v>
      </c>
      <c r="D111" s="813">
        <v>0</v>
      </c>
    </row>
    <row r="112" spans="1:4" ht="27">
      <c r="A112" s="820" t="s">
        <v>1009</v>
      </c>
      <c r="B112" s="767" t="s">
        <v>1012</v>
      </c>
      <c r="C112" s="768">
        <v>11805439</v>
      </c>
      <c r="D112" s="815">
        <v>18816743</v>
      </c>
    </row>
    <row r="113" spans="1:4" ht="41.25">
      <c r="A113" s="819" t="s">
        <v>1011</v>
      </c>
      <c r="B113" s="765" t="s">
        <v>1014</v>
      </c>
      <c r="C113" s="766">
        <v>0</v>
      </c>
      <c r="D113" s="813">
        <v>0</v>
      </c>
    </row>
    <row r="114" spans="1:4" ht="41.25">
      <c r="A114" s="819" t="s">
        <v>1013</v>
      </c>
      <c r="B114" s="765" t="s">
        <v>1016</v>
      </c>
      <c r="C114" s="766">
        <v>0</v>
      </c>
      <c r="D114" s="813">
        <v>0</v>
      </c>
    </row>
    <row r="115" spans="1:4" ht="41.25">
      <c r="A115" s="819" t="s">
        <v>1015</v>
      </c>
      <c r="B115" s="765" t="s">
        <v>1018</v>
      </c>
      <c r="C115" s="766">
        <v>0</v>
      </c>
      <c r="D115" s="813">
        <v>0</v>
      </c>
    </row>
    <row r="116" spans="1:4" ht="41.25">
      <c r="A116" s="819" t="s">
        <v>1017</v>
      </c>
      <c r="B116" s="765" t="s">
        <v>1020</v>
      </c>
      <c r="C116" s="766">
        <v>0</v>
      </c>
      <c r="D116" s="813">
        <v>0</v>
      </c>
    </row>
    <row r="117" spans="1:4" ht="27">
      <c r="A117" s="819" t="s">
        <v>1019</v>
      </c>
      <c r="B117" s="765" t="s">
        <v>1022</v>
      </c>
      <c r="C117" s="766">
        <v>0</v>
      </c>
      <c r="D117" s="813">
        <v>0</v>
      </c>
    </row>
    <row r="118" spans="1:4" ht="27">
      <c r="A118" s="819" t="s">
        <v>1021</v>
      </c>
      <c r="B118" s="765" t="s">
        <v>1024</v>
      </c>
      <c r="C118" s="766">
        <v>0</v>
      </c>
      <c r="D118" s="813">
        <v>0</v>
      </c>
    </row>
    <row r="119" spans="1:4" ht="27">
      <c r="A119" s="819" t="s">
        <v>1023</v>
      </c>
      <c r="B119" s="765" t="s">
        <v>1026</v>
      </c>
      <c r="C119" s="766">
        <v>0</v>
      </c>
      <c r="D119" s="813">
        <v>0</v>
      </c>
    </row>
    <row r="120" spans="1:4" ht="27">
      <c r="A120" s="819" t="s">
        <v>1025</v>
      </c>
      <c r="B120" s="765" t="s">
        <v>1028</v>
      </c>
      <c r="C120" s="766">
        <v>0</v>
      </c>
      <c r="D120" s="813">
        <v>0</v>
      </c>
    </row>
    <row r="121" spans="1:4" ht="27">
      <c r="A121" s="819" t="s">
        <v>1027</v>
      </c>
      <c r="B121" s="765" t="s">
        <v>1030</v>
      </c>
      <c r="C121" s="766">
        <v>0</v>
      </c>
      <c r="D121" s="813">
        <v>0</v>
      </c>
    </row>
    <row r="122" spans="1:4" ht="27">
      <c r="A122" s="819" t="s">
        <v>1029</v>
      </c>
      <c r="B122" s="765" t="s">
        <v>1032</v>
      </c>
      <c r="C122" s="766">
        <v>0</v>
      </c>
      <c r="D122" s="813">
        <v>0</v>
      </c>
    </row>
    <row r="123" spans="1:4" ht="27">
      <c r="A123" s="819" t="s">
        <v>1031</v>
      </c>
      <c r="B123" s="765" t="s">
        <v>1034</v>
      </c>
      <c r="C123" s="766">
        <v>0</v>
      </c>
      <c r="D123" s="813">
        <v>0</v>
      </c>
    </row>
    <row r="124" spans="1:4" ht="27">
      <c r="A124" s="819" t="s">
        <v>1033</v>
      </c>
      <c r="B124" s="765" t="s">
        <v>1036</v>
      </c>
      <c r="C124" s="766">
        <v>0</v>
      </c>
      <c r="D124" s="813">
        <v>0</v>
      </c>
    </row>
    <row r="125" spans="1:4" ht="41.25">
      <c r="A125" s="819" t="s">
        <v>1035</v>
      </c>
      <c r="B125" s="765" t="s">
        <v>1038</v>
      </c>
      <c r="C125" s="766">
        <v>0</v>
      </c>
      <c r="D125" s="813">
        <v>0</v>
      </c>
    </row>
    <row r="126" spans="1:4" ht="27">
      <c r="A126" s="819" t="s">
        <v>1037</v>
      </c>
      <c r="B126" s="765" t="s">
        <v>1040</v>
      </c>
      <c r="C126" s="766">
        <v>0</v>
      </c>
      <c r="D126" s="813">
        <v>0</v>
      </c>
    </row>
    <row r="127" spans="1:4" ht="27">
      <c r="A127" s="819" t="s">
        <v>1039</v>
      </c>
      <c r="B127" s="765" t="s">
        <v>1042</v>
      </c>
      <c r="C127" s="766">
        <v>0</v>
      </c>
      <c r="D127" s="813">
        <v>0</v>
      </c>
    </row>
    <row r="128" spans="1:4" ht="27">
      <c r="A128" s="819" t="s">
        <v>1041</v>
      </c>
      <c r="B128" s="765" t="s">
        <v>1044</v>
      </c>
      <c r="C128" s="766">
        <v>0</v>
      </c>
      <c r="D128" s="813">
        <v>0</v>
      </c>
    </row>
    <row r="129" spans="1:4" ht="27">
      <c r="A129" s="819" t="s">
        <v>1043</v>
      </c>
      <c r="B129" s="765" t="s">
        <v>1046</v>
      </c>
      <c r="C129" s="766">
        <v>0</v>
      </c>
      <c r="D129" s="813">
        <v>0</v>
      </c>
    </row>
    <row r="130" spans="1:4" ht="41.25">
      <c r="A130" s="819" t="s">
        <v>1045</v>
      </c>
      <c r="B130" s="765" t="s">
        <v>1048</v>
      </c>
      <c r="C130" s="766">
        <v>0</v>
      </c>
      <c r="D130" s="813">
        <v>0</v>
      </c>
    </row>
    <row r="131" spans="1:4" ht="27">
      <c r="A131" s="819" t="s">
        <v>1047</v>
      </c>
      <c r="B131" s="765" t="s">
        <v>1050</v>
      </c>
      <c r="C131" s="766">
        <v>0</v>
      </c>
      <c r="D131" s="813">
        <v>0</v>
      </c>
    </row>
    <row r="132" spans="1:4" ht="27">
      <c r="A132" s="819" t="s">
        <v>1049</v>
      </c>
      <c r="B132" s="765" t="s">
        <v>1052</v>
      </c>
      <c r="C132" s="766">
        <v>0</v>
      </c>
      <c r="D132" s="813">
        <v>0</v>
      </c>
    </row>
    <row r="133" spans="1:4" ht="27">
      <c r="A133" s="819" t="s">
        <v>1051</v>
      </c>
      <c r="B133" s="765" t="s">
        <v>1054</v>
      </c>
      <c r="C133" s="766">
        <v>0</v>
      </c>
      <c r="D133" s="813">
        <v>0</v>
      </c>
    </row>
    <row r="134" spans="1:4" ht="27">
      <c r="A134" s="819" t="s">
        <v>1053</v>
      </c>
      <c r="B134" s="765" t="s">
        <v>1056</v>
      </c>
      <c r="C134" s="766">
        <v>0</v>
      </c>
      <c r="D134" s="813">
        <v>0</v>
      </c>
    </row>
    <row r="135" spans="1:4" ht="27">
      <c r="A135" s="819" t="s">
        <v>1055</v>
      </c>
      <c r="B135" s="765" t="s">
        <v>1058</v>
      </c>
      <c r="C135" s="766">
        <v>0</v>
      </c>
      <c r="D135" s="813">
        <v>0</v>
      </c>
    </row>
    <row r="136" spans="1:4" ht="27">
      <c r="A136" s="819" t="s">
        <v>1057</v>
      </c>
      <c r="B136" s="765" t="s">
        <v>1060</v>
      </c>
      <c r="C136" s="766">
        <v>0</v>
      </c>
      <c r="D136" s="813">
        <v>0</v>
      </c>
    </row>
    <row r="137" spans="1:4" ht="27">
      <c r="A137" s="819" t="s">
        <v>1059</v>
      </c>
      <c r="B137" s="765" t="s">
        <v>1062</v>
      </c>
      <c r="C137" s="766">
        <v>0</v>
      </c>
      <c r="D137" s="813">
        <v>0</v>
      </c>
    </row>
    <row r="138" spans="1:4" ht="27">
      <c r="A138" s="819" t="s">
        <v>1061</v>
      </c>
      <c r="B138" s="765" t="s">
        <v>1064</v>
      </c>
      <c r="C138" s="766">
        <v>0</v>
      </c>
      <c r="D138" s="813">
        <v>0</v>
      </c>
    </row>
    <row r="139" spans="1:4" ht="41.25">
      <c r="A139" s="819" t="s">
        <v>1063</v>
      </c>
      <c r="B139" s="765" t="s">
        <v>1066</v>
      </c>
      <c r="C139" s="766">
        <v>0</v>
      </c>
      <c r="D139" s="813">
        <v>0</v>
      </c>
    </row>
    <row r="140" spans="1:4" ht="41.25">
      <c r="A140" s="819" t="s">
        <v>1065</v>
      </c>
      <c r="B140" s="765" t="s">
        <v>1068</v>
      </c>
      <c r="C140" s="766">
        <v>0</v>
      </c>
      <c r="D140" s="813">
        <v>0</v>
      </c>
    </row>
    <row r="141" spans="1:4" ht="41.25">
      <c r="A141" s="819" t="s">
        <v>1067</v>
      </c>
      <c r="B141" s="765" t="s">
        <v>1070</v>
      </c>
      <c r="C141" s="766">
        <v>0</v>
      </c>
      <c r="D141" s="813">
        <v>0</v>
      </c>
    </row>
    <row r="142" spans="1:4" ht="54.75">
      <c r="A142" s="819" t="s">
        <v>1069</v>
      </c>
      <c r="B142" s="765" t="s">
        <v>1072</v>
      </c>
      <c r="C142" s="766">
        <v>0</v>
      </c>
      <c r="D142" s="813">
        <v>0</v>
      </c>
    </row>
    <row r="143" spans="1:4" ht="41.25">
      <c r="A143" s="819" t="s">
        <v>1071</v>
      </c>
      <c r="B143" s="765" t="s">
        <v>1074</v>
      </c>
      <c r="C143" s="766">
        <v>0</v>
      </c>
      <c r="D143" s="813">
        <v>0</v>
      </c>
    </row>
    <row r="144" spans="1:4" ht="41.25">
      <c r="A144" s="819" t="s">
        <v>1073</v>
      </c>
      <c r="B144" s="765" t="s">
        <v>1076</v>
      </c>
      <c r="C144" s="766">
        <v>276469</v>
      </c>
      <c r="D144" s="813">
        <v>276469</v>
      </c>
    </row>
    <row r="145" spans="1:4" ht="41.25">
      <c r="A145" s="819" t="s">
        <v>1075</v>
      </c>
      <c r="B145" s="765" t="s">
        <v>1078</v>
      </c>
      <c r="C145" s="766">
        <v>0</v>
      </c>
      <c r="D145" s="813">
        <v>0</v>
      </c>
    </row>
    <row r="146" spans="1:4" ht="54.75">
      <c r="A146" s="819" t="s">
        <v>1077</v>
      </c>
      <c r="B146" s="765" t="s">
        <v>1080</v>
      </c>
      <c r="C146" s="766">
        <v>0</v>
      </c>
      <c r="D146" s="813">
        <v>0</v>
      </c>
    </row>
    <row r="147" spans="1:4" ht="41.25">
      <c r="A147" s="819" t="s">
        <v>1079</v>
      </c>
      <c r="B147" s="765" t="s">
        <v>1082</v>
      </c>
      <c r="C147" s="766">
        <v>276469</v>
      </c>
      <c r="D147" s="813">
        <v>276469</v>
      </c>
    </row>
    <row r="148" spans="1:4" ht="27">
      <c r="A148" s="819" t="s">
        <v>1081</v>
      </c>
      <c r="B148" s="765" t="s">
        <v>1084</v>
      </c>
      <c r="C148" s="766">
        <v>0</v>
      </c>
      <c r="D148" s="813">
        <v>0</v>
      </c>
    </row>
    <row r="149" spans="1:4" ht="41.25">
      <c r="A149" s="819" t="s">
        <v>1083</v>
      </c>
      <c r="B149" s="765" t="s">
        <v>1086</v>
      </c>
      <c r="C149" s="766">
        <v>0</v>
      </c>
      <c r="D149" s="813">
        <v>0</v>
      </c>
    </row>
    <row r="150" spans="1:4" ht="41.25">
      <c r="A150" s="819" t="s">
        <v>1085</v>
      </c>
      <c r="B150" s="765" t="s">
        <v>1088</v>
      </c>
      <c r="C150" s="766">
        <v>0</v>
      </c>
      <c r="D150" s="813">
        <v>0</v>
      </c>
    </row>
    <row r="151" spans="1:4" ht="27">
      <c r="A151" s="819" t="s">
        <v>1087</v>
      </c>
      <c r="B151" s="765" t="s">
        <v>1090</v>
      </c>
      <c r="C151" s="766">
        <v>0</v>
      </c>
      <c r="D151" s="813">
        <v>0</v>
      </c>
    </row>
    <row r="152" spans="1:4" ht="41.25">
      <c r="A152" s="819" t="s">
        <v>1089</v>
      </c>
      <c r="B152" s="765" t="s">
        <v>1092</v>
      </c>
      <c r="C152" s="766">
        <v>0</v>
      </c>
      <c r="D152" s="813">
        <v>0</v>
      </c>
    </row>
    <row r="153" spans="1:4" ht="27">
      <c r="A153" s="820" t="s">
        <v>1091</v>
      </c>
      <c r="B153" s="767" t="s">
        <v>1094</v>
      </c>
      <c r="C153" s="768">
        <v>276469</v>
      </c>
      <c r="D153" s="815">
        <v>276469</v>
      </c>
    </row>
    <row r="154" spans="1:4" ht="15">
      <c r="A154" s="819" t="s">
        <v>1093</v>
      </c>
      <c r="B154" s="765" t="s">
        <v>1096</v>
      </c>
      <c r="C154" s="766">
        <v>20000</v>
      </c>
      <c r="D154" s="813">
        <v>2885534</v>
      </c>
    </row>
    <row r="155" spans="1:4" ht="15">
      <c r="A155" s="819" t="s">
        <v>1095</v>
      </c>
      <c r="B155" s="765" t="s">
        <v>1098</v>
      </c>
      <c r="C155" s="766">
        <v>0</v>
      </c>
      <c r="D155" s="813">
        <v>0</v>
      </c>
    </row>
    <row r="156" spans="1:4" ht="15">
      <c r="A156" s="819" t="s">
        <v>1097</v>
      </c>
      <c r="B156" s="765" t="s">
        <v>1100</v>
      </c>
      <c r="C156" s="766">
        <v>0</v>
      </c>
      <c r="D156" s="813">
        <v>2885534</v>
      </c>
    </row>
    <row r="157" spans="1:4" ht="15">
      <c r="A157" s="819" t="s">
        <v>1099</v>
      </c>
      <c r="B157" s="765" t="s">
        <v>1102</v>
      </c>
      <c r="C157" s="766">
        <v>20000</v>
      </c>
      <c r="D157" s="813">
        <v>0</v>
      </c>
    </row>
    <row r="158" spans="1:4" ht="15">
      <c r="A158" s="819" t="s">
        <v>1101</v>
      </c>
      <c r="B158" s="765" t="s">
        <v>1104</v>
      </c>
      <c r="C158" s="766">
        <v>0</v>
      </c>
      <c r="D158" s="813">
        <v>0</v>
      </c>
    </row>
    <row r="159" spans="1:4" ht="15">
      <c r="A159" s="819" t="s">
        <v>1103</v>
      </c>
      <c r="B159" s="765" t="s">
        <v>1106</v>
      </c>
      <c r="C159" s="766">
        <v>0</v>
      </c>
      <c r="D159" s="813">
        <v>0</v>
      </c>
    </row>
    <row r="160" spans="1:4" ht="15">
      <c r="A160" s="819" t="s">
        <v>1105</v>
      </c>
      <c r="B160" s="765" t="s">
        <v>1108</v>
      </c>
      <c r="C160" s="766">
        <v>0</v>
      </c>
      <c r="D160" s="813">
        <v>0</v>
      </c>
    </row>
    <row r="161" spans="1:4" ht="27">
      <c r="A161" s="819" t="s">
        <v>1107</v>
      </c>
      <c r="B161" s="765" t="s">
        <v>1110</v>
      </c>
      <c r="C161" s="766">
        <v>0</v>
      </c>
      <c r="D161" s="813">
        <v>0</v>
      </c>
    </row>
    <row r="162" spans="1:4" ht="15">
      <c r="A162" s="819" t="s">
        <v>1109</v>
      </c>
      <c r="B162" s="765" t="s">
        <v>1112</v>
      </c>
      <c r="C162" s="766">
        <v>0</v>
      </c>
      <c r="D162" s="813">
        <v>0</v>
      </c>
    </row>
    <row r="163" spans="1:4" ht="15">
      <c r="A163" s="819" t="s">
        <v>1111</v>
      </c>
      <c r="B163" s="765" t="s">
        <v>1114</v>
      </c>
      <c r="C163" s="766">
        <v>218000</v>
      </c>
      <c r="D163" s="813">
        <v>218000</v>
      </c>
    </row>
    <row r="164" spans="1:4" ht="27">
      <c r="A164" s="819" t="s">
        <v>1113</v>
      </c>
      <c r="B164" s="765" t="s">
        <v>1116</v>
      </c>
      <c r="C164" s="766">
        <v>0</v>
      </c>
      <c r="D164" s="813">
        <v>0</v>
      </c>
    </row>
    <row r="165" spans="1:4" ht="27">
      <c r="A165" s="819" t="s">
        <v>1115</v>
      </c>
      <c r="B165" s="765" t="s">
        <v>1118</v>
      </c>
      <c r="C165" s="766">
        <v>0</v>
      </c>
      <c r="D165" s="813">
        <v>0</v>
      </c>
    </row>
    <row r="166" spans="1:4" ht="27">
      <c r="A166" s="819" t="s">
        <v>1117</v>
      </c>
      <c r="B166" s="765" t="s">
        <v>1120</v>
      </c>
      <c r="C166" s="766">
        <v>0</v>
      </c>
      <c r="D166" s="813">
        <v>123760</v>
      </c>
    </row>
    <row r="167" spans="1:4" ht="15">
      <c r="A167" s="819" t="s">
        <v>1119</v>
      </c>
      <c r="B167" s="765" t="s">
        <v>1122</v>
      </c>
      <c r="C167" s="766">
        <v>0</v>
      </c>
      <c r="D167" s="813">
        <v>0</v>
      </c>
    </row>
    <row r="168" spans="1:4" ht="27">
      <c r="A168" s="819" t="s">
        <v>1121</v>
      </c>
      <c r="B168" s="765" t="s">
        <v>1124</v>
      </c>
      <c r="C168" s="766">
        <v>0</v>
      </c>
      <c r="D168" s="813">
        <v>0</v>
      </c>
    </row>
    <row r="169" spans="1:4" ht="27">
      <c r="A169" s="820" t="s">
        <v>1123</v>
      </c>
      <c r="B169" s="767" t="s">
        <v>1126</v>
      </c>
      <c r="C169" s="768">
        <v>238000</v>
      </c>
      <c r="D169" s="815">
        <v>3227294</v>
      </c>
    </row>
    <row r="170" spans="1:4" ht="15">
      <c r="A170" s="820" t="s">
        <v>1125</v>
      </c>
      <c r="B170" s="767" t="s">
        <v>1128</v>
      </c>
      <c r="C170" s="768">
        <v>12319908</v>
      </c>
      <c r="D170" s="815">
        <v>22320506</v>
      </c>
    </row>
    <row r="171" spans="1:4" ht="27">
      <c r="A171" s="819" t="s">
        <v>1127</v>
      </c>
      <c r="B171" s="765" t="s">
        <v>1130</v>
      </c>
      <c r="C171" s="766">
        <v>0</v>
      </c>
      <c r="D171" s="813">
        <v>0</v>
      </c>
    </row>
    <row r="172" spans="1:4" ht="27">
      <c r="A172" s="819" t="s">
        <v>1129</v>
      </c>
      <c r="B172" s="765" t="s">
        <v>1132</v>
      </c>
      <c r="C172" s="766">
        <v>14830641</v>
      </c>
      <c r="D172" s="813">
        <v>19798611</v>
      </c>
    </row>
    <row r="173" spans="1:4" ht="27">
      <c r="A173" s="819" t="s">
        <v>1131</v>
      </c>
      <c r="B173" s="765" t="s">
        <v>1134</v>
      </c>
      <c r="C173" s="766">
        <v>0</v>
      </c>
      <c r="D173" s="813">
        <v>779094</v>
      </c>
    </row>
    <row r="174" spans="1:4" ht="27">
      <c r="A174" s="819" t="s">
        <v>1133</v>
      </c>
      <c r="B174" s="765" t="s">
        <v>1136</v>
      </c>
      <c r="C174" s="766">
        <v>0</v>
      </c>
      <c r="D174" s="813">
        <v>0</v>
      </c>
    </row>
    <row r="175" spans="1:4" ht="27">
      <c r="A175" s="820" t="s">
        <v>1135</v>
      </c>
      <c r="B175" s="767" t="s">
        <v>1138</v>
      </c>
      <c r="C175" s="768">
        <v>14830641</v>
      </c>
      <c r="D175" s="815">
        <v>20577705</v>
      </c>
    </row>
    <row r="176" spans="1:4" ht="27">
      <c r="A176" s="819" t="s">
        <v>1137</v>
      </c>
      <c r="B176" s="765" t="s">
        <v>1140</v>
      </c>
      <c r="C176" s="766">
        <v>0</v>
      </c>
      <c r="D176" s="813">
        <v>0</v>
      </c>
    </row>
    <row r="177" spans="1:4" ht="15">
      <c r="A177" s="819" t="s">
        <v>1139</v>
      </c>
      <c r="B177" s="765" t="s">
        <v>1142</v>
      </c>
      <c r="C177" s="766">
        <v>-14560721</v>
      </c>
      <c r="D177" s="813">
        <v>-19797549</v>
      </c>
    </row>
    <row r="178" spans="1:4" ht="27">
      <c r="A178" s="820" t="s">
        <v>1141</v>
      </c>
      <c r="B178" s="767" t="s">
        <v>1144</v>
      </c>
      <c r="C178" s="768">
        <v>-14560721</v>
      </c>
      <c r="D178" s="815">
        <v>-19797549</v>
      </c>
    </row>
    <row r="179" spans="1:4" ht="15">
      <c r="A179" s="819" t="s">
        <v>1143</v>
      </c>
      <c r="B179" s="765" t="s">
        <v>1146</v>
      </c>
      <c r="C179" s="766">
        <v>0</v>
      </c>
      <c r="D179" s="813">
        <v>0</v>
      </c>
    </row>
    <row r="180" spans="1:4" ht="41.25">
      <c r="A180" s="819" t="s">
        <v>1145</v>
      </c>
      <c r="B180" s="765" t="s">
        <v>1148</v>
      </c>
      <c r="C180" s="766">
        <v>0</v>
      </c>
      <c r="D180" s="813">
        <v>0</v>
      </c>
    </row>
    <row r="181" spans="1:4" ht="27">
      <c r="A181" s="820" t="s">
        <v>1147</v>
      </c>
      <c r="B181" s="767" t="s">
        <v>1150</v>
      </c>
      <c r="C181" s="768">
        <v>0</v>
      </c>
      <c r="D181" s="815">
        <v>0</v>
      </c>
    </row>
    <row r="182" spans="1:4" ht="15">
      <c r="A182" s="820" t="s">
        <v>1149</v>
      </c>
      <c r="B182" s="767" t="s">
        <v>1152</v>
      </c>
      <c r="C182" s="768">
        <v>269920</v>
      </c>
      <c r="D182" s="815">
        <v>780156</v>
      </c>
    </row>
    <row r="183" spans="1:4" ht="15">
      <c r="A183" s="819" t="s">
        <v>1151</v>
      </c>
      <c r="B183" s="765" t="s">
        <v>1154</v>
      </c>
      <c r="C183" s="766">
        <v>0</v>
      </c>
      <c r="D183" s="813">
        <v>0</v>
      </c>
    </row>
    <row r="184" spans="1:4" ht="15">
      <c r="A184" s="819" t="s">
        <v>1153</v>
      </c>
      <c r="B184" s="765" t="s">
        <v>1156</v>
      </c>
      <c r="C184" s="766">
        <v>0</v>
      </c>
      <c r="D184" s="813">
        <v>0</v>
      </c>
    </row>
    <row r="185" spans="1:4" ht="15">
      <c r="A185" s="819" t="s">
        <v>1155</v>
      </c>
      <c r="B185" s="765" t="s">
        <v>1158</v>
      </c>
      <c r="C185" s="766">
        <v>0</v>
      </c>
      <c r="D185" s="813">
        <v>0</v>
      </c>
    </row>
    <row r="186" spans="1:4" ht="15">
      <c r="A186" s="820" t="s">
        <v>1157</v>
      </c>
      <c r="B186" s="767" t="s">
        <v>1160</v>
      </c>
      <c r="C186" s="768">
        <v>0</v>
      </c>
      <c r="D186" s="815">
        <v>0</v>
      </c>
    </row>
    <row r="187" spans="1:4" ht="15.75" thickBot="1">
      <c r="A187" s="821" t="s">
        <v>1159</v>
      </c>
      <c r="B187" s="822" t="s">
        <v>1161</v>
      </c>
      <c r="C187" s="817">
        <v>3804062108</v>
      </c>
      <c r="D187" s="818">
        <v>3775816722</v>
      </c>
    </row>
    <row r="188" spans="1:4" ht="15">
      <c r="A188" s="758"/>
      <c r="B188" s="759"/>
      <c r="C188" s="760"/>
      <c r="D188" s="760"/>
    </row>
    <row r="189" spans="1:4" ht="15">
      <c r="A189" s="758"/>
      <c r="B189" s="759"/>
      <c r="C189" s="760"/>
      <c r="D189" s="760"/>
    </row>
    <row r="190" spans="1:4" ht="15">
      <c r="A190" s="758"/>
      <c r="B190" s="759"/>
      <c r="C190" s="760"/>
      <c r="D190" s="760"/>
    </row>
    <row r="191" spans="1:4" ht="15">
      <c r="A191" s="758"/>
      <c r="B191" s="759"/>
      <c r="C191" s="760"/>
      <c r="D191" s="760"/>
    </row>
    <row r="192" spans="1:4" ht="15">
      <c r="A192" s="758"/>
      <c r="B192" s="759"/>
      <c r="C192" s="760"/>
      <c r="D192" s="760"/>
    </row>
    <row r="193" spans="1:4" ht="15">
      <c r="A193" s="758"/>
      <c r="B193" s="759"/>
      <c r="C193" s="760"/>
      <c r="D193" s="760"/>
    </row>
    <row r="194" spans="1:4" ht="15">
      <c r="A194" s="761"/>
      <c r="B194" s="762"/>
      <c r="C194" s="763"/>
      <c r="D194" s="763"/>
    </row>
    <row r="195" spans="1:4" ht="15">
      <c r="A195" s="758"/>
      <c r="B195" s="759"/>
      <c r="C195" s="760"/>
      <c r="D195" s="760"/>
    </row>
    <row r="196" spans="1:4" ht="15">
      <c r="A196" s="758"/>
      <c r="B196" s="759"/>
      <c r="C196" s="760"/>
      <c r="D196" s="760"/>
    </row>
    <row r="197" spans="1:4" ht="15">
      <c r="A197" s="758"/>
      <c r="B197" s="759"/>
      <c r="C197" s="760"/>
      <c r="D197" s="760"/>
    </row>
    <row r="198" spans="1:4" ht="15">
      <c r="A198" s="758"/>
      <c r="B198" s="759"/>
      <c r="C198" s="760"/>
      <c r="D198" s="760"/>
    </row>
    <row r="199" spans="1:4" ht="15">
      <c r="A199" s="758"/>
      <c r="B199" s="759"/>
      <c r="C199" s="760"/>
      <c r="D199" s="760"/>
    </row>
    <row r="200" spans="1:4" ht="15">
      <c r="A200" s="758"/>
      <c r="B200" s="759"/>
      <c r="C200" s="760"/>
      <c r="D200" s="760"/>
    </row>
    <row r="201" spans="1:4" ht="15">
      <c r="A201" s="758"/>
      <c r="B201" s="759"/>
      <c r="C201" s="760"/>
      <c r="D201" s="760"/>
    </row>
    <row r="202" spans="1:4" ht="15">
      <c r="A202" s="758"/>
      <c r="B202" s="759"/>
      <c r="C202" s="760"/>
      <c r="D202" s="760"/>
    </row>
    <row r="203" spans="1:4" ht="15">
      <c r="A203" s="758"/>
      <c r="B203" s="759"/>
      <c r="C203" s="760"/>
      <c r="D203" s="760"/>
    </row>
    <row r="204" spans="1:4" ht="15">
      <c r="A204" s="758"/>
      <c r="B204" s="759"/>
      <c r="C204" s="760"/>
      <c r="D204" s="760"/>
    </row>
    <row r="205" spans="1:4" ht="15">
      <c r="A205" s="758"/>
      <c r="B205" s="759"/>
      <c r="C205" s="760"/>
      <c r="D205" s="760"/>
    </row>
    <row r="206" spans="1:4" ht="15">
      <c r="A206" s="758"/>
      <c r="B206" s="759"/>
      <c r="C206" s="760"/>
      <c r="D206" s="760"/>
    </row>
    <row r="207" spans="1:4" ht="15">
      <c r="A207" s="758"/>
      <c r="B207" s="759"/>
      <c r="C207" s="760"/>
      <c r="D207" s="760"/>
    </row>
    <row r="208" spans="1:4" ht="15">
      <c r="A208" s="758"/>
      <c r="B208" s="759"/>
      <c r="C208" s="760"/>
      <c r="D208" s="760"/>
    </row>
    <row r="209" spans="1:4" ht="15">
      <c r="A209" s="758"/>
      <c r="B209" s="759"/>
      <c r="C209" s="760"/>
      <c r="D209" s="760"/>
    </row>
    <row r="210" spans="1:4" ht="15">
      <c r="A210" s="758"/>
      <c r="B210" s="759"/>
      <c r="C210" s="760"/>
      <c r="D210" s="760"/>
    </row>
    <row r="211" spans="1:4" ht="15">
      <c r="A211" s="758"/>
      <c r="B211" s="759"/>
      <c r="C211" s="760"/>
      <c r="D211" s="760"/>
    </row>
    <row r="212" spans="1:4" ht="15">
      <c r="A212" s="758"/>
      <c r="B212" s="759"/>
      <c r="C212" s="760"/>
      <c r="D212" s="760"/>
    </row>
    <row r="213" spans="1:4" ht="15">
      <c r="A213" s="758"/>
      <c r="B213" s="759"/>
      <c r="C213" s="760"/>
      <c r="D213" s="760"/>
    </row>
    <row r="214" spans="1:4" ht="15">
      <c r="A214" s="758"/>
      <c r="B214" s="759"/>
      <c r="C214" s="760"/>
      <c r="D214" s="760"/>
    </row>
    <row r="215" spans="1:4" ht="15">
      <c r="A215" s="758"/>
      <c r="B215" s="759"/>
      <c r="C215" s="760"/>
      <c r="D215" s="760"/>
    </row>
    <row r="216" spans="1:4" ht="15">
      <c r="A216" s="758"/>
      <c r="B216" s="759"/>
      <c r="C216" s="760"/>
      <c r="D216" s="760"/>
    </row>
    <row r="217" spans="1:4" ht="15">
      <c r="A217" s="758"/>
      <c r="B217" s="759"/>
      <c r="C217" s="760"/>
      <c r="D217" s="760"/>
    </row>
    <row r="218" spans="1:4" ht="15">
      <c r="A218" s="758"/>
      <c r="B218" s="759"/>
      <c r="C218" s="760"/>
      <c r="D218" s="760"/>
    </row>
    <row r="219" spans="1:4" ht="15">
      <c r="A219" s="758"/>
      <c r="B219" s="759"/>
      <c r="C219" s="760"/>
      <c r="D219" s="760"/>
    </row>
    <row r="220" spans="1:4" ht="15">
      <c r="A220" s="761"/>
      <c r="B220" s="762"/>
      <c r="C220" s="763"/>
      <c r="D220" s="763"/>
    </row>
    <row r="221" spans="1:4" ht="15">
      <c r="A221" s="758"/>
      <c r="B221" s="759"/>
      <c r="C221" s="760"/>
      <c r="D221" s="760"/>
    </row>
    <row r="222" spans="1:4" ht="15">
      <c r="A222" s="758"/>
      <c r="B222" s="759"/>
      <c r="C222" s="760"/>
      <c r="D222" s="760"/>
    </row>
    <row r="223" spans="1:4" ht="15">
      <c r="A223" s="758"/>
      <c r="B223" s="759"/>
      <c r="C223" s="760"/>
      <c r="D223" s="760"/>
    </row>
    <row r="224" spans="1:4" ht="15">
      <c r="A224" s="758"/>
      <c r="B224" s="759"/>
      <c r="C224" s="760"/>
      <c r="D224" s="760"/>
    </row>
    <row r="225" spans="1:4" ht="15">
      <c r="A225" s="758"/>
      <c r="B225" s="759"/>
      <c r="C225" s="760"/>
      <c r="D225" s="760"/>
    </row>
    <row r="226" spans="1:4" ht="15">
      <c r="A226" s="758"/>
      <c r="B226" s="759"/>
      <c r="C226" s="760"/>
      <c r="D226" s="760"/>
    </row>
    <row r="227" spans="1:4" ht="15">
      <c r="A227" s="758"/>
      <c r="B227" s="759"/>
      <c r="C227" s="760"/>
      <c r="D227" s="760"/>
    </row>
    <row r="228" spans="1:4" ht="15">
      <c r="A228" s="758"/>
      <c r="B228" s="759"/>
      <c r="C228" s="760"/>
      <c r="D228" s="760"/>
    </row>
    <row r="229" spans="1:4" ht="15">
      <c r="A229" s="758"/>
      <c r="B229" s="759"/>
      <c r="C229" s="760"/>
      <c r="D229" s="760"/>
    </row>
    <row r="230" spans="1:4" ht="15">
      <c r="A230" s="758"/>
      <c r="B230" s="759"/>
      <c r="C230" s="760"/>
      <c r="D230" s="760"/>
    </row>
    <row r="231" spans="1:4" ht="15">
      <c r="A231" s="758"/>
      <c r="B231" s="759"/>
      <c r="C231" s="760"/>
      <c r="D231" s="760"/>
    </row>
    <row r="232" spans="1:4" ht="15">
      <c r="A232" s="758"/>
      <c r="B232" s="759"/>
      <c r="C232" s="760"/>
      <c r="D232" s="760"/>
    </row>
    <row r="233" spans="1:4" ht="15">
      <c r="A233" s="758"/>
      <c r="B233" s="759"/>
      <c r="C233" s="760"/>
      <c r="D233" s="760"/>
    </row>
    <row r="234" spans="1:4" ht="15">
      <c r="A234" s="758"/>
      <c r="B234" s="759"/>
      <c r="C234" s="760"/>
      <c r="D234" s="760"/>
    </row>
    <row r="235" spans="1:4" ht="15">
      <c r="A235" s="758"/>
      <c r="B235" s="759"/>
      <c r="C235" s="760"/>
      <c r="D235" s="760"/>
    </row>
    <row r="236" spans="1:4" ht="15">
      <c r="A236" s="758"/>
      <c r="B236" s="759"/>
      <c r="C236" s="760"/>
      <c r="D236" s="760"/>
    </row>
    <row r="237" spans="1:4" ht="15">
      <c r="A237" s="758"/>
      <c r="B237" s="759"/>
      <c r="C237" s="760"/>
      <c r="D237" s="760"/>
    </row>
    <row r="238" spans="1:4" ht="15">
      <c r="A238" s="758"/>
      <c r="B238" s="759"/>
      <c r="C238" s="760"/>
      <c r="D238" s="760"/>
    </row>
    <row r="239" spans="1:4" ht="15">
      <c r="A239" s="758"/>
      <c r="B239" s="759"/>
      <c r="C239" s="760"/>
      <c r="D239" s="760"/>
    </row>
    <row r="240" spans="1:4" ht="15">
      <c r="A240" s="758"/>
      <c r="B240" s="759"/>
      <c r="C240" s="760"/>
      <c r="D240" s="760"/>
    </row>
    <row r="241" spans="1:4" ht="15">
      <c r="A241" s="758"/>
      <c r="B241" s="759"/>
      <c r="C241" s="760"/>
      <c r="D241" s="760"/>
    </row>
    <row r="242" spans="1:4" ht="15">
      <c r="A242" s="758"/>
      <c r="B242" s="759"/>
      <c r="C242" s="760"/>
      <c r="D242" s="760"/>
    </row>
    <row r="243" spans="1:4" ht="15">
      <c r="A243" s="758"/>
      <c r="B243" s="759"/>
      <c r="C243" s="760"/>
      <c r="D243" s="760"/>
    </row>
    <row r="244" spans="1:4" ht="15">
      <c r="A244" s="761"/>
      <c r="B244" s="762"/>
      <c r="C244" s="763"/>
      <c r="D244" s="763"/>
    </row>
    <row r="245" spans="1:4" ht="15">
      <c r="A245" s="758"/>
      <c r="B245" s="759"/>
      <c r="C245" s="760"/>
      <c r="D245" s="760"/>
    </row>
    <row r="246" spans="1:4" ht="15">
      <c r="A246" s="758"/>
      <c r="B246" s="759"/>
      <c r="C246" s="760"/>
      <c r="D246" s="760"/>
    </row>
    <row r="247" spans="1:4" ht="15">
      <c r="A247" s="758"/>
      <c r="B247" s="759"/>
      <c r="C247" s="760"/>
      <c r="D247" s="760"/>
    </row>
    <row r="248" spans="1:4" ht="15">
      <c r="A248" s="758"/>
      <c r="B248" s="759"/>
      <c r="C248" s="760"/>
      <c r="D248" s="760"/>
    </row>
    <row r="249" spans="1:4" ht="15">
      <c r="A249" s="758"/>
      <c r="B249" s="759"/>
      <c r="C249" s="760"/>
      <c r="D249" s="760"/>
    </row>
    <row r="250" spans="1:4" ht="15">
      <c r="A250" s="758"/>
      <c r="B250" s="759"/>
      <c r="C250" s="760"/>
      <c r="D250" s="760"/>
    </row>
    <row r="251" spans="1:4" ht="15">
      <c r="A251" s="758"/>
      <c r="B251" s="759"/>
      <c r="C251" s="760"/>
      <c r="D251" s="760"/>
    </row>
    <row r="252" spans="1:4" ht="15">
      <c r="A252" s="758"/>
      <c r="B252" s="759"/>
      <c r="C252" s="760"/>
      <c r="D252" s="760"/>
    </row>
    <row r="253" spans="1:4" ht="15">
      <c r="A253" s="758"/>
      <c r="B253" s="759"/>
      <c r="C253" s="760"/>
      <c r="D253" s="760"/>
    </row>
    <row r="254" spans="1:4" ht="15">
      <c r="A254" s="761"/>
      <c r="B254" s="762"/>
      <c r="C254" s="763"/>
      <c r="D254" s="763"/>
    </row>
    <row r="255" spans="1:4" ht="15">
      <c r="A255" s="761"/>
      <c r="B255" s="762"/>
      <c r="C255" s="763"/>
      <c r="D255" s="763"/>
    </row>
    <row r="256" spans="1:4" ht="15">
      <c r="A256" s="761"/>
      <c r="B256" s="762"/>
      <c r="C256" s="763"/>
      <c r="D256" s="763"/>
    </row>
    <row r="257" spans="1:4" ht="15">
      <c r="A257" s="758"/>
      <c r="B257" s="759"/>
      <c r="C257" s="760"/>
      <c r="D257" s="760"/>
    </row>
    <row r="258" spans="1:4" ht="15">
      <c r="A258" s="758"/>
      <c r="B258" s="759"/>
      <c r="C258" s="760"/>
      <c r="D258" s="760"/>
    </row>
    <row r="259" spans="1:4" ht="15">
      <c r="A259" s="758"/>
      <c r="B259" s="759"/>
      <c r="C259" s="760"/>
      <c r="D259" s="760"/>
    </row>
    <row r="260" spans="1:4" ht="15">
      <c r="A260" s="761"/>
      <c r="B260" s="762"/>
      <c r="C260" s="763"/>
      <c r="D260" s="763"/>
    </row>
    <row r="261" spans="1:4" ht="15">
      <c r="A261" s="761"/>
      <c r="B261" s="762"/>
      <c r="C261" s="763"/>
      <c r="D261" s="763"/>
    </row>
  </sheetData>
  <sheetProtection/>
  <mergeCells count="8">
    <mergeCell ref="A1:D1"/>
    <mergeCell ref="A2:D2"/>
    <mergeCell ref="A3:D3"/>
    <mergeCell ref="A4:D4"/>
    <mergeCell ref="C5:D5"/>
    <mergeCell ref="C6:D7"/>
    <mergeCell ref="B6:B8"/>
    <mergeCell ref="A6:A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zoomScale="120" zoomScaleNormal="120" workbookViewId="0" topLeftCell="A10">
      <selection activeCell="H14" sqref="H14"/>
    </sheetView>
  </sheetViews>
  <sheetFormatPr defaultColWidth="9.375" defaultRowHeight="12.75"/>
  <cols>
    <col min="1" max="1" width="6.375" style="549" customWidth="1"/>
    <col min="2" max="2" width="71.125" style="550" customWidth="1"/>
    <col min="3" max="3" width="12.875" style="555" customWidth="1"/>
    <col min="4" max="4" width="14.875" style="549" customWidth="1"/>
    <col min="5" max="5" width="9.375" style="549" customWidth="1"/>
    <col min="6" max="6" width="14.125" style="549" customWidth="1"/>
    <col min="7" max="16384" width="9.375" style="549" customWidth="1"/>
  </cols>
  <sheetData>
    <row r="1" spans="2:4" ht="16.5" customHeight="1">
      <c r="B1" s="1006" t="str">
        <f>CONCATENATE("31. melléklet ",Z_ALAPADATOK!A7," ",Z_ALAPADATOK!B7," ",Z_ALAPADATOK!C7," ",Z_ALAPADATOK!D7," ",Z_ALAPADATOK!E7," ",Z_ALAPADATOK!F7," ",Z_ALAPADATOK!G7," ",Z_ALAPADATOK!H7)</f>
        <v>31. melléklet a  / 2023. ( V…... ) önkormányzati rendelethez</v>
      </c>
      <c r="C1" s="1007"/>
      <c r="D1" s="1007"/>
    </row>
    <row r="2" spans="2:4" ht="16.5" customHeight="1">
      <c r="B2" s="623"/>
      <c r="C2" s="624"/>
      <c r="D2" s="625"/>
    </row>
    <row r="3" spans="2:4" ht="16.5" customHeight="1">
      <c r="B3" s="1010" t="s">
        <v>640</v>
      </c>
      <c r="C3" s="1010"/>
      <c r="D3" s="1010"/>
    </row>
    <row r="4" spans="2:4" ht="16.5" customHeight="1">
      <c r="B4" s="1008" t="s">
        <v>655</v>
      </c>
      <c r="C4" s="1008"/>
      <c r="D4" s="1008"/>
    </row>
    <row r="5" spans="2:4" ht="16.5" customHeight="1">
      <c r="B5" s="1008" t="s">
        <v>722</v>
      </c>
      <c r="C5" s="1009"/>
      <c r="D5" s="1009"/>
    </row>
    <row r="6" spans="2:4" ht="13.5" thickBot="1">
      <c r="B6" s="623"/>
      <c r="C6" s="1011" t="str">
        <f>'29'!E6</f>
        <v>Forintban</v>
      </c>
      <c r="D6" s="1011"/>
    </row>
    <row r="7" spans="1:4" s="551" customFormat="1" ht="31.5" customHeight="1">
      <c r="A7" s="1004" t="s">
        <v>602</v>
      </c>
      <c r="B7" s="1012" t="s">
        <v>603</v>
      </c>
      <c r="C7" s="1014"/>
      <c r="D7" s="1016" t="s">
        <v>604</v>
      </c>
    </row>
    <row r="8" spans="1:4" s="551" customFormat="1" ht="12.75">
      <c r="A8" s="1005"/>
      <c r="B8" s="1013"/>
      <c r="C8" s="1015"/>
      <c r="D8" s="1017"/>
    </row>
    <row r="9" spans="1:8" s="552" customFormat="1" ht="15.75" thickBot="1">
      <c r="A9" s="764" t="s">
        <v>389</v>
      </c>
      <c r="B9" s="626" t="s">
        <v>390</v>
      </c>
      <c r="C9" s="627" t="s">
        <v>391</v>
      </c>
      <c r="D9" s="628" t="s">
        <v>393</v>
      </c>
      <c r="F9" s="546"/>
      <c r="G9" s="546"/>
      <c r="H9" s="546"/>
    </row>
    <row r="10" spans="1:4" ht="15.75" customHeight="1">
      <c r="A10" s="828">
        <v>1</v>
      </c>
      <c r="B10" s="829" t="s">
        <v>1163</v>
      </c>
      <c r="C10" s="830">
        <v>3593391897</v>
      </c>
      <c r="D10" s="831">
        <v>3593391897</v>
      </c>
    </row>
    <row r="11" spans="1:4" ht="15.75" customHeight="1">
      <c r="A11" s="809">
        <v>2</v>
      </c>
      <c r="B11" s="812" t="s">
        <v>1164</v>
      </c>
      <c r="C11" s="766">
        <v>114044738</v>
      </c>
      <c r="D11" s="813">
        <v>113116875</v>
      </c>
    </row>
    <row r="12" spans="1:4" ht="15.75" customHeight="1">
      <c r="A12" s="809">
        <v>3</v>
      </c>
      <c r="B12" s="812" t="s">
        <v>1165</v>
      </c>
      <c r="C12" s="766">
        <v>79640083</v>
      </c>
      <c r="D12" s="813">
        <v>79640083</v>
      </c>
    </row>
    <row r="13" spans="1:4" ht="15.75" customHeight="1">
      <c r="A13" s="809">
        <v>4</v>
      </c>
      <c r="B13" s="812" t="s">
        <v>1166</v>
      </c>
      <c r="C13" s="766">
        <v>-306111601</v>
      </c>
      <c r="D13" s="813">
        <v>-432201114</v>
      </c>
    </row>
    <row r="14" spans="1:4" ht="15.75" customHeight="1">
      <c r="A14" s="809">
        <v>5</v>
      </c>
      <c r="B14" s="812" t="s">
        <v>1167</v>
      </c>
      <c r="C14" s="766">
        <v>0</v>
      </c>
      <c r="D14" s="813">
        <v>0</v>
      </c>
    </row>
    <row r="15" spans="1:4" ht="15.75" customHeight="1">
      <c r="A15" s="809">
        <v>6</v>
      </c>
      <c r="B15" s="812" t="s">
        <v>1168</v>
      </c>
      <c r="C15" s="766">
        <v>-126089513</v>
      </c>
      <c r="D15" s="813">
        <v>-11248104</v>
      </c>
    </row>
    <row r="16" spans="1:4" ht="15.75" customHeight="1">
      <c r="A16" s="810">
        <v>7</v>
      </c>
      <c r="B16" s="814" t="s">
        <v>1169</v>
      </c>
      <c r="C16" s="768">
        <v>3354875604</v>
      </c>
      <c r="D16" s="815">
        <v>3342699637</v>
      </c>
    </row>
    <row r="17" spans="1:4" ht="15.75" customHeight="1">
      <c r="A17" s="809">
        <v>8</v>
      </c>
      <c r="B17" s="812" t="s">
        <v>1170</v>
      </c>
      <c r="C17" s="766">
        <v>7544</v>
      </c>
      <c r="D17" s="813">
        <v>0</v>
      </c>
    </row>
    <row r="18" spans="1:4" ht="15.75" customHeight="1">
      <c r="A18" s="809">
        <v>9</v>
      </c>
      <c r="B18" s="812" t="s">
        <v>1171</v>
      </c>
      <c r="C18" s="766">
        <v>0</v>
      </c>
      <c r="D18" s="813">
        <v>0</v>
      </c>
    </row>
    <row r="19" spans="1:4" ht="15.75" customHeight="1">
      <c r="A19" s="809">
        <v>10</v>
      </c>
      <c r="B19" s="812" t="s">
        <v>1172</v>
      </c>
      <c r="C19" s="766">
        <v>1335777</v>
      </c>
      <c r="D19" s="813">
        <v>3574663</v>
      </c>
    </row>
    <row r="20" spans="1:4" ht="15.75" customHeight="1">
      <c r="A20" s="809">
        <v>11</v>
      </c>
      <c r="B20" s="812" t="s">
        <v>1173</v>
      </c>
      <c r="C20" s="766">
        <v>0</v>
      </c>
      <c r="D20" s="813">
        <v>0</v>
      </c>
    </row>
    <row r="21" spans="1:4" s="553" customFormat="1" ht="15.75" customHeight="1">
      <c r="A21" s="809">
        <v>12</v>
      </c>
      <c r="B21" s="812" t="s">
        <v>1174</v>
      </c>
      <c r="C21" s="766">
        <v>0</v>
      </c>
      <c r="D21" s="813">
        <v>0</v>
      </c>
    </row>
    <row r="22" spans="1:4" ht="15.75" customHeight="1">
      <c r="A22" s="809">
        <v>13</v>
      </c>
      <c r="B22" s="812" t="s">
        <v>1175</v>
      </c>
      <c r="C22" s="766">
        <v>0</v>
      </c>
      <c r="D22" s="813">
        <v>0</v>
      </c>
    </row>
    <row r="23" spans="1:4" ht="15.75" customHeight="1">
      <c r="A23" s="809">
        <v>14</v>
      </c>
      <c r="B23" s="812" t="s">
        <v>1176</v>
      </c>
      <c r="C23" s="766">
        <v>0</v>
      </c>
      <c r="D23" s="813">
        <v>0</v>
      </c>
    </row>
    <row r="24" spans="1:6" ht="15">
      <c r="A24" s="809">
        <v>15</v>
      </c>
      <c r="B24" s="812" t="s">
        <v>1177</v>
      </c>
      <c r="C24" s="766">
        <v>635738</v>
      </c>
      <c r="D24" s="813">
        <v>0</v>
      </c>
      <c r="E24" s="547"/>
      <c r="F24" s="547"/>
    </row>
    <row r="25" spans="1:6" ht="15">
      <c r="A25" s="809">
        <v>16</v>
      </c>
      <c r="B25" s="812" t="s">
        <v>1178</v>
      </c>
      <c r="C25" s="766">
        <v>0</v>
      </c>
      <c r="D25" s="813">
        <v>0</v>
      </c>
      <c r="E25" s="547"/>
      <c r="F25" s="547"/>
    </row>
    <row r="26" spans="1:6" ht="27">
      <c r="A26" s="809">
        <v>17</v>
      </c>
      <c r="B26" s="812" t="s">
        <v>1179</v>
      </c>
      <c r="C26" s="766">
        <v>0</v>
      </c>
      <c r="D26" s="813">
        <v>0</v>
      </c>
      <c r="E26" s="547"/>
      <c r="F26" s="547"/>
    </row>
    <row r="27" spans="1:6" ht="27">
      <c r="A27" s="809">
        <v>18</v>
      </c>
      <c r="B27" s="812" t="s">
        <v>1180</v>
      </c>
      <c r="C27" s="766">
        <v>0</v>
      </c>
      <c r="D27" s="813">
        <v>0</v>
      </c>
      <c r="E27" s="554"/>
      <c r="F27" s="554"/>
    </row>
    <row r="28" spans="1:6" ht="27">
      <c r="A28" s="809">
        <v>19</v>
      </c>
      <c r="B28" s="812" t="s">
        <v>1181</v>
      </c>
      <c r="C28" s="766">
        <v>0</v>
      </c>
      <c r="D28" s="813">
        <v>0</v>
      </c>
      <c r="E28" s="554"/>
      <c r="F28" s="554"/>
    </row>
    <row r="29" spans="1:4" ht="27">
      <c r="A29" s="809">
        <v>20</v>
      </c>
      <c r="B29" s="812" t="s">
        <v>1182</v>
      </c>
      <c r="C29" s="766">
        <v>0</v>
      </c>
      <c r="D29" s="813">
        <v>0</v>
      </c>
    </row>
    <row r="30" spans="1:4" ht="27">
      <c r="A30" s="809">
        <v>21</v>
      </c>
      <c r="B30" s="812" t="s">
        <v>1183</v>
      </c>
      <c r="C30" s="766">
        <v>0</v>
      </c>
      <c r="D30" s="813">
        <v>0</v>
      </c>
    </row>
    <row r="31" spans="1:4" ht="27">
      <c r="A31" s="809">
        <v>22</v>
      </c>
      <c r="B31" s="812" t="s">
        <v>1184</v>
      </c>
      <c r="C31" s="766">
        <v>0</v>
      </c>
      <c r="D31" s="813">
        <v>0</v>
      </c>
    </row>
    <row r="32" spans="1:4" ht="13.5">
      <c r="A32" s="809">
        <v>23</v>
      </c>
      <c r="B32" s="812" t="s">
        <v>1185</v>
      </c>
      <c r="C32" s="766">
        <v>0</v>
      </c>
      <c r="D32" s="813">
        <v>0</v>
      </c>
    </row>
    <row r="33" spans="1:4" ht="27">
      <c r="A33" s="809">
        <v>24</v>
      </c>
      <c r="B33" s="812" t="s">
        <v>1186</v>
      </c>
      <c r="C33" s="766">
        <v>0</v>
      </c>
      <c r="D33" s="813">
        <v>0</v>
      </c>
    </row>
    <row r="34" spans="1:4" ht="27">
      <c r="A34" s="809">
        <v>25</v>
      </c>
      <c r="B34" s="812" t="s">
        <v>1187</v>
      </c>
      <c r="C34" s="766">
        <v>0</v>
      </c>
      <c r="D34" s="813">
        <v>0</v>
      </c>
    </row>
    <row r="35" spans="1:4" ht="27">
      <c r="A35" s="809">
        <v>26</v>
      </c>
      <c r="B35" s="812" t="s">
        <v>1188</v>
      </c>
      <c r="C35" s="766">
        <v>0</v>
      </c>
      <c r="D35" s="813">
        <v>0</v>
      </c>
    </row>
    <row r="36" spans="1:4" ht="27">
      <c r="A36" s="809">
        <v>27</v>
      </c>
      <c r="B36" s="812" t="s">
        <v>1189</v>
      </c>
      <c r="C36" s="766">
        <v>0</v>
      </c>
      <c r="D36" s="813">
        <v>0</v>
      </c>
    </row>
    <row r="37" spans="1:4" ht="13.5">
      <c r="A37" s="809">
        <v>28</v>
      </c>
      <c r="B37" s="812" t="s">
        <v>1190</v>
      </c>
      <c r="C37" s="766">
        <v>0</v>
      </c>
      <c r="D37" s="813">
        <v>0</v>
      </c>
    </row>
    <row r="38" spans="1:4" ht="27">
      <c r="A38" s="809">
        <v>29</v>
      </c>
      <c r="B38" s="812" t="s">
        <v>1191</v>
      </c>
      <c r="C38" s="766">
        <v>0</v>
      </c>
      <c r="D38" s="813">
        <v>0</v>
      </c>
    </row>
    <row r="39" spans="1:4" ht="27">
      <c r="A39" s="809">
        <v>30</v>
      </c>
      <c r="B39" s="812" t="s">
        <v>1192</v>
      </c>
      <c r="C39" s="766">
        <v>0</v>
      </c>
      <c r="D39" s="813">
        <v>0</v>
      </c>
    </row>
    <row r="40" spans="1:4" ht="27">
      <c r="A40" s="809">
        <v>31</v>
      </c>
      <c r="B40" s="812" t="s">
        <v>1193</v>
      </c>
      <c r="C40" s="766">
        <v>0</v>
      </c>
      <c r="D40" s="813">
        <v>0</v>
      </c>
    </row>
    <row r="41" spans="1:4" ht="13.5">
      <c r="A41" s="809">
        <v>32</v>
      </c>
      <c r="B41" s="812" t="s">
        <v>1194</v>
      </c>
      <c r="C41" s="766">
        <v>0</v>
      </c>
      <c r="D41" s="813">
        <v>0</v>
      </c>
    </row>
    <row r="42" spans="1:4" ht="13.5">
      <c r="A42" s="810">
        <v>33</v>
      </c>
      <c r="B42" s="814" t="s">
        <v>1195</v>
      </c>
      <c r="C42" s="768">
        <v>1979059</v>
      </c>
      <c r="D42" s="815">
        <v>3574663</v>
      </c>
    </row>
    <row r="43" spans="1:4" ht="13.5">
      <c r="A43" s="809">
        <v>34</v>
      </c>
      <c r="B43" s="812" t="s">
        <v>1196</v>
      </c>
      <c r="C43" s="766">
        <v>0</v>
      </c>
      <c r="D43" s="813">
        <v>0</v>
      </c>
    </row>
    <row r="44" spans="1:4" ht="27">
      <c r="A44" s="809">
        <v>35</v>
      </c>
      <c r="B44" s="812" t="s">
        <v>1197</v>
      </c>
      <c r="C44" s="766">
        <v>0</v>
      </c>
      <c r="D44" s="813">
        <v>0</v>
      </c>
    </row>
    <row r="45" spans="1:4" ht="13.5">
      <c r="A45" s="809">
        <v>36</v>
      </c>
      <c r="B45" s="812" t="s">
        <v>1198</v>
      </c>
      <c r="C45" s="766">
        <v>2511619</v>
      </c>
      <c r="D45" s="813">
        <v>960993</v>
      </c>
    </row>
    <row r="46" spans="1:4" ht="27">
      <c r="A46" s="809">
        <v>37</v>
      </c>
      <c r="B46" s="812" t="s">
        <v>1199</v>
      </c>
      <c r="C46" s="766">
        <v>0</v>
      </c>
      <c r="D46" s="813">
        <v>0</v>
      </c>
    </row>
    <row r="47" spans="1:4" ht="27">
      <c r="A47" s="809">
        <v>38</v>
      </c>
      <c r="B47" s="812" t="s">
        <v>1200</v>
      </c>
      <c r="C47" s="766">
        <v>0</v>
      </c>
      <c r="D47" s="813">
        <v>0</v>
      </c>
    </row>
    <row r="48" spans="1:4" ht="27">
      <c r="A48" s="809">
        <v>39</v>
      </c>
      <c r="B48" s="812" t="s">
        <v>1201</v>
      </c>
      <c r="C48" s="766">
        <v>0</v>
      </c>
      <c r="D48" s="813">
        <v>0</v>
      </c>
    </row>
    <row r="49" spans="1:4" ht="27">
      <c r="A49" s="809">
        <v>40</v>
      </c>
      <c r="B49" s="812" t="s">
        <v>1202</v>
      </c>
      <c r="C49" s="766">
        <v>0</v>
      </c>
      <c r="D49" s="813">
        <v>0</v>
      </c>
    </row>
    <row r="50" spans="1:4" ht="13.5">
      <c r="A50" s="809">
        <v>41</v>
      </c>
      <c r="B50" s="812" t="s">
        <v>1203</v>
      </c>
      <c r="C50" s="766">
        <v>0</v>
      </c>
      <c r="D50" s="813">
        <v>0</v>
      </c>
    </row>
    <row r="51" spans="1:4" ht="13.5">
      <c r="A51" s="809">
        <v>42</v>
      </c>
      <c r="B51" s="812" t="s">
        <v>1204</v>
      </c>
      <c r="C51" s="766">
        <v>0</v>
      </c>
      <c r="D51" s="813">
        <v>0</v>
      </c>
    </row>
    <row r="52" spans="1:4" ht="27">
      <c r="A52" s="809">
        <v>43</v>
      </c>
      <c r="B52" s="812" t="s">
        <v>1205</v>
      </c>
      <c r="C52" s="766">
        <v>0</v>
      </c>
      <c r="D52" s="813">
        <v>0</v>
      </c>
    </row>
    <row r="53" spans="1:4" ht="27">
      <c r="A53" s="809">
        <v>44</v>
      </c>
      <c r="B53" s="812" t="s">
        <v>1206</v>
      </c>
      <c r="C53" s="766">
        <v>0</v>
      </c>
      <c r="D53" s="813">
        <v>0</v>
      </c>
    </row>
    <row r="54" spans="1:4" ht="27">
      <c r="A54" s="809">
        <v>45</v>
      </c>
      <c r="B54" s="812" t="s">
        <v>1207</v>
      </c>
      <c r="C54" s="766">
        <v>0</v>
      </c>
      <c r="D54" s="813">
        <v>0</v>
      </c>
    </row>
    <row r="55" spans="1:4" ht="27">
      <c r="A55" s="809">
        <v>46</v>
      </c>
      <c r="B55" s="812" t="s">
        <v>1208</v>
      </c>
      <c r="C55" s="766">
        <v>4440354</v>
      </c>
      <c r="D55" s="813">
        <v>5477666</v>
      </c>
    </row>
    <row r="56" spans="1:4" ht="27">
      <c r="A56" s="809">
        <v>47</v>
      </c>
      <c r="B56" s="812" t="s">
        <v>1209</v>
      </c>
      <c r="C56" s="766">
        <v>0</v>
      </c>
      <c r="D56" s="813">
        <v>0</v>
      </c>
    </row>
    <row r="57" spans="1:4" ht="27">
      <c r="A57" s="809">
        <v>48</v>
      </c>
      <c r="B57" s="812" t="s">
        <v>1210</v>
      </c>
      <c r="C57" s="766">
        <v>0</v>
      </c>
      <c r="D57" s="813">
        <v>0</v>
      </c>
    </row>
    <row r="58" spans="1:4" ht="27">
      <c r="A58" s="809">
        <v>49</v>
      </c>
      <c r="B58" s="812" t="s">
        <v>1211</v>
      </c>
      <c r="C58" s="766">
        <v>0</v>
      </c>
      <c r="D58" s="813">
        <v>0</v>
      </c>
    </row>
    <row r="59" spans="1:4" ht="27">
      <c r="A59" s="809">
        <v>50</v>
      </c>
      <c r="B59" s="812" t="s">
        <v>1212</v>
      </c>
      <c r="C59" s="766">
        <v>0</v>
      </c>
      <c r="D59" s="813">
        <v>0</v>
      </c>
    </row>
    <row r="60" spans="1:4" ht="27">
      <c r="A60" s="809">
        <v>51</v>
      </c>
      <c r="B60" s="812" t="s">
        <v>1213</v>
      </c>
      <c r="C60" s="766">
        <v>4440354</v>
      </c>
      <c r="D60" s="813">
        <v>5477666</v>
      </c>
    </row>
    <row r="61" spans="1:4" ht="27">
      <c r="A61" s="809">
        <v>52</v>
      </c>
      <c r="B61" s="812" t="s">
        <v>1214</v>
      </c>
      <c r="C61" s="766">
        <v>0</v>
      </c>
      <c r="D61" s="813">
        <v>0</v>
      </c>
    </row>
    <row r="62" spans="1:4" ht="27">
      <c r="A62" s="809">
        <v>53</v>
      </c>
      <c r="B62" s="812" t="s">
        <v>1215</v>
      </c>
      <c r="C62" s="766">
        <v>0</v>
      </c>
      <c r="D62" s="813">
        <v>0</v>
      </c>
    </row>
    <row r="63" spans="1:4" ht="27">
      <c r="A63" s="809">
        <v>54</v>
      </c>
      <c r="B63" s="812" t="s">
        <v>1216</v>
      </c>
      <c r="C63" s="766">
        <v>0</v>
      </c>
      <c r="D63" s="813">
        <v>0</v>
      </c>
    </row>
    <row r="64" spans="1:4" ht="27">
      <c r="A64" s="809">
        <v>55</v>
      </c>
      <c r="B64" s="812" t="s">
        <v>1217</v>
      </c>
      <c r="C64" s="766">
        <v>0</v>
      </c>
      <c r="D64" s="813">
        <v>0</v>
      </c>
    </row>
    <row r="65" spans="1:4" ht="13.5">
      <c r="A65" s="809">
        <v>56</v>
      </c>
      <c r="B65" s="812" t="s">
        <v>1218</v>
      </c>
      <c r="C65" s="766">
        <v>0</v>
      </c>
      <c r="D65" s="813">
        <v>0</v>
      </c>
    </row>
    <row r="66" spans="1:4" ht="13.5">
      <c r="A66" s="810">
        <v>57</v>
      </c>
      <c r="B66" s="814" t="s">
        <v>1219</v>
      </c>
      <c r="C66" s="768">
        <v>6951973</v>
      </c>
      <c r="D66" s="815">
        <v>6438659</v>
      </c>
    </row>
    <row r="67" spans="1:4" ht="13.5">
      <c r="A67" s="809">
        <v>58</v>
      </c>
      <c r="B67" s="812" t="s">
        <v>1220</v>
      </c>
      <c r="C67" s="766">
        <v>21343197</v>
      </c>
      <c r="D67" s="813">
        <v>16489515</v>
      </c>
    </row>
    <row r="68" spans="1:4" ht="13.5">
      <c r="A68" s="809">
        <v>59</v>
      </c>
      <c r="B68" s="812" t="s">
        <v>1221</v>
      </c>
      <c r="C68" s="766">
        <v>0</v>
      </c>
      <c r="D68" s="813">
        <v>0</v>
      </c>
    </row>
    <row r="69" spans="1:4" ht="13.5">
      <c r="A69" s="809">
        <v>60</v>
      </c>
      <c r="B69" s="812" t="s">
        <v>1222</v>
      </c>
      <c r="C69" s="766">
        <v>320897</v>
      </c>
      <c r="D69" s="813">
        <v>227624</v>
      </c>
    </row>
    <row r="70" spans="1:4" ht="13.5">
      <c r="A70" s="809">
        <v>61</v>
      </c>
      <c r="B70" s="812" t="s">
        <v>1223</v>
      </c>
      <c r="C70" s="766">
        <v>0</v>
      </c>
      <c r="D70" s="813">
        <v>0</v>
      </c>
    </row>
    <row r="71" spans="1:4" ht="27">
      <c r="A71" s="809">
        <v>62</v>
      </c>
      <c r="B71" s="812" t="s">
        <v>1224</v>
      </c>
      <c r="C71" s="766">
        <v>0</v>
      </c>
      <c r="D71" s="813">
        <v>0</v>
      </c>
    </row>
    <row r="72" spans="1:4" ht="27">
      <c r="A72" s="809">
        <v>63</v>
      </c>
      <c r="B72" s="812" t="s">
        <v>1225</v>
      </c>
      <c r="C72" s="766">
        <v>0</v>
      </c>
      <c r="D72" s="813">
        <v>0</v>
      </c>
    </row>
    <row r="73" spans="1:4" ht="13.5">
      <c r="A73" s="809">
        <v>64</v>
      </c>
      <c r="B73" s="812" t="s">
        <v>1226</v>
      </c>
      <c r="C73" s="766">
        <v>4401181</v>
      </c>
      <c r="D73" s="813">
        <v>0</v>
      </c>
    </row>
    <row r="74" spans="1:4" ht="13.5">
      <c r="A74" s="809">
        <v>65</v>
      </c>
      <c r="B74" s="812" t="s">
        <v>1227</v>
      </c>
      <c r="C74" s="766">
        <v>0</v>
      </c>
      <c r="D74" s="813">
        <v>0</v>
      </c>
    </row>
    <row r="75" spans="1:4" ht="13.5">
      <c r="A75" s="809">
        <v>66</v>
      </c>
      <c r="B75" s="812" t="s">
        <v>1228</v>
      </c>
      <c r="C75" s="766">
        <v>0</v>
      </c>
      <c r="D75" s="813">
        <v>0</v>
      </c>
    </row>
    <row r="76" spans="1:4" ht="13.5">
      <c r="A76" s="810">
        <v>67</v>
      </c>
      <c r="B76" s="814" t="s">
        <v>1229</v>
      </c>
      <c r="C76" s="768">
        <v>26065275</v>
      </c>
      <c r="D76" s="815">
        <v>16717139</v>
      </c>
    </row>
    <row r="77" spans="1:4" ht="13.5">
      <c r="A77" s="810">
        <v>68</v>
      </c>
      <c r="B77" s="814" t="s">
        <v>1230</v>
      </c>
      <c r="C77" s="768">
        <v>34996307</v>
      </c>
      <c r="D77" s="815">
        <v>26730461</v>
      </c>
    </row>
    <row r="78" spans="1:4" ht="13.5">
      <c r="A78" s="810">
        <v>69</v>
      </c>
      <c r="B78" s="814" t="s">
        <v>605</v>
      </c>
      <c r="C78" s="768">
        <v>0</v>
      </c>
      <c r="D78" s="815">
        <v>0</v>
      </c>
    </row>
    <row r="79" spans="1:4" ht="13.5">
      <c r="A79" s="809">
        <v>70</v>
      </c>
      <c r="B79" s="812" t="s">
        <v>1231</v>
      </c>
      <c r="C79" s="766">
        <v>0</v>
      </c>
      <c r="D79" s="813">
        <v>0</v>
      </c>
    </row>
    <row r="80" spans="1:4" ht="13.5">
      <c r="A80" s="809">
        <v>71</v>
      </c>
      <c r="B80" s="812" t="s">
        <v>1232</v>
      </c>
      <c r="C80" s="766">
        <v>18020794</v>
      </c>
      <c r="D80" s="813">
        <v>14466017</v>
      </c>
    </row>
    <row r="81" spans="1:4" ht="13.5">
      <c r="A81" s="809">
        <v>72</v>
      </c>
      <c r="B81" s="812" t="s">
        <v>1233</v>
      </c>
      <c r="C81" s="766">
        <v>396169403</v>
      </c>
      <c r="D81" s="813">
        <v>391920607</v>
      </c>
    </row>
    <row r="82" spans="1:4" ht="13.5">
      <c r="A82" s="810">
        <v>73</v>
      </c>
      <c r="B82" s="814" t="s">
        <v>1234</v>
      </c>
      <c r="C82" s="768">
        <v>414190197</v>
      </c>
      <c r="D82" s="815">
        <v>406386624</v>
      </c>
    </row>
    <row r="83" spans="1:4" ht="14.25" thickBot="1">
      <c r="A83" s="811">
        <v>74</v>
      </c>
      <c r="B83" s="816" t="s">
        <v>1235</v>
      </c>
      <c r="C83" s="817">
        <v>3804062108</v>
      </c>
      <c r="D83" s="818">
        <v>3775816722</v>
      </c>
    </row>
  </sheetData>
  <sheetProtection/>
  <mergeCells count="9">
    <mergeCell ref="A7:A8"/>
    <mergeCell ref="B1:D1"/>
    <mergeCell ref="B5:D5"/>
    <mergeCell ref="B3:D3"/>
    <mergeCell ref="B4:D4"/>
    <mergeCell ref="C6:D6"/>
    <mergeCell ref="B7:B8"/>
    <mergeCell ref="C7:C8"/>
    <mergeCell ref="D7:D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="120" zoomScaleNormal="120" workbookViewId="0" topLeftCell="A1">
      <selection activeCell="H18" sqref="H18"/>
    </sheetView>
  </sheetViews>
  <sheetFormatPr defaultColWidth="12.00390625" defaultRowHeight="12.75"/>
  <cols>
    <col min="1" max="1" width="58.75390625" style="556" customWidth="1"/>
    <col min="2" max="2" width="6.75390625" style="556" customWidth="1"/>
    <col min="3" max="3" width="19.125" style="556" customWidth="1"/>
    <col min="4" max="4" width="12.00390625" style="556" customWidth="1"/>
    <col min="5" max="5" width="14.00390625" style="556" customWidth="1"/>
    <col min="6" max="16384" width="12.00390625" style="556" customWidth="1"/>
  </cols>
  <sheetData>
    <row r="1" spans="1:3" ht="16.5" customHeight="1">
      <c r="A1" s="1022" t="str">
        <f>CONCATENATE("32. melléklet ",Z_ALAPADATOK!A7," ",Z_ALAPADATOK!B7," ",Z_ALAPADATOK!C7," ",Z_ALAPADATOK!D7," ",Z_ALAPADATOK!E7," ",Z_ALAPADATOK!F7," ",Z_ALAPADATOK!G7," ",Z_ALAPADATOK!H7)</f>
        <v>32. melléklet a  / 2023. ( V…... ) önkormányzati rendelethez</v>
      </c>
      <c r="B1" s="1022"/>
      <c r="C1" s="1022"/>
    </row>
    <row r="2" s="629" customFormat="1" ht="16.5" customHeight="1"/>
    <row r="3" spans="1:3" s="577" customFormat="1" ht="16.5" customHeight="1">
      <c r="A3" s="1023" t="s">
        <v>640</v>
      </c>
      <c r="B3" s="1023"/>
      <c r="C3" s="1023"/>
    </row>
    <row r="4" spans="1:3" s="577" customFormat="1" ht="16.5" customHeight="1">
      <c r="A4" s="1023" t="s">
        <v>641</v>
      </c>
      <c r="B4" s="1023"/>
      <c r="C4" s="1023"/>
    </row>
    <row r="5" spans="1:3" s="577" customFormat="1" ht="16.5" customHeight="1">
      <c r="A5" s="1018" t="s">
        <v>722</v>
      </c>
      <c r="B5" s="1019"/>
      <c r="C5" s="1019"/>
    </row>
    <row r="6" ht="16.5" customHeight="1" thickBot="1"/>
    <row r="7" spans="1:3" ht="43.5" customHeight="1" thickBot="1">
      <c r="A7" s="557" t="s">
        <v>45</v>
      </c>
      <c r="B7" s="558" t="s">
        <v>602</v>
      </c>
      <c r="C7" s="559" t="s">
        <v>606</v>
      </c>
    </row>
    <row r="8" spans="1:7" ht="15.75" thickBot="1">
      <c r="A8" s="560" t="s">
        <v>389</v>
      </c>
      <c r="B8" s="561" t="s">
        <v>390</v>
      </c>
      <c r="C8" s="562" t="s">
        <v>393</v>
      </c>
      <c r="E8" s="546"/>
      <c r="F8" s="546"/>
      <c r="G8" s="546"/>
    </row>
    <row r="9" spans="1:3" ht="15.75" customHeight="1">
      <c r="A9" s="771" t="s">
        <v>1240</v>
      </c>
      <c r="B9" s="772" t="s">
        <v>6</v>
      </c>
      <c r="C9" s="773">
        <f>SUM(C10:C13)</f>
        <v>33079856</v>
      </c>
    </row>
    <row r="10" spans="1:3" ht="15.75" customHeight="1">
      <c r="A10" s="572" t="s">
        <v>1237</v>
      </c>
      <c r="B10" s="566" t="s">
        <v>7</v>
      </c>
      <c r="C10" s="567">
        <v>11116920</v>
      </c>
    </row>
    <row r="11" spans="1:3" ht="15.75" customHeight="1">
      <c r="A11" s="563" t="s">
        <v>1238</v>
      </c>
      <c r="B11" s="564" t="s">
        <v>8</v>
      </c>
      <c r="C11" s="567">
        <v>1836657</v>
      </c>
    </row>
    <row r="12" spans="1:3" ht="15.75" customHeight="1">
      <c r="A12" s="568" t="s">
        <v>1239</v>
      </c>
      <c r="B12" s="564" t="s">
        <v>9</v>
      </c>
      <c r="C12" s="569">
        <v>20126279</v>
      </c>
    </row>
    <row r="13" spans="1:3" ht="15.75" customHeight="1" thickBot="1">
      <c r="A13" s="568" t="s">
        <v>607</v>
      </c>
      <c r="B13" s="769" t="s">
        <v>10</v>
      </c>
      <c r="C13" s="569"/>
    </row>
    <row r="14" spans="1:3" ht="15.75" customHeight="1" thickBot="1">
      <c r="A14" s="570" t="s">
        <v>608</v>
      </c>
      <c r="B14" s="770" t="s">
        <v>11</v>
      </c>
      <c r="C14" s="571">
        <f>+C15+C16+C17+C18</f>
        <v>0</v>
      </c>
    </row>
    <row r="15" spans="1:3" ht="15.75" customHeight="1">
      <c r="A15" s="572" t="s">
        <v>609</v>
      </c>
      <c r="B15" s="564" t="s">
        <v>12</v>
      </c>
      <c r="C15" s="565"/>
    </row>
    <row r="16" spans="1:3" ht="15.75" customHeight="1">
      <c r="A16" s="563" t="s">
        <v>610</v>
      </c>
      <c r="B16" s="564" t="s">
        <v>13</v>
      </c>
      <c r="C16" s="567"/>
    </row>
    <row r="17" spans="1:3" ht="15.75" customHeight="1">
      <c r="A17" s="563" t="s">
        <v>611</v>
      </c>
      <c r="B17" s="564" t="s">
        <v>14</v>
      </c>
      <c r="C17" s="567"/>
    </row>
    <row r="18" spans="1:3" ht="15.75" customHeight="1" thickBot="1">
      <c r="A18" s="568" t="s">
        <v>612</v>
      </c>
      <c r="B18" s="769" t="s">
        <v>15</v>
      </c>
      <c r="C18" s="569"/>
    </row>
    <row r="19" spans="1:3" ht="15.75" customHeight="1" thickBot="1">
      <c r="A19" s="570" t="s">
        <v>613</v>
      </c>
      <c r="B19" s="770" t="s">
        <v>16</v>
      </c>
      <c r="C19" s="571">
        <f>+C20+C21+C22</f>
        <v>0</v>
      </c>
    </row>
    <row r="20" spans="1:3" ht="15.75" customHeight="1">
      <c r="A20" s="572" t="s">
        <v>614</v>
      </c>
      <c r="B20" s="564" t="s">
        <v>17</v>
      </c>
      <c r="C20" s="565"/>
    </row>
    <row r="21" spans="1:3" ht="15.75" customHeight="1">
      <c r="A21" s="563" t="s">
        <v>615</v>
      </c>
      <c r="B21" s="564" t="s">
        <v>18</v>
      </c>
      <c r="C21" s="567"/>
    </row>
    <row r="22" spans="1:3" ht="15.75" customHeight="1" thickBot="1">
      <c r="A22" s="568" t="s">
        <v>616</v>
      </c>
      <c r="B22" s="769" t="s">
        <v>19</v>
      </c>
      <c r="C22" s="569"/>
    </row>
    <row r="23" spans="1:3" ht="15.75" customHeight="1" thickBot="1">
      <c r="A23" s="570" t="s">
        <v>617</v>
      </c>
      <c r="B23" s="770" t="s">
        <v>20</v>
      </c>
      <c r="C23" s="571">
        <f>+C24+C25+C26</f>
        <v>0</v>
      </c>
    </row>
    <row r="24" spans="1:3" ht="15.75" customHeight="1">
      <c r="A24" s="572" t="s">
        <v>618</v>
      </c>
      <c r="B24" s="564" t="s">
        <v>21</v>
      </c>
      <c r="C24" s="565"/>
    </row>
    <row r="25" spans="1:3" ht="15.75" customHeight="1">
      <c r="A25" s="563" t="s">
        <v>619</v>
      </c>
      <c r="B25" s="564" t="s">
        <v>22</v>
      </c>
      <c r="C25" s="567"/>
    </row>
    <row r="26" spans="1:3" ht="15.75" customHeight="1">
      <c r="A26" s="563" t="s">
        <v>620</v>
      </c>
      <c r="B26" s="564" t="s">
        <v>23</v>
      </c>
      <c r="C26" s="567"/>
    </row>
    <row r="27" spans="1:3" ht="15.75" customHeight="1" thickBot="1">
      <c r="A27" s="563" t="s">
        <v>621</v>
      </c>
      <c r="B27" s="564" t="s">
        <v>24</v>
      </c>
      <c r="C27" s="567"/>
    </row>
    <row r="28" spans="1:5" ht="15.75" customHeight="1" thickBot="1">
      <c r="A28" s="1020" t="s">
        <v>622</v>
      </c>
      <c r="B28" s="1021"/>
      <c r="C28" s="571">
        <f>+C9+C14+C19+C23+C27</f>
        <v>33079856</v>
      </c>
      <c r="E28" s="573"/>
    </row>
    <row r="29" ht="15">
      <c r="A29" s="574" t="s">
        <v>623</v>
      </c>
    </row>
    <row r="30" spans="1:3" ht="15">
      <c r="A30" s="575"/>
      <c r="B30" s="575"/>
      <c r="C30" s="711"/>
    </row>
    <row r="31" spans="1:2" ht="15">
      <c r="A31" s="576"/>
      <c r="B31" s="576"/>
    </row>
    <row r="32" spans="1:2" ht="15">
      <c r="A32" s="576"/>
      <c r="B32" s="576"/>
    </row>
  </sheetData>
  <sheetProtection/>
  <mergeCells count="5">
    <mergeCell ref="A5:C5"/>
    <mergeCell ref="A28:B28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="120" zoomScaleNormal="120" zoomScalePageLayoutView="0" workbookViewId="0" topLeftCell="A1">
      <selection activeCell="K7" sqref="K7"/>
    </sheetView>
  </sheetViews>
  <sheetFormatPr defaultColWidth="9.375" defaultRowHeight="12.75"/>
  <cols>
    <col min="1" max="1" width="9.375" style="81" customWidth="1"/>
    <col min="2" max="2" width="51.75390625" style="81" customWidth="1"/>
    <col min="3" max="3" width="25.00390625" style="81" customWidth="1"/>
    <col min="4" max="4" width="22.75390625" style="81" customWidth="1"/>
    <col min="5" max="5" width="25.00390625" style="81" customWidth="1"/>
    <col min="6" max="6" width="5.50390625" style="81" customWidth="1"/>
    <col min="7" max="16384" width="9.375" style="81" customWidth="1"/>
  </cols>
  <sheetData>
    <row r="1" spans="1:5" ht="12.75">
      <c r="A1" s="631"/>
      <c r="B1" s="631"/>
      <c r="C1" s="631"/>
      <c r="D1" s="631"/>
      <c r="E1" s="631"/>
    </row>
    <row r="2" spans="1:5" ht="15">
      <c r="A2" s="858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858"/>
      <c r="C2" s="858"/>
      <c r="D2" s="858"/>
      <c r="E2" s="858"/>
    </row>
    <row r="3" spans="1:6" ht="15">
      <c r="A3" s="1027" t="s">
        <v>723</v>
      </c>
      <c r="B3" s="858"/>
      <c r="C3" s="858"/>
      <c r="D3" s="858"/>
      <c r="E3" s="858"/>
      <c r="F3" s="1024" t="str">
        <f>CONCATENATE("33. melléklet ",Z_ALAPADATOK!A7," ",Z_ALAPADATOK!B7," ",Z_ALAPADATOK!C7," ",Z_ALAPADATOK!D7," ",Z_ALAPADATOK!E7," ",Z_ALAPADATOK!F7," ",Z_ALAPADATOK!G7," ",Z_ALAPADATOK!H7)</f>
        <v>33. melléklet a  / 2023. ( V…... ) önkormányzati rendelethez</v>
      </c>
    </row>
    <row r="4" spans="1:6" ht="15.75" thickBot="1">
      <c r="A4" s="632"/>
      <c r="B4" s="631"/>
      <c r="C4" s="631"/>
      <c r="D4" s="631"/>
      <c r="E4" s="631"/>
      <c r="F4" s="1024"/>
    </row>
    <row r="5" spans="1:6" ht="63" thickBot="1">
      <c r="A5" s="633" t="s">
        <v>602</v>
      </c>
      <c r="B5" s="634" t="s">
        <v>624</v>
      </c>
      <c r="C5" s="634" t="s">
        <v>625</v>
      </c>
      <c r="D5" s="634" t="s">
        <v>626</v>
      </c>
      <c r="E5" s="635" t="s">
        <v>627</v>
      </c>
      <c r="F5" s="1024"/>
    </row>
    <row r="6" spans="1:6" ht="31.5" thickBot="1">
      <c r="A6" s="630" t="s">
        <v>6</v>
      </c>
      <c r="B6" s="774" t="s">
        <v>1241</v>
      </c>
      <c r="C6" s="775">
        <v>0.45</v>
      </c>
      <c r="D6" s="776">
        <v>5639575</v>
      </c>
      <c r="E6" s="579"/>
      <c r="F6" s="1024"/>
    </row>
    <row r="7" spans="1:6" ht="15.75" thickBot="1">
      <c r="A7" s="1025" t="s">
        <v>628</v>
      </c>
      <c r="B7" s="1026"/>
      <c r="C7" s="580"/>
      <c r="D7" s="581">
        <f>IF(SUM(D6:D6)=0,"",SUM(D6:D6))</f>
        <v>5639575</v>
      </c>
      <c r="E7" s="582">
        <f>IF(SUM(E6:E6)=0,"",SUM(E6:E6))</f>
      </c>
      <c r="F7" s="1024"/>
    </row>
    <row r="8" ht="15">
      <c r="A8" s="578"/>
    </row>
  </sheetData>
  <sheetProtection/>
  <mergeCells count="4">
    <mergeCell ref="F3:F7"/>
    <mergeCell ref="A7:B7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I10" sqref="I10"/>
    </sheetView>
  </sheetViews>
  <sheetFormatPr defaultColWidth="9.375" defaultRowHeight="12.75"/>
  <cols>
    <col min="1" max="1" width="7.625" style="31" customWidth="1"/>
    <col min="2" max="2" width="60.75390625" style="31" customWidth="1"/>
    <col min="3" max="3" width="25.625" style="31" customWidth="1"/>
    <col min="4" max="16384" width="9.375" style="31" customWidth="1"/>
  </cols>
  <sheetData>
    <row r="2" spans="1:3" ht="13.5">
      <c r="A2" s="990" t="str">
        <f>CONCATENATE("34. melléklet ",Z_ALAPADATOK!A7," ",Z_ALAPADATOK!B7," ",Z_ALAPADATOK!C7," ",Z_ALAPADATOK!D7," ",Z_ALAPADATOK!E7," ",Z_ALAPADATOK!F7," ",Z_ALAPADATOK!G7," ",Z_ALAPADATOK!H7)</f>
        <v>34. melléklet a  / 2023. ( V…... ) önkormányzati rendelethez</v>
      </c>
      <c r="B2" s="1029"/>
      <c r="C2" s="1029"/>
    </row>
    <row r="3" spans="1:3" ht="13.5">
      <c r="A3" s="583"/>
      <c r="B3" s="583"/>
      <c r="C3" s="583"/>
    </row>
    <row r="4" spans="1:3" ht="33.75" customHeight="1">
      <c r="A4" s="1028" t="s">
        <v>629</v>
      </c>
      <c r="B4" s="1028"/>
      <c r="C4" s="1028"/>
    </row>
    <row r="5" ht="13.5" thickBot="1">
      <c r="C5" s="584"/>
    </row>
    <row r="6" spans="1:3" s="588" customFormat="1" ht="43.5" customHeight="1" thickBot="1">
      <c r="A6" s="585" t="s">
        <v>4</v>
      </c>
      <c r="B6" s="586" t="s">
        <v>45</v>
      </c>
      <c r="C6" s="587" t="s">
        <v>630</v>
      </c>
    </row>
    <row r="7" spans="1:3" ht="28.5" customHeight="1">
      <c r="A7" s="589" t="s">
        <v>6</v>
      </c>
      <c r="B7" s="590" t="s">
        <v>724</v>
      </c>
      <c r="C7" s="674">
        <v>292540897</v>
      </c>
    </row>
    <row r="8" spans="1:3" ht="18" customHeight="1">
      <c r="A8" s="591" t="s">
        <v>7</v>
      </c>
      <c r="B8" s="592" t="s">
        <v>631</v>
      </c>
      <c r="C8" s="636">
        <v>292331392</v>
      </c>
    </row>
    <row r="9" spans="1:3" ht="18" customHeight="1">
      <c r="A9" s="591" t="s">
        <v>8</v>
      </c>
      <c r="B9" s="592" t="s">
        <v>632</v>
      </c>
      <c r="C9" s="636">
        <v>209505</v>
      </c>
    </row>
    <row r="10" spans="1:3" ht="18" customHeight="1">
      <c r="A10" s="591" t="s">
        <v>9</v>
      </c>
      <c r="B10" s="593" t="s">
        <v>633</v>
      </c>
      <c r="C10" s="636">
        <v>1130068713</v>
      </c>
    </row>
    <row r="11" spans="1:3" ht="18" customHeight="1">
      <c r="A11" s="594" t="s">
        <v>10</v>
      </c>
      <c r="B11" s="595" t="s">
        <v>634</v>
      </c>
      <c r="C11" s="637">
        <v>872009389</v>
      </c>
    </row>
    <row r="12" spans="1:3" ht="18" customHeight="1" thickBot="1">
      <c r="A12" s="596" t="s">
        <v>11</v>
      </c>
      <c r="B12" s="597" t="s">
        <v>635</v>
      </c>
      <c r="C12" s="637">
        <v>279830146</v>
      </c>
    </row>
    <row r="13" spans="1:3" ht="25.5" customHeight="1">
      <c r="A13" s="598" t="s">
        <v>12</v>
      </c>
      <c r="B13" s="599" t="s">
        <v>725</v>
      </c>
      <c r="C13" s="639">
        <f>C7+C10-C11-C12</f>
        <v>270770075</v>
      </c>
    </row>
    <row r="14" spans="1:3" ht="18" customHeight="1">
      <c r="A14" s="591" t="s">
        <v>13</v>
      </c>
      <c r="B14" s="592" t="s">
        <v>631</v>
      </c>
      <c r="C14" s="636">
        <v>270434795</v>
      </c>
    </row>
    <row r="15" spans="1:3" ht="18" customHeight="1" thickBot="1">
      <c r="A15" s="596" t="s">
        <v>14</v>
      </c>
      <c r="B15" s="600" t="s">
        <v>632</v>
      </c>
      <c r="C15" s="638">
        <v>335280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43"/>
  <sheetViews>
    <sheetView zoomScale="120" zoomScaleNormal="120" zoomScalePageLayoutView="0" workbookViewId="0" topLeftCell="A1">
      <selection activeCell="B30" sqref="B30"/>
    </sheetView>
  </sheetViews>
  <sheetFormatPr defaultColWidth="9.00390625" defaultRowHeight="12.75"/>
  <cols>
    <col min="1" max="1" width="19.25390625" style="0" customWidth="1"/>
    <col min="2" max="2" width="115.75390625" style="0" customWidth="1"/>
  </cols>
  <sheetData>
    <row r="2" spans="1:2" ht="17.25">
      <c r="A2" s="1030" t="s">
        <v>642</v>
      </c>
      <c r="B2" s="1030"/>
    </row>
    <row r="3" spans="1:2" ht="13.5">
      <c r="A3" s="640"/>
      <c r="B3" s="641"/>
    </row>
    <row r="4" spans="1:2" ht="13.5">
      <c r="A4" s="642" t="s">
        <v>643</v>
      </c>
      <c r="B4" s="643" t="s">
        <v>644</v>
      </c>
    </row>
    <row r="5" spans="1:2" ht="12.75">
      <c r="A5" s="644"/>
      <c r="B5" s="644"/>
    </row>
    <row r="6" spans="1:2" ht="17.25">
      <c r="A6" s="1031" t="s">
        <v>653</v>
      </c>
      <c r="B6" s="1031"/>
    </row>
    <row r="7" spans="1:2" ht="12.75">
      <c r="A7" s="675" t="s">
        <v>645</v>
      </c>
      <c r="B7" s="644" t="s">
        <v>646</v>
      </c>
    </row>
    <row r="8" spans="1:2" ht="12.75">
      <c r="A8" s="675" t="s">
        <v>647</v>
      </c>
      <c r="B8" s="644" t="s">
        <v>661</v>
      </c>
    </row>
    <row r="9" spans="1:2" ht="12.75">
      <c r="A9" s="675">
        <v>1</v>
      </c>
      <c r="B9" s="644" t="s">
        <v>710</v>
      </c>
    </row>
    <row r="10" spans="1:2" ht="12.75">
      <c r="A10" s="675">
        <v>2</v>
      </c>
      <c r="B10" s="644" t="s">
        <v>1257</v>
      </c>
    </row>
    <row r="11" spans="1:2" ht="12.75">
      <c r="A11" s="675">
        <v>3</v>
      </c>
      <c r="B11" s="644" t="s">
        <v>1258</v>
      </c>
    </row>
    <row r="12" spans="1:2" ht="12.75">
      <c r="A12" s="675">
        <v>4</v>
      </c>
      <c r="B12" s="644" t="s">
        <v>1259</v>
      </c>
    </row>
    <row r="13" spans="1:2" ht="12.75">
      <c r="A13" s="675">
        <v>5</v>
      </c>
      <c r="B13" s="644" t="s">
        <v>648</v>
      </c>
    </row>
    <row r="14" spans="1:2" ht="12.75">
      <c r="A14" s="675">
        <v>6</v>
      </c>
      <c r="B14" s="644" t="s">
        <v>649</v>
      </c>
    </row>
    <row r="15" spans="1:2" ht="12.75">
      <c r="A15" s="675" t="s">
        <v>695</v>
      </c>
      <c r="B15" s="644" t="s">
        <v>650</v>
      </c>
    </row>
    <row r="16" spans="1:2" ht="12.75">
      <c r="A16" s="675">
        <v>7</v>
      </c>
      <c r="B16" s="644" t="s">
        <v>651</v>
      </c>
    </row>
    <row r="17" spans="1:2" ht="12.75">
      <c r="A17" s="675">
        <v>8</v>
      </c>
      <c r="B17" s="644" t="s">
        <v>652</v>
      </c>
    </row>
    <row r="18" spans="1:2" ht="12.75">
      <c r="A18" s="675">
        <v>9</v>
      </c>
      <c r="B18" s="644" t="s">
        <v>509</v>
      </c>
    </row>
    <row r="19" spans="1:2" ht="12.75">
      <c r="A19" s="675">
        <v>10</v>
      </c>
      <c r="B19" s="644" t="s">
        <v>696</v>
      </c>
    </row>
    <row r="20" spans="1:2" ht="12.75">
      <c r="A20" s="675">
        <v>11</v>
      </c>
      <c r="B20" s="644" t="s">
        <v>697</v>
      </c>
    </row>
    <row r="21" spans="1:2" ht="12.75">
      <c r="A21" s="675">
        <v>12</v>
      </c>
      <c r="B21" s="644" t="s">
        <v>698</v>
      </c>
    </row>
    <row r="22" spans="1:2" ht="12.75">
      <c r="A22" s="675">
        <v>13</v>
      </c>
      <c r="B22" s="644" t="s">
        <v>699</v>
      </c>
    </row>
    <row r="23" spans="1:2" ht="12.75">
      <c r="A23" s="675">
        <v>14</v>
      </c>
      <c r="B23" t="s">
        <v>700</v>
      </c>
    </row>
    <row r="24" spans="1:2" ht="12.75">
      <c r="A24" s="675">
        <v>15</v>
      </c>
      <c r="B24" t="s">
        <v>701</v>
      </c>
    </row>
    <row r="25" spans="1:2" ht="12.75">
      <c r="A25" s="675">
        <v>16</v>
      </c>
      <c r="B25" t="s">
        <v>702</v>
      </c>
    </row>
    <row r="26" spans="1:2" ht="12.75">
      <c r="A26" s="675">
        <v>17</v>
      </c>
      <c r="B26" t="s">
        <v>703</v>
      </c>
    </row>
    <row r="27" spans="1:2" ht="12.75">
      <c r="A27" s="675">
        <v>18</v>
      </c>
      <c r="B27" t="s">
        <v>704</v>
      </c>
    </row>
    <row r="28" spans="1:2" ht="12.75">
      <c r="A28" s="675">
        <v>19</v>
      </c>
      <c r="B28" t="s">
        <v>705</v>
      </c>
    </row>
    <row r="29" spans="1:2" ht="12.75">
      <c r="A29" s="675">
        <v>20</v>
      </c>
      <c r="B29" t="s">
        <v>706</v>
      </c>
    </row>
    <row r="30" spans="1:2" ht="12.75">
      <c r="A30" s="675">
        <v>21</v>
      </c>
      <c r="B30" t="s">
        <v>707</v>
      </c>
    </row>
    <row r="31" spans="1:2" ht="12.75">
      <c r="A31" s="675">
        <v>22</v>
      </c>
      <c r="B31" t="s">
        <v>1261</v>
      </c>
    </row>
    <row r="32" spans="1:2" ht="12.75">
      <c r="A32" s="675">
        <v>23</v>
      </c>
      <c r="B32" s="832" t="s">
        <v>1260</v>
      </c>
    </row>
    <row r="33" spans="1:2" ht="12.75">
      <c r="A33" s="675">
        <v>24</v>
      </c>
      <c r="B33" t="s">
        <v>1262</v>
      </c>
    </row>
    <row r="34" spans="1:2" ht="12.75">
      <c r="A34" s="675">
        <v>25</v>
      </c>
      <c r="B34" t="s">
        <v>636</v>
      </c>
    </row>
    <row r="35" spans="1:2" ht="12.75">
      <c r="A35" s="675">
        <v>26</v>
      </c>
      <c r="B35" t="s">
        <v>662</v>
      </c>
    </row>
    <row r="36" spans="1:2" ht="12.75">
      <c r="A36" s="675">
        <v>27</v>
      </c>
      <c r="B36" t="s">
        <v>709</v>
      </c>
    </row>
    <row r="37" spans="1:2" ht="12.75">
      <c r="A37" s="675">
        <v>28</v>
      </c>
      <c r="B37" t="s">
        <v>637</v>
      </c>
    </row>
    <row r="38" spans="1:2" ht="12.75">
      <c r="A38" s="675">
        <v>29</v>
      </c>
      <c r="B38" t="s">
        <v>1263</v>
      </c>
    </row>
    <row r="39" spans="1:2" ht="12.75">
      <c r="A39" s="675">
        <v>30</v>
      </c>
      <c r="B39" t="s">
        <v>1264</v>
      </c>
    </row>
    <row r="40" spans="1:2" ht="12.75">
      <c r="A40" s="675">
        <v>31</v>
      </c>
      <c r="B40" t="s">
        <v>1265</v>
      </c>
    </row>
    <row r="41" spans="1:2" ht="12.75">
      <c r="A41" s="675">
        <v>32</v>
      </c>
      <c r="B41" t="s">
        <v>1266</v>
      </c>
    </row>
    <row r="42" spans="1:2" ht="12.75">
      <c r="A42" s="675">
        <v>33</v>
      </c>
      <c r="B42" t="s">
        <v>1267</v>
      </c>
    </row>
    <row r="43" spans="1:2" ht="12.75">
      <c r="A43" s="675">
        <v>34</v>
      </c>
      <c r="B43" t="s">
        <v>654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8"/>
  <sheetViews>
    <sheetView zoomScale="120" zoomScaleNormal="120" zoomScaleSheetLayoutView="100" workbookViewId="0" topLeftCell="A115">
      <selection activeCell="C132" sqref="C132"/>
    </sheetView>
  </sheetViews>
  <sheetFormatPr defaultColWidth="9.375" defaultRowHeight="12.75"/>
  <cols>
    <col min="1" max="1" width="9.50390625" style="156" customWidth="1"/>
    <col min="2" max="2" width="65.75390625" style="156" customWidth="1"/>
    <col min="3" max="3" width="17.75390625" style="157" customWidth="1"/>
    <col min="4" max="5" width="17.75390625" style="178" customWidth="1"/>
    <col min="6" max="16384" width="9.375" style="178" customWidth="1"/>
  </cols>
  <sheetData>
    <row r="1" spans="1:5" ht="15">
      <c r="A1" s="372"/>
      <c r="B1" s="848" t="str">
        <f>CONCATENATE("2. melléklet ",Z_ALAPADATOK!A7," ",Z_ALAPADATOK!B7," ",Z_ALAPADATOK!C7," ",Z_ALAPADATOK!D7," ",Z_ALAPADATOK!E7," ",Z_ALAPADATOK!F7," ",Z_ALAPADATOK!G7," ",Z_ALAPADATOK!H7)</f>
        <v>2. melléklet a  / 2023. ( V…... ) önkormányzati rendelethez</v>
      </c>
      <c r="C1" s="849"/>
      <c r="D1" s="849"/>
      <c r="E1" s="849"/>
    </row>
    <row r="2" spans="1:5" ht="15">
      <c r="A2" s="850" t="str">
        <f>CONCATENATE(Z_ALAPADATOK!A3)</f>
        <v>Balatonvilágos Község Önkormányzata</v>
      </c>
      <c r="B2" s="851"/>
      <c r="C2" s="851"/>
      <c r="D2" s="851"/>
      <c r="E2" s="851"/>
    </row>
    <row r="3" spans="1:5" ht="15">
      <c r="A3" s="850" t="s">
        <v>686</v>
      </c>
      <c r="B3" s="850"/>
      <c r="C3" s="852"/>
      <c r="D3" s="850"/>
      <c r="E3" s="850"/>
    </row>
    <row r="4" spans="1:5" ht="17.25" customHeight="1">
      <c r="A4" s="850" t="s">
        <v>678</v>
      </c>
      <c r="B4" s="850"/>
      <c r="C4" s="852"/>
      <c r="D4" s="850"/>
      <c r="E4" s="850"/>
    </row>
    <row r="5" spans="1:5" ht="15">
      <c r="A5" s="372"/>
      <c r="B5" s="372"/>
      <c r="C5" s="373"/>
      <c r="D5" s="374"/>
      <c r="E5" s="374"/>
    </row>
    <row r="6" spans="1:5" ht="15.75" customHeight="1">
      <c r="A6" s="844" t="s">
        <v>3</v>
      </c>
      <c r="B6" s="844"/>
      <c r="C6" s="844"/>
      <c r="D6" s="844"/>
      <c r="E6" s="844"/>
    </row>
    <row r="7" spans="1:5" ht="15.75" customHeight="1" thickBot="1">
      <c r="A7" s="846" t="s">
        <v>102</v>
      </c>
      <c r="B7" s="846"/>
      <c r="C7" s="375"/>
      <c r="D7" s="374"/>
      <c r="E7" s="375" t="str">
        <f>CONCATENATE(1!E7)</f>
        <v> Forintban!</v>
      </c>
    </row>
    <row r="8" spans="1:5" ht="15">
      <c r="A8" s="854" t="s">
        <v>52</v>
      </c>
      <c r="B8" s="856" t="s">
        <v>5</v>
      </c>
      <c r="C8" s="840" t="str">
        <f>+CONCATENATE(LEFT(Z_ÖSSZEFÜGGÉSEK!A6,4),". évi")</f>
        <v>2022. évi</v>
      </c>
      <c r="D8" s="841"/>
      <c r="E8" s="842"/>
    </row>
    <row r="9" spans="1:5" ht="23.25" thickBot="1">
      <c r="A9" s="855"/>
      <c r="B9" s="857"/>
      <c r="C9" s="252" t="s">
        <v>422</v>
      </c>
      <c r="D9" s="251" t="s">
        <v>423</v>
      </c>
      <c r="E9" s="361" t="str">
        <f>CONCATENATE(1!E9)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124238073</v>
      </c>
      <c r="D11" s="168">
        <f>+D12+D13+D14+D15+D16+D17+D18</f>
        <v>153956476</v>
      </c>
      <c r="E11" s="168">
        <f>+E12+E13+E14+E15+E16+E17+E18</f>
        <v>153956476</v>
      </c>
    </row>
    <row r="12" spans="1:5" s="180" customFormat="1" ht="12" customHeight="1">
      <c r="A12" s="13" t="s">
        <v>64</v>
      </c>
      <c r="B12" s="181" t="s">
        <v>165</v>
      </c>
      <c r="C12" s="245">
        <v>34249830</v>
      </c>
      <c r="D12" s="256">
        <v>34249830</v>
      </c>
      <c r="E12" s="106">
        <v>34249830</v>
      </c>
    </row>
    <row r="13" spans="1:5" s="180" customFormat="1" ht="12" customHeight="1">
      <c r="A13" s="12" t="s">
        <v>65</v>
      </c>
      <c r="B13" s="182" t="s">
        <v>166</v>
      </c>
      <c r="C13" s="169">
        <v>44591080</v>
      </c>
      <c r="D13" s="257">
        <v>45864660</v>
      </c>
      <c r="E13" s="105">
        <v>45864660</v>
      </c>
    </row>
    <row r="14" spans="1:5" s="180" customFormat="1" ht="12" customHeight="1">
      <c r="A14" s="12" t="s">
        <v>66</v>
      </c>
      <c r="B14" s="182" t="s">
        <v>167</v>
      </c>
      <c r="C14" s="169">
        <v>10296930</v>
      </c>
      <c r="D14" s="257">
        <v>11814946</v>
      </c>
      <c r="E14" s="105">
        <v>11814946</v>
      </c>
    </row>
    <row r="15" spans="1:5" s="180" customFormat="1" ht="12" customHeight="1">
      <c r="A15" s="12" t="s">
        <v>67</v>
      </c>
      <c r="B15" s="182" t="s">
        <v>726</v>
      </c>
      <c r="C15" s="169">
        <v>27935896</v>
      </c>
      <c r="D15" s="257">
        <v>24358789</v>
      </c>
      <c r="E15" s="105">
        <v>24358789</v>
      </c>
    </row>
    <row r="16" spans="1:5" s="180" customFormat="1" ht="12" customHeight="1">
      <c r="A16" s="12" t="s">
        <v>99</v>
      </c>
      <c r="B16" s="182" t="s">
        <v>168</v>
      </c>
      <c r="C16" s="169">
        <v>3248684</v>
      </c>
      <c r="D16" s="257">
        <v>3248684</v>
      </c>
      <c r="E16" s="105">
        <v>3248684</v>
      </c>
    </row>
    <row r="17" spans="1:5" s="180" customFormat="1" ht="12" customHeight="1">
      <c r="A17" s="14" t="s">
        <v>68</v>
      </c>
      <c r="B17" s="182" t="s">
        <v>397</v>
      </c>
      <c r="C17" s="169">
        <v>3915653</v>
      </c>
      <c r="D17" s="258">
        <v>26065958</v>
      </c>
      <c r="E17" s="107">
        <v>26065958</v>
      </c>
    </row>
    <row r="18" spans="1:5" s="180" customFormat="1" ht="12" customHeight="1" thickBot="1">
      <c r="A18" s="14" t="s">
        <v>69</v>
      </c>
      <c r="B18" s="427" t="s">
        <v>727</v>
      </c>
      <c r="C18" s="730"/>
      <c r="D18" s="171">
        <v>8353609</v>
      </c>
      <c r="E18" s="107">
        <v>8353609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19409000</v>
      </c>
      <c r="D19" s="168">
        <f>+D20+D21+D22+D23+D24</f>
        <v>28001653</v>
      </c>
      <c r="E19" s="104">
        <f>+E20+E21+E22+E23+E24</f>
        <v>29107403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>
        <v>19409000</v>
      </c>
      <c r="D24" s="169">
        <v>28001653</v>
      </c>
      <c r="E24" s="105">
        <v>29107403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+C27+C28+C67+C30+C31</f>
        <v>0</v>
      </c>
      <c r="D26" s="168">
        <f>+D27+D28+D67+D30+D31</f>
        <v>22563364</v>
      </c>
      <c r="E26" s="104">
        <f>+E27+E28+E67+E30+E31</f>
        <v>22563364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2" s="180" customFormat="1" ht="12" customHeight="1">
      <c r="A29" s="12" t="s">
        <v>55</v>
      </c>
      <c r="B29" s="182" t="s">
        <v>331</v>
      </c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>
        <v>22563364</v>
      </c>
      <c r="E31" s="105">
        <v>22563364</v>
      </c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483</v>
      </c>
      <c r="C33" s="174">
        <f>SUM(C34:C41)</f>
        <v>181442270</v>
      </c>
      <c r="D33" s="174">
        <f>SUM(D34:D41)</f>
        <v>181442270</v>
      </c>
      <c r="E33" s="210">
        <f>SUM(E34:E41)</f>
        <v>251952188</v>
      </c>
    </row>
    <row r="34" spans="1:5" s="180" customFormat="1" ht="12" customHeight="1">
      <c r="A34" s="13" t="s">
        <v>179</v>
      </c>
      <c r="B34" s="181" t="s">
        <v>484</v>
      </c>
      <c r="C34" s="256">
        <v>127000000</v>
      </c>
      <c r="D34" s="256">
        <v>127000000</v>
      </c>
      <c r="E34" s="106">
        <v>137920864</v>
      </c>
    </row>
    <row r="35" spans="1:5" s="180" customFormat="1" ht="12" customHeight="1">
      <c r="A35" s="12" t="s">
        <v>180</v>
      </c>
      <c r="B35" s="181" t="s">
        <v>729</v>
      </c>
      <c r="C35" s="257">
        <v>10000000</v>
      </c>
      <c r="D35" s="257">
        <v>10000000</v>
      </c>
      <c r="E35" s="105">
        <v>15667834</v>
      </c>
    </row>
    <row r="36" spans="1:5" s="180" customFormat="1" ht="12" customHeight="1">
      <c r="A36" s="12" t="s">
        <v>181</v>
      </c>
      <c r="B36" s="182" t="s">
        <v>485</v>
      </c>
      <c r="C36" s="257">
        <v>5000000</v>
      </c>
      <c r="D36" s="257">
        <v>5000000</v>
      </c>
      <c r="E36" s="105">
        <v>17813200</v>
      </c>
    </row>
    <row r="37" spans="1:5" s="180" customFormat="1" ht="12" customHeight="1">
      <c r="A37" s="12" t="s">
        <v>182</v>
      </c>
      <c r="B37" s="182" t="s">
        <v>486</v>
      </c>
      <c r="C37" s="257">
        <v>35000000</v>
      </c>
      <c r="D37" s="257">
        <v>35000000</v>
      </c>
      <c r="E37" s="105">
        <v>71595099</v>
      </c>
    </row>
    <row r="38" spans="1:5" s="180" customFormat="1" ht="12" customHeight="1">
      <c r="A38" s="12" t="s">
        <v>488</v>
      </c>
      <c r="B38" s="182" t="s">
        <v>789</v>
      </c>
      <c r="C38" s="257">
        <v>650000</v>
      </c>
      <c r="D38" s="257">
        <v>650000</v>
      </c>
      <c r="E38" s="105">
        <v>841299</v>
      </c>
    </row>
    <row r="39" spans="1:5" s="180" customFormat="1" ht="12" customHeight="1">
      <c r="A39" s="12" t="s">
        <v>489</v>
      </c>
      <c r="B39" s="182" t="s">
        <v>790</v>
      </c>
      <c r="C39" s="258">
        <v>200000</v>
      </c>
      <c r="D39" s="258">
        <v>200000</v>
      </c>
      <c r="E39" s="107">
        <v>846000</v>
      </c>
    </row>
    <row r="40" spans="1:5" s="180" customFormat="1" ht="12" customHeight="1">
      <c r="A40" s="14" t="s">
        <v>1253</v>
      </c>
      <c r="B40" s="182" t="s">
        <v>791</v>
      </c>
      <c r="C40" s="258">
        <v>150000</v>
      </c>
      <c r="D40" s="258">
        <v>150000</v>
      </c>
      <c r="E40" s="107">
        <v>129000</v>
      </c>
    </row>
    <row r="41" spans="1:5" s="180" customFormat="1" ht="12" customHeight="1" thickBot="1">
      <c r="A41" s="14" t="s">
        <v>1254</v>
      </c>
      <c r="B41" s="732" t="s">
        <v>730</v>
      </c>
      <c r="C41" s="734">
        <v>3442270</v>
      </c>
      <c r="D41" s="734">
        <v>3442270</v>
      </c>
      <c r="E41" s="735">
        <v>7138892</v>
      </c>
    </row>
    <row r="42" spans="1:5" s="180" customFormat="1" ht="12" customHeight="1" thickBot="1">
      <c r="A42" s="18" t="s">
        <v>10</v>
      </c>
      <c r="B42" s="19" t="s">
        <v>339</v>
      </c>
      <c r="C42" s="168">
        <f>SUM(C43:C53)</f>
        <v>17728828</v>
      </c>
      <c r="D42" s="168">
        <f>SUM(D43:D53)</f>
        <v>21128828</v>
      </c>
      <c r="E42" s="104">
        <f>SUM(E43:E53)</f>
        <v>29068289</v>
      </c>
    </row>
    <row r="43" spans="1:5" s="180" customFormat="1" ht="12" customHeight="1">
      <c r="A43" s="13" t="s">
        <v>57</v>
      </c>
      <c r="B43" s="181" t="s">
        <v>188</v>
      </c>
      <c r="C43" s="170"/>
      <c r="D43" s="170"/>
      <c r="E43" s="106"/>
    </row>
    <row r="44" spans="1:5" s="180" customFormat="1" ht="12" customHeight="1">
      <c r="A44" s="12" t="s">
        <v>58</v>
      </c>
      <c r="B44" s="182" t="s">
        <v>189</v>
      </c>
      <c r="C44" s="169">
        <v>4795000</v>
      </c>
      <c r="D44" s="257">
        <v>8195000</v>
      </c>
      <c r="E44" s="105">
        <v>7798088</v>
      </c>
    </row>
    <row r="45" spans="1:5" s="180" customFormat="1" ht="12" customHeight="1">
      <c r="A45" s="12" t="s">
        <v>59</v>
      </c>
      <c r="B45" s="182" t="s">
        <v>190</v>
      </c>
      <c r="C45" s="169">
        <v>4071664</v>
      </c>
      <c r="D45" s="257">
        <v>4071664</v>
      </c>
      <c r="E45" s="105">
        <v>2983075</v>
      </c>
    </row>
    <row r="46" spans="1:5" s="180" customFormat="1" ht="12" customHeight="1">
      <c r="A46" s="12" t="s">
        <v>116</v>
      </c>
      <c r="B46" s="182" t="s">
        <v>191</v>
      </c>
      <c r="C46" s="169">
        <v>0</v>
      </c>
      <c r="D46" s="257">
        <v>0</v>
      </c>
      <c r="E46" s="105">
        <v>2617165</v>
      </c>
    </row>
    <row r="47" spans="1:5" s="180" customFormat="1" ht="12" customHeight="1">
      <c r="A47" s="12" t="s">
        <v>117</v>
      </c>
      <c r="B47" s="182" t="s">
        <v>192</v>
      </c>
      <c r="C47" s="169">
        <v>5921000</v>
      </c>
      <c r="D47" s="257">
        <v>5921000</v>
      </c>
      <c r="E47" s="105">
        <v>9612344</v>
      </c>
    </row>
    <row r="48" spans="1:5" s="180" customFormat="1" ht="12" customHeight="1">
      <c r="A48" s="12" t="s">
        <v>118</v>
      </c>
      <c r="B48" s="182" t="s">
        <v>193</v>
      </c>
      <c r="C48" s="169">
        <v>2906164</v>
      </c>
      <c r="D48" s="257">
        <v>2906164</v>
      </c>
      <c r="E48" s="105">
        <v>5041996</v>
      </c>
    </row>
    <row r="49" spans="1:5" s="180" customFormat="1" ht="12" customHeight="1">
      <c r="A49" s="12" t="s">
        <v>119</v>
      </c>
      <c r="B49" s="182" t="s">
        <v>194</v>
      </c>
      <c r="C49" s="169"/>
      <c r="D49" s="257"/>
      <c r="E49" s="105"/>
    </row>
    <row r="50" spans="1:5" s="180" customFormat="1" ht="12" customHeight="1">
      <c r="A50" s="12" t="s">
        <v>120</v>
      </c>
      <c r="B50" s="182" t="s">
        <v>491</v>
      </c>
      <c r="C50" s="169">
        <v>10000</v>
      </c>
      <c r="D50" s="257">
        <v>10000</v>
      </c>
      <c r="E50" s="105">
        <v>297</v>
      </c>
    </row>
    <row r="51" spans="1:5" s="180" customFormat="1" ht="12" customHeight="1">
      <c r="A51" s="12" t="s">
        <v>186</v>
      </c>
      <c r="B51" s="182" t="s">
        <v>196</v>
      </c>
      <c r="C51" s="172"/>
      <c r="D51" s="316"/>
      <c r="E51" s="108">
        <v>4688</v>
      </c>
    </row>
    <row r="52" spans="1:5" s="180" customFormat="1" ht="12" customHeight="1">
      <c r="A52" s="14" t="s">
        <v>187</v>
      </c>
      <c r="B52" s="183" t="s">
        <v>341</v>
      </c>
      <c r="C52" s="173"/>
      <c r="D52" s="317"/>
      <c r="E52" s="109"/>
    </row>
    <row r="53" spans="1:5" s="180" customFormat="1" ht="12" customHeight="1" thickBot="1">
      <c r="A53" s="14" t="s">
        <v>340</v>
      </c>
      <c r="B53" s="113" t="s">
        <v>197</v>
      </c>
      <c r="C53" s="377">
        <v>25000</v>
      </c>
      <c r="D53" s="317">
        <v>25000</v>
      </c>
      <c r="E53" s="109">
        <v>1010636</v>
      </c>
    </row>
    <row r="54" spans="1:5" s="180" customFormat="1" ht="12" customHeight="1" thickBot="1">
      <c r="A54" s="18" t="s">
        <v>11</v>
      </c>
      <c r="B54" s="19" t="s">
        <v>198</v>
      </c>
      <c r="C54" s="168">
        <f>SUM(C55:C59)</f>
        <v>0</v>
      </c>
      <c r="D54" s="168">
        <f>SUM(D55:D59)</f>
        <v>0</v>
      </c>
      <c r="E54" s="104">
        <f>SUM(E55:E59)</f>
        <v>0</v>
      </c>
    </row>
    <row r="55" spans="1:5" s="180" customFormat="1" ht="12" customHeight="1">
      <c r="A55" s="13" t="s">
        <v>60</v>
      </c>
      <c r="B55" s="181" t="s">
        <v>202</v>
      </c>
      <c r="C55" s="221"/>
      <c r="D55" s="221"/>
      <c r="E55" s="110"/>
    </row>
    <row r="56" spans="1:5" s="180" customFormat="1" ht="12" customHeight="1">
      <c r="A56" s="12" t="s">
        <v>61</v>
      </c>
      <c r="B56" s="182" t="s">
        <v>203</v>
      </c>
      <c r="C56" s="172"/>
      <c r="D56" s="172"/>
      <c r="E56" s="108"/>
    </row>
    <row r="57" spans="1:5" s="180" customFormat="1" ht="12" customHeight="1">
      <c r="A57" s="12" t="s">
        <v>199</v>
      </c>
      <c r="B57" s="182" t="s">
        <v>204</v>
      </c>
      <c r="C57" s="172"/>
      <c r="D57" s="172"/>
      <c r="E57" s="108"/>
    </row>
    <row r="58" spans="1:5" s="180" customFormat="1" ht="12" customHeight="1">
      <c r="A58" s="12" t="s">
        <v>200</v>
      </c>
      <c r="B58" s="182" t="s">
        <v>205</v>
      </c>
      <c r="C58" s="172"/>
      <c r="D58" s="172"/>
      <c r="E58" s="108"/>
    </row>
    <row r="59" spans="1:5" s="180" customFormat="1" ht="12" customHeight="1" thickBot="1">
      <c r="A59" s="14" t="s">
        <v>201</v>
      </c>
      <c r="B59" s="113" t="s">
        <v>206</v>
      </c>
      <c r="C59" s="173"/>
      <c r="D59" s="173"/>
      <c r="E59" s="109"/>
    </row>
    <row r="60" spans="1:5" s="180" customFormat="1" ht="12" customHeight="1" thickBot="1">
      <c r="A60" s="18" t="s">
        <v>121</v>
      </c>
      <c r="B60" s="19" t="s">
        <v>207</v>
      </c>
      <c r="C60" s="168">
        <f>SUM(C61:C63)</f>
        <v>0</v>
      </c>
      <c r="D60" s="168">
        <f>SUM(D61:D63)</f>
        <v>1000000</v>
      </c>
      <c r="E60" s="104">
        <f>SUM(E61:E63)</f>
        <v>1004325</v>
      </c>
    </row>
    <row r="61" spans="1:5" s="180" customFormat="1" ht="12" customHeight="1">
      <c r="A61" s="13" t="s">
        <v>62</v>
      </c>
      <c r="B61" s="181" t="s">
        <v>208</v>
      </c>
      <c r="C61" s="170"/>
      <c r="D61" s="170"/>
      <c r="E61" s="106"/>
    </row>
    <row r="62" spans="1:5" s="180" customFormat="1" ht="12" customHeight="1">
      <c r="A62" s="12" t="s">
        <v>63</v>
      </c>
      <c r="B62" s="182" t="s">
        <v>333</v>
      </c>
      <c r="C62" s="169"/>
      <c r="D62" s="169"/>
      <c r="E62" s="105"/>
    </row>
    <row r="63" spans="1:5" s="180" customFormat="1" ht="12" customHeight="1">
      <c r="A63" s="12" t="s">
        <v>211</v>
      </c>
      <c r="B63" s="182" t="s">
        <v>209</v>
      </c>
      <c r="C63" s="169"/>
      <c r="D63" s="169">
        <v>1000000</v>
      </c>
      <c r="E63" s="105">
        <v>1004325</v>
      </c>
    </row>
    <row r="64" spans="1:5" s="180" customFormat="1" ht="12" customHeight="1" thickBot="1">
      <c r="A64" s="14" t="s">
        <v>212</v>
      </c>
      <c r="B64" s="113" t="s">
        <v>210</v>
      </c>
      <c r="C64" s="171"/>
      <c r="D64" s="171"/>
      <c r="E64" s="107"/>
    </row>
    <row r="65" spans="1:5" s="180" customFormat="1" ht="12" customHeight="1" thickBot="1">
      <c r="A65" s="18" t="s">
        <v>13</v>
      </c>
      <c r="B65" s="111" t="s">
        <v>213</v>
      </c>
      <c r="C65" s="168">
        <f>SUM(C66:C68)</f>
        <v>0</v>
      </c>
      <c r="D65" s="168">
        <f>SUM(D66:D68)</f>
        <v>0</v>
      </c>
      <c r="E65" s="104">
        <f>SUM(E66:E68)</f>
        <v>0</v>
      </c>
    </row>
    <row r="66" spans="1:5" s="180" customFormat="1" ht="12" customHeight="1">
      <c r="A66" s="13" t="s">
        <v>122</v>
      </c>
      <c r="B66" s="181" t="s">
        <v>215</v>
      </c>
      <c r="C66" s="172"/>
      <c r="D66" s="172"/>
      <c r="E66" s="108"/>
    </row>
    <row r="67" spans="1:5" s="180" customFormat="1" ht="12" customHeight="1">
      <c r="A67" s="12" t="s">
        <v>123</v>
      </c>
      <c r="B67" s="182" t="s">
        <v>334</v>
      </c>
      <c r="C67" s="169"/>
      <c r="D67" s="169"/>
      <c r="E67" s="105"/>
    </row>
    <row r="68" spans="1:5" s="180" customFormat="1" ht="12" customHeight="1">
      <c r="A68" s="12" t="s">
        <v>146</v>
      </c>
      <c r="B68" s="182" t="s">
        <v>216</v>
      </c>
      <c r="C68" s="172"/>
      <c r="D68" s="172"/>
      <c r="E68" s="108"/>
    </row>
    <row r="69" spans="1:5" s="180" customFormat="1" ht="12" customHeight="1" thickBot="1">
      <c r="A69" s="14" t="s">
        <v>214</v>
      </c>
      <c r="B69" s="113" t="s">
        <v>217</v>
      </c>
      <c r="C69" s="172"/>
      <c r="D69" s="172"/>
      <c r="E69" s="108"/>
    </row>
    <row r="70" spans="1:5" s="180" customFormat="1" ht="12" customHeight="1" thickBot="1">
      <c r="A70" s="235" t="s">
        <v>381</v>
      </c>
      <c r="B70" s="19" t="s">
        <v>218</v>
      </c>
      <c r="C70" s="174">
        <f>+C11+C19+C26+C33+C42+C54+C60+C65</f>
        <v>342818171</v>
      </c>
      <c r="D70" s="174">
        <f>+D11+D19+D26+D33+D42+D54+D60+D65</f>
        <v>408092591</v>
      </c>
      <c r="E70" s="210">
        <f>+E11+E19+E26+E33+E42+E54+E60+E65</f>
        <v>487652045</v>
      </c>
    </row>
    <row r="71" spans="1:5" s="180" customFormat="1" ht="12" customHeight="1" thickBot="1">
      <c r="A71" s="222" t="s">
        <v>219</v>
      </c>
      <c r="B71" s="111" t="s">
        <v>220</v>
      </c>
      <c r="C71" s="168">
        <f>SUM(C72:C74)</f>
        <v>0</v>
      </c>
      <c r="D71" s="168">
        <f>SUM(D72:D74)</f>
        <v>0</v>
      </c>
      <c r="E71" s="104">
        <f>SUM(E72:E74)</f>
        <v>0</v>
      </c>
    </row>
    <row r="72" spans="1:5" s="180" customFormat="1" ht="12" customHeight="1">
      <c r="A72" s="13" t="s">
        <v>248</v>
      </c>
      <c r="B72" s="181" t="s">
        <v>221</v>
      </c>
      <c r="C72" s="172"/>
      <c r="D72" s="172"/>
      <c r="E72" s="108"/>
    </row>
    <row r="73" spans="1:5" s="180" customFormat="1" ht="12" customHeight="1">
      <c r="A73" s="12" t="s">
        <v>257</v>
      </c>
      <c r="B73" s="182" t="s">
        <v>222</v>
      </c>
      <c r="C73" s="172"/>
      <c r="D73" s="172"/>
      <c r="E73" s="108"/>
    </row>
    <row r="74" spans="1:5" s="180" customFormat="1" ht="12" customHeight="1" thickBot="1">
      <c r="A74" s="14" t="s">
        <v>258</v>
      </c>
      <c r="B74" s="231" t="s">
        <v>366</v>
      </c>
      <c r="C74" s="172"/>
      <c r="D74" s="172"/>
      <c r="E74" s="108"/>
    </row>
    <row r="75" spans="1:5" s="180" customFormat="1" ht="12" customHeight="1" thickBot="1">
      <c r="A75" s="222" t="s">
        <v>224</v>
      </c>
      <c r="B75" s="111" t="s">
        <v>225</v>
      </c>
      <c r="C75" s="168">
        <f>SUM(C76:C79)</f>
        <v>0</v>
      </c>
      <c r="D75" s="168">
        <f>SUM(D76:D79)</f>
        <v>0</v>
      </c>
      <c r="E75" s="104">
        <f>SUM(E76:E79)</f>
        <v>0</v>
      </c>
    </row>
    <row r="76" spans="1:5" s="180" customFormat="1" ht="12" customHeight="1">
      <c r="A76" s="13" t="s">
        <v>100</v>
      </c>
      <c r="B76" s="359" t="s">
        <v>226</v>
      </c>
      <c r="C76" s="172"/>
      <c r="D76" s="172"/>
      <c r="E76" s="108"/>
    </row>
    <row r="77" spans="1:5" s="180" customFormat="1" ht="12" customHeight="1">
      <c r="A77" s="12" t="s">
        <v>101</v>
      </c>
      <c r="B77" s="359" t="s">
        <v>498</v>
      </c>
      <c r="C77" s="172"/>
      <c r="D77" s="172"/>
      <c r="E77" s="108"/>
    </row>
    <row r="78" spans="1:5" s="180" customFormat="1" ht="12" customHeight="1">
      <c r="A78" s="12" t="s">
        <v>249</v>
      </c>
      <c r="B78" s="359" t="s">
        <v>227</v>
      </c>
      <c r="C78" s="172"/>
      <c r="D78" s="172"/>
      <c r="E78" s="108"/>
    </row>
    <row r="79" spans="1:5" s="180" customFormat="1" ht="12" customHeight="1" thickBot="1">
      <c r="A79" s="14" t="s">
        <v>250</v>
      </c>
      <c r="B79" s="360" t="s">
        <v>499</v>
      </c>
      <c r="C79" s="172"/>
      <c r="D79" s="172"/>
      <c r="E79" s="108"/>
    </row>
    <row r="80" spans="1:5" s="180" customFormat="1" ht="12" customHeight="1" thickBot="1">
      <c r="A80" s="222" t="s">
        <v>228</v>
      </c>
      <c r="B80" s="111" t="s">
        <v>229</v>
      </c>
      <c r="C80" s="168">
        <f>SUM(C81:C82)</f>
        <v>239902746</v>
      </c>
      <c r="D80" s="168">
        <f>SUM(D81:D82)</f>
        <v>266713622</v>
      </c>
      <c r="E80" s="104">
        <f>SUM(E81:E82)</f>
        <v>266713622</v>
      </c>
    </row>
    <row r="81" spans="1:5" s="180" customFormat="1" ht="12" customHeight="1">
      <c r="A81" s="13" t="s">
        <v>251</v>
      </c>
      <c r="B81" s="181" t="s">
        <v>230</v>
      </c>
      <c r="C81" s="694">
        <v>239902746</v>
      </c>
      <c r="D81" s="316">
        <v>266713622</v>
      </c>
      <c r="E81" s="108">
        <v>266713622</v>
      </c>
    </row>
    <row r="82" spans="1:5" s="180" customFormat="1" ht="12" customHeight="1" thickBot="1">
      <c r="A82" s="14" t="s">
        <v>252</v>
      </c>
      <c r="B82" s="113" t="s">
        <v>231</v>
      </c>
      <c r="C82" s="172"/>
      <c r="D82" s="172"/>
      <c r="E82" s="108"/>
    </row>
    <row r="83" spans="1:5" s="180" customFormat="1" ht="12" customHeight="1" thickBot="1">
      <c r="A83" s="222" t="s">
        <v>232</v>
      </c>
      <c r="B83" s="111" t="s">
        <v>233</v>
      </c>
      <c r="C83" s="168">
        <f>SUM(C84:C86)</f>
        <v>0</v>
      </c>
      <c r="D83" s="168">
        <f>SUM(D84:D86)</f>
        <v>16685273</v>
      </c>
      <c r="E83" s="104">
        <f>SUM(E84:E86)</f>
        <v>16685273</v>
      </c>
    </row>
    <row r="84" spans="1:5" s="180" customFormat="1" ht="12" customHeight="1">
      <c r="A84" s="13" t="s">
        <v>253</v>
      </c>
      <c r="B84" s="181" t="s">
        <v>234</v>
      </c>
      <c r="C84" s="172"/>
      <c r="D84" s="172">
        <v>16685273</v>
      </c>
      <c r="E84" s="108">
        <v>16685273</v>
      </c>
    </row>
    <row r="85" spans="1:5" s="180" customFormat="1" ht="12" customHeight="1">
      <c r="A85" s="12" t="s">
        <v>254</v>
      </c>
      <c r="B85" s="182" t="s">
        <v>235</v>
      </c>
      <c r="C85" s="172"/>
      <c r="D85" s="172"/>
      <c r="E85" s="108"/>
    </row>
    <row r="86" spans="1:5" s="180" customFormat="1" ht="12" customHeight="1" thickBot="1">
      <c r="A86" s="14" t="s">
        <v>255</v>
      </c>
      <c r="B86" s="113" t="s">
        <v>500</v>
      </c>
      <c r="C86" s="172"/>
      <c r="D86" s="172"/>
      <c r="E86" s="108"/>
    </row>
    <row r="87" spans="1:5" s="180" customFormat="1" ht="12" customHeight="1" thickBot="1">
      <c r="A87" s="222" t="s">
        <v>236</v>
      </c>
      <c r="B87" s="111" t="s">
        <v>256</v>
      </c>
      <c r="C87" s="168">
        <f>SUM(C88:C91)</f>
        <v>0</v>
      </c>
      <c r="D87" s="168">
        <f>SUM(D88:D91)</f>
        <v>0</v>
      </c>
      <c r="E87" s="104">
        <f>SUM(E88:E91)</f>
        <v>0</v>
      </c>
    </row>
    <row r="88" spans="1:5" s="180" customFormat="1" ht="12" customHeight="1">
      <c r="A88" s="185" t="s">
        <v>237</v>
      </c>
      <c r="B88" s="181" t="s">
        <v>238</v>
      </c>
      <c r="C88" s="172"/>
      <c r="D88" s="172"/>
      <c r="E88" s="108"/>
    </row>
    <row r="89" spans="1:5" s="180" customFormat="1" ht="12" customHeight="1">
      <c r="A89" s="186" t="s">
        <v>239</v>
      </c>
      <c r="B89" s="182" t="s">
        <v>240</v>
      </c>
      <c r="C89" s="172"/>
      <c r="D89" s="172"/>
      <c r="E89" s="108"/>
    </row>
    <row r="90" spans="1:5" s="180" customFormat="1" ht="12" customHeight="1">
      <c r="A90" s="186" t="s">
        <v>241</v>
      </c>
      <c r="B90" s="182" t="s">
        <v>242</v>
      </c>
      <c r="C90" s="172"/>
      <c r="D90" s="172"/>
      <c r="E90" s="108"/>
    </row>
    <row r="91" spans="1:5" s="180" customFormat="1" ht="12" customHeight="1" thickBot="1">
      <c r="A91" s="187" t="s">
        <v>243</v>
      </c>
      <c r="B91" s="113" t="s">
        <v>244</v>
      </c>
      <c r="C91" s="172"/>
      <c r="D91" s="172"/>
      <c r="E91" s="108"/>
    </row>
    <row r="92" spans="1:5" s="180" customFormat="1" ht="12" customHeight="1" thickBot="1">
      <c r="A92" s="222" t="s">
        <v>245</v>
      </c>
      <c r="B92" s="111" t="s">
        <v>380</v>
      </c>
      <c r="C92" s="224"/>
      <c r="D92" s="224"/>
      <c r="E92" s="225"/>
    </row>
    <row r="93" spans="1:5" s="180" customFormat="1" ht="13.5" customHeight="1" thickBot="1">
      <c r="A93" s="222" t="s">
        <v>247</v>
      </c>
      <c r="B93" s="111" t="s">
        <v>246</v>
      </c>
      <c r="C93" s="224"/>
      <c r="D93" s="224"/>
      <c r="E93" s="225"/>
    </row>
    <row r="94" spans="1:5" s="180" customFormat="1" ht="15.75" customHeight="1" thickBot="1">
      <c r="A94" s="222" t="s">
        <v>259</v>
      </c>
      <c r="B94" s="188" t="s">
        <v>383</v>
      </c>
      <c r="C94" s="174">
        <f>+C71+C75+C80+C83+C87+C93+C92</f>
        <v>239902746</v>
      </c>
      <c r="D94" s="174">
        <f>+D71+D75+D80+D83+D87+D93+D92</f>
        <v>283398895</v>
      </c>
      <c r="E94" s="210">
        <f>+E71+E75+E80+E83+E87+E93+E92</f>
        <v>283398895</v>
      </c>
    </row>
    <row r="95" spans="1:5" s="180" customFormat="1" ht="25.5" customHeight="1" thickBot="1">
      <c r="A95" s="223" t="s">
        <v>382</v>
      </c>
      <c r="B95" s="189" t="s">
        <v>384</v>
      </c>
      <c r="C95" s="174">
        <f>+C70+C94</f>
        <v>582720917</v>
      </c>
      <c r="D95" s="174">
        <f>+D70+D94</f>
        <v>691491486</v>
      </c>
      <c r="E95" s="210">
        <f>+E70+E94</f>
        <v>771050940</v>
      </c>
    </row>
    <row r="96" spans="1:3" s="180" customFormat="1" ht="15" customHeight="1">
      <c r="A96" s="3"/>
      <c r="B96" s="4"/>
      <c r="C96" s="115"/>
    </row>
    <row r="97" spans="1:5" ht="16.5" customHeight="1">
      <c r="A97" s="845" t="s">
        <v>34</v>
      </c>
      <c r="B97" s="845"/>
      <c r="C97" s="845"/>
      <c r="D97" s="845"/>
      <c r="E97" s="845"/>
    </row>
    <row r="98" spans="1:5" s="190" customFormat="1" ht="16.5" customHeight="1" thickBot="1">
      <c r="A98" s="847" t="s">
        <v>103</v>
      </c>
      <c r="B98" s="847"/>
      <c r="C98" s="62"/>
      <c r="E98" s="62" t="str">
        <f>E7</f>
        <v> Forintban!</v>
      </c>
    </row>
    <row r="99" spans="1:5" ht="15">
      <c r="A99" s="854" t="s">
        <v>52</v>
      </c>
      <c r="B99" s="856" t="s">
        <v>424</v>
      </c>
      <c r="C99" s="840" t="str">
        <f>+CONCATENATE(LEFT(Z_ÖSSZEFÜGGÉSEK!A6,4),". évi")</f>
        <v>2022. évi</v>
      </c>
      <c r="D99" s="841"/>
      <c r="E99" s="842"/>
    </row>
    <row r="100" spans="1:5" ht="23.25" thickBot="1">
      <c r="A100" s="855"/>
      <c r="B100" s="857"/>
      <c r="C100" s="252" t="s">
        <v>422</v>
      </c>
      <c r="D100" s="251" t="s">
        <v>423</v>
      </c>
      <c r="E100" s="361" t="str">
        <f>CONCATENATE(E9)</f>
        <v>2022. XII. 31.
teljesítés</v>
      </c>
    </row>
    <row r="101" spans="1:5" s="179" customFormat="1" ht="12" customHeight="1" thickBot="1">
      <c r="A101" s="25" t="s">
        <v>389</v>
      </c>
      <c r="B101" s="26" t="s">
        <v>390</v>
      </c>
      <c r="C101" s="26" t="s">
        <v>391</v>
      </c>
      <c r="D101" s="26" t="s">
        <v>393</v>
      </c>
      <c r="E101" s="263" t="s">
        <v>392</v>
      </c>
    </row>
    <row r="102" spans="1:5" ht="12" customHeight="1" thickBot="1">
      <c r="A102" s="20" t="s">
        <v>6</v>
      </c>
      <c r="B102" s="24" t="s">
        <v>342</v>
      </c>
      <c r="C102" s="167">
        <f>C103+C104+C105+C106+C107+C120</f>
        <v>536772854</v>
      </c>
      <c r="D102" s="167">
        <f>D103+D104+D105+D106+D107+D120</f>
        <v>590393928</v>
      </c>
      <c r="E102" s="238">
        <f>E103+E104+E105+E106+E107+E120</f>
        <v>464996240</v>
      </c>
    </row>
    <row r="103" spans="1:5" ht="12" customHeight="1">
      <c r="A103" s="15" t="s">
        <v>64</v>
      </c>
      <c r="B103" s="8" t="s">
        <v>35</v>
      </c>
      <c r="C103" s="245">
        <v>216150465</v>
      </c>
      <c r="D103" s="798">
        <v>218069647</v>
      </c>
      <c r="E103" s="239">
        <v>199164001</v>
      </c>
    </row>
    <row r="104" spans="1:5" ht="12" customHeight="1">
      <c r="A104" s="12" t="s">
        <v>65</v>
      </c>
      <c r="B104" s="6" t="s">
        <v>124</v>
      </c>
      <c r="C104" s="169">
        <v>31304262</v>
      </c>
      <c r="D104" s="257">
        <v>32917588</v>
      </c>
      <c r="E104" s="105">
        <v>30919657</v>
      </c>
    </row>
    <row r="105" spans="1:5" ht="12" customHeight="1">
      <c r="A105" s="12" t="s">
        <v>66</v>
      </c>
      <c r="B105" s="6" t="s">
        <v>92</v>
      </c>
      <c r="C105" s="171">
        <v>211591160</v>
      </c>
      <c r="D105" s="258">
        <v>220248965</v>
      </c>
      <c r="E105" s="107">
        <v>165921021</v>
      </c>
    </row>
    <row r="106" spans="1:5" ht="12" customHeight="1">
      <c r="A106" s="12" t="s">
        <v>67</v>
      </c>
      <c r="B106" s="9" t="s">
        <v>125</v>
      </c>
      <c r="C106" s="171">
        <v>5840000</v>
      </c>
      <c r="D106" s="258">
        <v>5840000</v>
      </c>
      <c r="E106" s="107">
        <v>2808500</v>
      </c>
    </row>
    <row r="107" spans="1:5" ht="12" customHeight="1">
      <c r="A107" s="12" t="s">
        <v>76</v>
      </c>
      <c r="B107" s="17" t="s">
        <v>126</v>
      </c>
      <c r="C107" s="171">
        <v>55605179</v>
      </c>
      <c r="D107" s="258">
        <v>66557430</v>
      </c>
      <c r="E107" s="107">
        <v>66183061</v>
      </c>
    </row>
    <row r="108" spans="1:5" ht="12" customHeight="1">
      <c r="A108" s="12" t="s">
        <v>68</v>
      </c>
      <c r="B108" s="6" t="s">
        <v>347</v>
      </c>
      <c r="C108" s="171">
        <v>696579</v>
      </c>
      <c r="D108" s="171"/>
      <c r="E108" s="107"/>
    </row>
    <row r="109" spans="1:5" ht="12" customHeight="1">
      <c r="A109" s="12" t="s">
        <v>69</v>
      </c>
      <c r="B109" s="66" t="s">
        <v>346</v>
      </c>
      <c r="C109" s="169">
        <v>2961554</v>
      </c>
      <c r="D109" s="258">
        <v>2961554</v>
      </c>
      <c r="E109" s="107">
        <v>2961554</v>
      </c>
    </row>
    <row r="110" spans="1:5" ht="12" customHeight="1">
      <c r="A110" s="12" t="s">
        <v>77</v>
      </c>
      <c r="B110" s="66" t="s">
        <v>345</v>
      </c>
      <c r="C110" s="171"/>
      <c r="D110" s="171"/>
      <c r="E110" s="107"/>
    </row>
    <row r="111" spans="1:5" ht="12" customHeight="1">
      <c r="A111" s="12" t="s">
        <v>78</v>
      </c>
      <c r="B111" s="64" t="s">
        <v>262</v>
      </c>
      <c r="C111" s="171"/>
      <c r="D111" s="171"/>
      <c r="E111" s="107"/>
    </row>
    <row r="112" spans="1:5" ht="12" customHeight="1">
      <c r="A112" s="12" t="s">
        <v>79</v>
      </c>
      <c r="B112" s="65" t="s">
        <v>263</v>
      </c>
      <c r="C112" s="171"/>
      <c r="D112" s="171">
        <v>36830</v>
      </c>
      <c r="E112" s="107">
        <v>36830</v>
      </c>
    </row>
    <row r="113" spans="1:5" ht="12" customHeight="1">
      <c r="A113" s="12" t="s">
        <v>80</v>
      </c>
      <c r="B113" s="65" t="s">
        <v>264</v>
      </c>
      <c r="C113" s="171"/>
      <c r="D113" s="171"/>
      <c r="E113" s="107"/>
    </row>
    <row r="114" spans="1:5" ht="12" customHeight="1">
      <c r="A114" s="12" t="s">
        <v>82</v>
      </c>
      <c r="B114" s="64" t="s">
        <v>265</v>
      </c>
      <c r="C114" s="171">
        <v>51405046</v>
      </c>
      <c r="D114" s="171">
        <v>51675046</v>
      </c>
      <c r="E114" s="107">
        <v>51400677</v>
      </c>
    </row>
    <row r="115" spans="1:5" ht="12" customHeight="1">
      <c r="A115" s="12" t="s">
        <v>127</v>
      </c>
      <c r="B115" s="64" t="s">
        <v>266</v>
      </c>
      <c r="C115" s="171"/>
      <c r="D115" s="171"/>
      <c r="E115" s="107"/>
    </row>
    <row r="116" spans="1:5" ht="12" customHeight="1">
      <c r="A116" s="12" t="s">
        <v>260</v>
      </c>
      <c r="B116" s="65" t="s">
        <v>267</v>
      </c>
      <c r="C116" s="171"/>
      <c r="D116" s="171"/>
      <c r="E116" s="107"/>
    </row>
    <row r="117" spans="1:5" ht="12" customHeight="1">
      <c r="A117" s="11" t="s">
        <v>261</v>
      </c>
      <c r="B117" s="66" t="s">
        <v>268</v>
      </c>
      <c r="C117" s="171"/>
      <c r="D117" s="171"/>
      <c r="E117" s="107"/>
    </row>
    <row r="118" spans="1:5" ht="12" customHeight="1">
      <c r="A118" s="12" t="s">
        <v>343</v>
      </c>
      <c r="B118" s="66" t="s">
        <v>269</v>
      </c>
      <c r="C118" s="171"/>
      <c r="D118" s="171"/>
      <c r="E118" s="107"/>
    </row>
    <row r="119" spans="1:5" ht="12" customHeight="1">
      <c r="A119" s="14" t="s">
        <v>344</v>
      </c>
      <c r="B119" s="66" t="s">
        <v>270</v>
      </c>
      <c r="C119" s="169">
        <v>542000</v>
      </c>
      <c r="D119" s="169">
        <v>11884000</v>
      </c>
      <c r="E119" s="105">
        <v>11784000</v>
      </c>
    </row>
    <row r="120" spans="1:5" ht="12" customHeight="1">
      <c r="A120" s="12" t="s">
        <v>348</v>
      </c>
      <c r="B120" s="9" t="s">
        <v>36</v>
      </c>
      <c r="C120" s="170">
        <f>SUM(C121:C122)</f>
        <v>16281788</v>
      </c>
      <c r="D120" s="170">
        <f>SUM(D121:D122)</f>
        <v>46760298</v>
      </c>
      <c r="E120" s="679">
        <f>SUM(E121:E122)</f>
        <v>0</v>
      </c>
    </row>
    <row r="121" spans="1:5" ht="12" customHeight="1">
      <c r="A121" s="12" t="s">
        <v>349</v>
      </c>
      <c r="B121" s="6" t="s">
        <v>351</v>
      </c>
      <c r="C121" s="170">
        <v>8330929</v>
      </c>
      <c r="D121" s="170">
        <v>38809439</v>
      </c>
      <c r="E121" s="105"/>
    </row>
    <row r="122" spans="1:5" ht="12" customHeight="1" thickBot="1">
      <c r="A122" s="16" t="s">
        <v>350</v>
      </c>
      <c r="B122" s="234" t="s">
        <v>352</v>
      </c>
      <c r="C122" s="246">
        <v>7950859</v>
      </c>
      <c r="D122" s="171">
        <v>7950859</v>
      </c>
      <c r="E122" s="240"/>
    </row>
    <row r="123" spans="1:5" ht="12" customHeight="1" thickBot="1">
      <c r="A123" s="232" t="s">
        <v>7</v>
      </c>
      <c r="B123" s="233" t="s">
        <v>271</v>
      </c>
      <c r="C123" s="247">
        <f>+C124+C126+C128</f>
        <v>54326893</v>
      </c>
      <c r="D123" s="168">
        <f>+D124+D126+D128</f>
        <v>101139653</v>
      </c>
      <c r="E123" s="241">
        <f>+E124+E126+E128</f>
        <v>52304219</v>
      </c>
    </row>
    <row r="124" spans="1:5" ht="12" customHeight="1">
      <c r="A124" s="13" t="s">
        <v>70</v>
      </c>
      <c r="B124" s="6" t="s">
        <v>145</v>
      </c>
      <c r="C124" s="256">
        <v>54326893</v>
      </c>
      <c r="D124" s="170">
        <v>97106810</v>
      </c>
      <c r="E124" s="106">
        <v>48271376</v>
      </c>
    </row>
    <row r="125" spans="1:5" ht="12" customHeight="1">
      <c r="A125" s="13" t="s">
        <v>71</v>
      </c>
      <c r="B125" s="10" t="s">
        <v>275</v>
      </c>
      <c r="C125" s="256"/>
      <c r="D125" s="170"/>
      <c r="E125" s="106"/>
    </row>
    <row r="126" spans="1:5" ht="12" customHeight="1">
      <c r="A126" s="13" t="s">
        <v>72</v>
      </c>
      <c r="B126" s="10" t="s">
        <v>128</v>
      </c>
      <c r="C126" s="257"/>
      <c r="D126" s="169"/>
      <c r="E126" s="105"/>
    </row>
    <row r="127" spans="1:5" ht="12" customHeight="1">
      <c r="A127" s="13" t="s">
        <v>73</v>
      </c>
      <c r="B127" s="10" t="s">
        <v>276</v>
      </c>
      <c r="C127" s="169"/>
      <c r="D127" s="169"/>
      <c r="E127" s="105"/>
    </row>
    <row r="128" spans="1:5" ht="12" customHeight="1">
      <c r="A128" s="13" t="s">
        <v>74</v>
      </c>
      <c r="B128" s="113" t="s">
        <v>147</v>
      </c>
      <c r="C128" s="169"/>
      <c r="D128" s="169">
        <v>4032843</v>
      </c>
      <c r="E128" s="105">
        <v>4032843</v>
      </c>
    </row>
    <row r="129" spans="1:5" ht="12" customHeight="1">
      <c r="A129" s="13" t="s">
        <v>81</v>
      </c>
      <c r="B129" s="112" t="s">
        <v>335</v>
      </c>
      <c r="C129" s="169"/>
      <c r="D129" s="169"/>
      <c r="E129" s="105"/>
    </row>
    <row r="130" spans="1:5" ht="12" customHeight="1">
      <c r="A130" s="13" t="s">
        <v>83</v>
      </c>
      <c r="B130" s="177" t="s">
        <v>281</v>
      </c>
      <c r="C130" s="169"/>
      <c r="D130" s="169"/>
      <c r="E130" s="105"/>
    </row>
    <row r="131" spans="1:5" ht="15">
      <c r="A131" s="13" t="s">
        <v>129</v>
      </c>
      <c r="B131" s="65" t="s">
        <v>264</v>
      </c>
      <c r="C131" s="169"/>
      <c r="D131" s="169"/>
      <c r="E131" s="105"/>
    </row>
    <row r="132" spans="1:5" ht="12" customHeight="1">
      <c r="A132" s="13" t="s">
        <v>130</v>
      </c>
      <c r="B132" s="65" t="s">
        <v>280</v>
      </c>
      <c r="C132" s="169"/>
      <c r="D132" s="169">
        <v>1028112</v>
      </c>
      <c r="E132" s="105">
        <v>1028112</v>
      </c>
    </row>
    <row r="133" spans="1:5" ht="12" customHeight="1">
      <c r="A133" s="13" t="s">
        <v>131</v>
      </c>
      <c r="B133" s="65" t="s">
        <v>279</v>
      </c>
      <c r="C133" s="169"/>
      <c r="D133" s="169"/>
      <c r="E133" s="105"/>
    </row>
    <row r="134" spans="1:5" ht="12" customHeight="1">
      <c r="A134" s="13" t="s">
        <v>272</v>
      </c>
      <c r="B134" s="65" t="s">
        <v>267</v>
      </c>
      <c r="C134" s="169"/>
      <c r="D134" s="169"/>
      <c r="E134" s="105"/>
    </row>
    <row r="135" spans="1:5" ht="12" customHeight="1">
      <c r="A135" s="13" t="s">
        <v>273</v>
      </c>
      <c r="B135" s="65" t="s">
        <v>278</v>
      </c>
      <c r="C135" s="169"/>
      <c r="D135" s="169"/>
      <c r="E135" s="105"/>
    </row>
    <row r="136" spans="1:5" ht="15.75" thickBot="1">
      <c r="A136" s="11" t="s">
        <v>274</v>
      </c>
      <c r="B136" s="65" t="s">
        <v>277</v>
      </c>
      <c r="C136" s="171"/>
      <c r="D136" s="171">
        <v>3004731</v>
      </c>
      <c r="E136" s="107">
        <v>3004731</v>
      </c>
    </row>
    <row r="137" spans="1:5" ht="12" customHeight="1" thickBot="1">
      <c r="A137" s="18" t="s">
        <v>8</v>
      </c>
      <c r="B137" s="58" t="s">
        <v>353</v>
      </c>
      <c r="C137" s="168">
        <f>+C102+C123</f>
        <v>591099747</v>
      </c>
      <c r="D137" s="255">
        <f>+D102+D123</f>
        <v>691533581</v>
      </c>
      <c r="E137" s="104">
        <f>+E102+E123</f>
        <v>517300459</v>
      </c>
    </row>
    <row r="138" spans="1:5" ht="12" customHeight="1" thickBot="1">
      <c r="A138" s="18" t="s">
        <v>9</v>
      </c>
      <c r="B138" s="58" t="s">
        <v>425</v>
      </c>
      <c r="C138" s="168">
        <f>+C139+C140+C141</f>
        <v>0</v>
      </c>
      <c r="D138" s="255">
        <f>+D139+D140+D141</f>
        <v>0</v>
      </c>
      <c r="E138" s="104">
        <f>+E139+E140+E141</f>
        <v>0</v>
      </c>
    </row>
    <row r="139" spans="1:5" ht="12" customHeight="1">
      <c r="A139" s="13" t="s">
        <v>179</v>
      </c>
      <c r="B139" s="10" t="s">
        <v>361</v>
      </c>
      <c r="C139" s="169"/>
      <c r="D139" s="257"/>
      <c r="E139" s="105"/>
    </row>
    <row r="140" spans="1:5" ht="12" customHeight="1">
      <c r="A140" s="13" t="s">
        <v>180</v>
      </c>
      <c r="B140" s="10" t="s">
        <v>362</v>
      </c>
      <c r="C140" s="169"/>
      <c r="D140" s="257"/>
      <c r="E140" s="105"/>
    </row>
    <row r="141" spans="1:5" ht="12" customHeight="1" thickBot="1">
      <c r="A141" s="11" t="s">
        <v>181</v>
      </c>
      <c r="B141" s="10" t="s">
        <v>363</v>
      </c>
      <c r="C141" s="169"/>
      <c r="D141" s="257"/>
      <c r="E141" s="105"/>
    </row>
    <row r="142" spans="1:5" ht="12" customHeight="1" thickBot="1">
      <c r="A142" s="18" t="s">
        <v>10</v>
      </c>
      <c r="B142" s="58" t="s">
        <v>355</v>
      </c>
      <c r="C142" s="168">
        <f>SUM(C143:C148)</f>
        <v>0</v>
      </c>
      <c r="D142" s="255">
        <f>SUM(D143:D148)</f>
        <v>0</v>
      </c>
      <c r="E142" s="104">
        <f>SUM(E143:E148)</f>
        <v>0</v>
      </c>
    </row>
    <row r="143" spans="1:5" ht="12" customHeight="1">
      <c r="A143" s="13" t="s">
        <v>57</v>
      </c>
      <c r="B143" s="7" t="s">
        <v>364</v>
      </c>
      <c r="C143" s="169"/>
      <c r="D143" s="257"/>
      <c r="E143" s="105"/>
    </row>
    <row r="144" spans="1:5" ht="12" customHeight="1">
      <c r="A144" s="13" t="s">
        <v>58</v>
      </c>
      <c r="B144" s="7" t="s">
        <v>356</v>
      </c>
      <c r="C144" s="169"/>
      <c r="D144" s="257"/>
      <c r="E144" s="105"/>
    </row>
    <row r="145" spans="1:5" ht="12" customHeight="1">
      <c r="A145" s="13" t="s">
        <v>59</v>
      </c>
      <c r="B145" s="7" t="s">
        <v>357</v>
      </c>
      <c r="C145" s="169"/>
      <c r="D145" s="257"/>
      <c r="E145" s="105"/>
    </row>
    <row r="146" spans="1:5" ht="12" customHeight="1">
      <c r="A146" s="13" t="s">
        <v>116</v>
      </c>
      <c r="B146" s="7" t="s">
        <v>358</v>
      </c>
      <c r="C146" s="169"/>
      <c r="D146" s="257"/>
      <c r="E146" s="105"/>
    </row>
    <row r="147" spans="1:5" ht="12" customHeight="1">
      <c r="A147" s="13" t="s">
        <v>117</v>
      </c>
      <c r="B147" s="7" t="s">
        <v>359</v>
      </c>
      <c r="C147" s="169"/>
      <c r="D147" s="257"/>
      <c r="E147" s="105"/>
    </row>
    <row r="148" spans="1:5" ht="12" customHeight="1" thickBot="1">
      <c r="A148" s="16" t="s">
        <v>118</v>
      </c>
      <c r="B148" s="371" t="s">
        <v>360</v>
      </c>
      <c r="C148" s="246"/>
      <c r="D148" s="322"/>
      <c r="E148" s="240"/>
    </row>
    <row r="149" spans="1:5" ht="12" customHeight="1" thickBot="1">
      <c r="A149" s="18" t="s">
        <v>11</v>
      </c>
      <c r="B149" s="58" t="s">
        <v>368</v>
      </c>
      <c r="C149" s="174">
        <f>+C150+C151+C152+C153</f>
        <v>4440354</v>
      </c>
      <c r="D149" s="259">
        <f>+D150+D151+D152+D153</f>
        <v>15647961</v>
      </c>
      <c r="E149" s="210">
        <f>+E150+E151+E152+E153</f>
        <v>15647961</v>
      </c>
    </row>
    <row r="150" spans="1:5" ht="12" customHeight="1">
      <c r="A150" s="13" t="s">
        <v>60</v>
      </c>
      <c r="B150" s="7" t="s">
        <v>282</v>
      </c>
      <c r="C150" s="169"/>
      <c r="D150" s="257"/>
      <c r="E150" s="105"/>
    </row>
    <row r="151" spans="1:5" ht="12" customHeight="1">
      <c r="A151" s="13" t="s">
        <v>61</v>
      </c>
      <c r="B151" s="7" t="s">
        <v>283</v>
      </c>
      <c r="C151" s="257">
        <v>4440354</v>
      </c>
      <c r="D151" s="169">
        <v>15647961</v>
      </c>
      <c r="E151" s="105">
        <v>15647961</v>
      </c>
    </row>
    <row r="152" spans="1:5" ht="12" customHeight="1">
      <c r="A152" s="13" t="s">
        <v>199</v>
      </c>
      <c r="B152" s="7" t="s">
        <v>369</v>
      </c>
      <c r="C152" s="169"/>
      <c r="D152" s="257"/>
      <c r="E152" s="105"/>
    </row>
    <row r="153" spans="1:5" ht="12" customHeight="1" thickBot="1">
      <c r="A153" s="11" t="s">
        <v>200</v>
      </c>
      <c r="B153" s="5" t="s">
        <v>299</v>
      </c>
      <c r="C153" s="169"/>
      <c r="D153" s="257"/>
      <c r="E153" s="105"/>
    </row>
    <row r="154" spans="1:5" ht="12" customHeight="1" thickBot="1">
      <c r="A154" s="18" t="s">
        <v>12</v>
      </c>
      <c r="B154" s="58" t="s">
        <v>370</v>
      </c>
      <c r="C154" s="248">
        <f>SUM(C155:C159)</f>
        <v>0</v>
      </c>
      <c r="D154" s="260">
        <f>SUM(D155:D159)</f>
        <v>0</v>
      </c>
      <c r="E154" s="242">
        <f>SUM(E155:E159)</f>
        <v>0</v>
      </c>
    </row>
    <row r="155" spans="1:5" ht="12" customHeight="1">
      <c r="A155" s="13" t="s">
        <v>62</v>
      </c>
      <c r="B155" s="7" t="s">
        <v>365</v>
      </c>
      <c r="C155" s="169"/>
      <c r="D155" s="257"/>
      <c r="E155" s="105"/>
    </row>
    <row r="156" spans="1:5" ht="12" customHeight="1">
      <c r="A156" s="13" t="s">
        <v>63</v>
      </c>
      <c r="B156" s="7" t="s">
        <v>372</v>
      </c>
      <c r="C156" s="169"/>
      <c r="D156" s="257"/>
      <c r="E156" s="105"/>
    </row>
    <row r="157" spans="1:5" ht="12" customHeight="1">
      <c r="A157" s="13" t="s">
        <v>211</v>
      </c>
      <c r="B157" s="7" t="s">
        <v>367</v>
      </c>
      <c r="C157" s="169"/>
      <c r="D157" s="257"/>
      <c r="E157" s="105"/>
    </row>
    <row r="158" spans="1:5" ht="12" customHeight="1">
      <c r="A158" s="13" t="s">
        <v>212</v>
      </c>
      <c r="B158" s="7" t="s">
        <v>373</v>
      </c>
      <c r="C158" s="169"/>
      <c r="D158" s="257"/>
      <c r="E158" s="105"/>
    </row>
    <row r="159" spans="1:5" ht="12" customHeight="1" thickBot="1">
      <c r="A159" s="13" t="s">
        <v>371</v>
      </c>
      <c r="B159" s="7" t="s">
        <v>374</v>
      </c>
      <c r="C159" s="169"/>
      <c r="D159" s="257"/>
      <c r="E159" s="105"/>
    </row>
    <row r="160" spans="1:5" ht="12" customHeight="1" thickBot="1">
      <c r="A160" s="18" t="s">
        <v>13</v>
      </c>
      <c r="B160" s="58" t="s">
        <v>375</v>
      </c>
      <c r="C160" s="249"/>
      <c r="D160" s="261"/>
      <c r="E160" s="243"/>
    </row>
    <row r="161" spans="1:5" ht="12" customHeight="1" thickBot="1">
      <c r="A161" s="18" t="s">
        <v>14</v>
      </c>
      <c r="B161" s="58" t="s">
        <v>376</v>
      </c>
      <c r="C161" s="249"/>
      <c r="D161" s="261"/>
      <c r="E161" s="243"/>
    </row>
    <row r="162" spans="1:9" ht="15" customHeight="1" thickBot="1">
      <c r="A162" s="18" t="s">
        <v>15</v>
      </c>
      <c r="B162" s="58" t="s">
        <v>378</v>
      </c>
      <c r="C162" s="250">
        <f>+C138+C142+C149+C154+C160+C161</f>
        <v>4440354</v>
      </c>
      <c r="D162" s="262">
        <f>+D138+D142+D149+D154+D160+D161</f>
        <v>15647961</v>
      </c>
      <c r="E162" s="244">
        <f>+E138+E142+E149+E154+E160+E161</f>
        <v>15647961</v>
      </c>
      <c r="F162" s="191"/>
      <c r="G162" s="192"/>
      <c r="H162" s="192"/>
      <c r="I162" s="192"/>
    </row>
    <row r="163" spans="1:5" s="180" customFormat="1" ht="12.75" customHeight="1" thickBot="1">
      <c r="A163" s="114" t="s">
        <v>16</v>
      </c>
      <c r="B163" s="155" t="s">
        <v>377</v>
      </c>
      <c r="C163" s="250">
        <f>+C137+C162</f>
        <v>595540101</v>
      </c>
      <c r="D163" s="262">
        <f>+D137+D162</f>
        <v>707181542</v>
      </c>
      <c r="E163" s="244">
        <f>+E137+E162</f>
        <v>532948420</v>
      </c>
    </row>
    <row r="164" spans="3:4" ht="15">
      <c r="C164" s="648">
        <f>C95-C163</f>
        <v>-12819184</v>
      </c>
      <c r="D164" s="648">
        <f>D95-D163</f>
        <v>-15690056</v>
      </c>
    </row>
    <row r="165" spans="1:5" ht="15">
      <c r="A165" s="843" t="s">
        <v>284</v>
      </c>
      <c r="B165" s="843"/>
      <c r="C165" s="843"/>
      <c r="D165" s="843"/>
      <c r="E165" s="843"/>
    </row>
    <row r="166" spans="1:5" ht="15" customHeight="1" thickBot="1">
      <c r="A166" s="853" t="s">
        <v>104</v>
      </c>
      <c r="B166" s="853"/>
      <c r="C166" s="116"/>
      <c r="E166" s="116" t="str">
        <f>E98</f>
        <v> Forintban!</v>
      </c>
    </row>
    <row r="167" spans="1:5" ht="25.5" customHeight="1" thickBot="1">
      <c r="A167" s="18">
        <v>1</v>
      </c>
      <c r="B167" s="23" t="s">
        <v>379</v>
      </c>
      <c r="C167" s="254">
        <f>+C70-C137</f>
        <v>-248281576</v>
      </c>
      <c r="D167" s="168">
        <f>+D70-D137</f>
        <v>-283440990</v>
      </c>
      <c r="E167" s="104">
        <f>+E70-E137</f>
        <v>-29648414</v>
      </c>
    </row>
    <row r="168" spans="1:5" ht="32.25" customHeight="1" thickBot="1">
      <c r="A168" s="18" t="s">
        <v>7</v>
      </c>
      <c r="B168" s="23" t="s">
        <v>385</v>
      </c>
      <c r="C168" s="168">
        <f>+C94-C162</f>
        <v>235462392</v>
      </c>
      <c r="D168" s="168">
        <f>+D94-D162</f>
        <v>267750934</v>
      </c>
      <c r="E168" s="104">
        <f>+E94-E162</f>
        <v>267750934</v>
      </c>
    </row>
  </sheetData>
  <sheetProtection/>
  <mergeCells count="16">
    <mergeCell ref="A165:E165"/>
    <mergeCell ref="A166:B166"/>
    <mergeCell ref="A8:A9"/>
    <mergeCell ref="B8:B9"/>
    <mergeCell ref="C8:E8"/>
    <mergeCell ref="A97:E97"/>
    <mergeCell ref="A98:B98"/>
    <mergeCell ref="A99:A100"/>
    <mergeCell ref="B99:B100"/>
    <mergeCell ref="C99:E99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8"/>
  <sheetViews>
    <sheetView zoomScale="120" zoomScaleNormal="120" zoomScaleSheetLayoutView="100" workbookViewId="0" topLeftCell="A46">
      <selection activeCell="H166" sqref="H166"/>
    </sheetView>
  </sheetViews>
  <sheetFormatPr defaultColWidth="9.375" defaultRowHeight="12.75"/>
  <cols>
    <col min="1" max="1" width="9.50390625" style="156" customWidth="1"/>
    <col min="2" max="2" width="65.75390625" style="156" customWidth="1"/>
    <col min="3" max="3" width="17.75390625" style="157" customWidth="1"/>
    <col min="4" max="5" width="17.75390625" style="178" customWidth="1"/>
    <col min="6" max="16384" width="9.375" style="178" customWidth="1"/>
  </cols>
  <sheetData>
    <row r="1" spans="1:5" ht="15">
      <c r="A1" s="372"/>
      <c r="B1" s="848" t="str">
        <f>CONCATENATE("3. melléklet ",Z_ALAPADATOK!A7," ",Z_ALAPADATOK!B7," ",Z_ALAPADATOK!C7," ",Z_ALAPADATOK!D7," ",Z_ALAPADATOK!E7," ",Z_ALAPADATOK!F7," ",Z_ALAPADATOK!G7," ",Z_ALAPADATOK!H7)</f>
        <v>3. melléklet a  / 2023. ( V…... ) önkormányzati rendelethez</v>
      </c>
      <c r="C1" s="849"/>
      <c r="D1" s="849"/>
      <c r="E1" s="849"/>
    </row>
    <row r="2" spans="1:5" ht="15">
      <c r="A2" s="850" t="str">
        <f>CONCATENATE(Z_ALAPADATOK!A3)</f>
        <v>Balatonvilágos Község Önkormányzata</v>
      </c>
      <c r="B2" s="851"/>
      <c r="C2" s="851"/>
      <c r="D2" s="851"/>
      <c r="E2" s="851"/>
    </row>
    <row r="3" spans="1:5" ht="15">
      <c r="A3" s="850" t="s">
        <v>686</v>
      </c>
      <c r="B3" s="850"/>
      <c r="C3" s="852"/>
      <c r="D3" s="850"/>
      <c r="E3" s="850"/>
    </row>
    <row r="4" spans="1:5" ht="19.5" customHeight="1">
      <c r="A4" s="850" t="s">
        <v>679</v>
      </c>
      <c r="B4" s="850"/>
      <c r="C4" s="852"/>
      <c r="D4" s="850"/>
      <c r="E4" s="850"/>
    </row>
    <row r="5" spans="1:5" ht="15">
      <c r="A5" s="372"/>
      <c r="B5" s="372"/>
      <c r="C5" s="373"/>
      <c r="D5" s="374"/>
      <c r="E5" s="374"/>
    </row>
    <row r="6" spans="1:5" ht="15.75" customHeight="1">
      <c r="A6" s="844" t="s">
        <v>3</v>
      </c>
      <c r="B6" s="844"/>
      <c r="C6" s="844"/>
      <c r="D6" s="844"/>
      <c r="E6" s="844"/>
    </row>
    <row r="7" spans="1:5" ht="15.75" customHeight="1" thickBot="1">
      <c r="A7" s="846" t="s">
        <v>102</v>
      </c>
      <c r="B7" s="846"/>
      <c r="C7" s="375"/>
      <c r="D7" s="374"/>
      <c r="E7" s="375" t="str">
        <f>CONCATENATE(2!E7)</f>
        <v> Forintban!</v>
      </c>
    </row>
    <row r="8" spans="1:5" ht="15">
      <c r="A8" s="854" t="s">
        <v>52</v>
      </c>
      <c r="B8" s="856" t="s">
        <v>5</v>
      </c>
      <c r="C8" s="840" t="str">
        <f>+CONCATENATE(LEFT(Z_ÖSSZEFÜGGÉSEK!A6,4),". évi")</f>
        <v>2022. évi</v>
      </c>
      <c r="D8" s="841"/>
      <c r="E8" s="842"/>
    </row>
    <row r="9" spans="1:5" ht="23.25" thickBot="1">
      <c r="A9" s="855"/>
      <c r="B9" s="857"/>
      <c r="C9" s="252" t="s">
        <v>422</v>
      </c>
      <c r="D9" s="251" t="s">
        <v>423</v>
      </c>
      <c r="E9" s="361" t="str">
        <f>CONCATENATE(2!E9)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+C12+C13+C14+C15+C16+C18</f>
        <v>0</v>
      </c>
      <c r="D11" s="168">
        <f>+D12+D13+D14+D15+D16+D18</f>
        <v>0</v>
      </c>
      <c r="E11" s="104">
        <f>+E12+E13+E14+E15+E16+E18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726</v>
      </c>
      <c r="C15" s="169"/>
      <c r="D15" s="169"/>
      <c r="E15" s="105"/>
    </row>
    <row r="16" spans="1:5" s="180" customFormat="1" ht="12" customHeight="1">
      <c r="A16" s="12" t="s">
        <v>99</v>
      </c>
      <c r="B16" s="182" t="s">
        <v>168</v>
      </c>
      <c r="C16" s="169"/>
      <c r="D16" s="169"/>
      <c r="E16" s="105"/>
    </row>
    <row r="17" spans="1:5" s="180" customFormat="1" ht="12" customHeight="1">
      <c r="A17" s="14" t="s">
        <v>68</v>
      </c>
      <c r="B17" s="182" t="s">
        <v>397</v>
      </c>
      <c r="C17" s="169"/>
      <c r="D17" s="169"/>
      <c r="E17" s="105"/>
    </row>
    <row r="18" spans="1:5" s="180" customFormat="1" ht="12" customHeight="1" thickBot="1">
      <c r="A18" s="14" t="s">
        <v>69</v>
      </c>
      <c r="B18" s="427" t="s">
        <v>727</v>
      </c>
      <c r="C18" s="169"/>
      <c r="D18" s="169"/>
      <c r="E18" s="105"/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0</v>
      </c>
      <c r="D19" s="168">
        <f>+D20+D21+D22+D23+D24</f>
        <v>0</v>
      </c>
      <c r="E19" s="104">
        <f>+E20+E21+E22+E23+E24</f>
        <v>0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/>
      <c r="D24" s="169"/>
      <c r="E24" s="105"/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+C27+C28+C29+C30+C31</f>
        <v>0</v>
      </c>
      <c r="D26" s="168">
        <f>+D27+D28+D29+D30+D31</f>
        <v>0</v>
      </c>
      <c r="E26" s="104">
        <f>+E27+E28+E29+E30+E31</f>
        <v>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169"/>
      <c r="D29" s="169"/>
      <c r="E29" s="105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/>
      <c r="E31" s="105"/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483</v>
      </c>
      <c r="C33" s="174">
        <f>SUM(C34:C41)</f>
        <v>0</v>
      </c>
      <c r="D33" s="174">
        <f>SUM(D34:D41)</f>
        <v>0</v>
      </c>
      <c r="E33" s="210">
        <f>SUM(E34:E41)</f>
        <v>0</v>
      </c>
    </row>
    <row r="34" spans="1:5" s="180" customFormat="1" ht="12" customHeight="1">
      <c r="A34" s="13" t="s">
        <v>179</v>
      </c>
      <c r="B34" s="181" t="s">
        <v>484</v>
      </c>
      <c r="C34" s="170">
        <f>+C35+C36+C37</f>
        <v>0</v>
      </c>
      <c r="D34" s="170">
        <f>+D35+D36+D37</f>
        <v>0</v>
      </c>
      <c r="E34" s="106">
        <f>+E35+E36+E37</f>
        <v>0</v>
      </c>
    </row>
    <row r="35" spans="1:5" s="180" customFormat="1" ht="12" customHeight="1">
      <c r="A35" s="12" t="s">
        <v>180</v>
      </c>
      <c r="B35" s="181" t="s">
        <v>729</v>
      </c>
      <c r="C35" s="169"/>
      <c r="D35" s="169"/>
      <c r="E35" s="105"/>
    </row>
    <row r="36" spans="1:5" s="180" customFormat="1" ht="12" customHeight="1">
      <c r="A36" s="12" t="s">
        <v>181</v>
      </c>
      <c r="B36" s="182" t="s">
        <v>485</v>
      </c>
      <c r="C36" s="169"/>
      <c r="D36" s="169"/>
      <c r="E36" s="105"/>
    </row>
    <row r="37" spans="1:5" s="180" customFormat="1" ht="12" customHeight="1">
      <c r="A37" s="12" t="s">
        <v>182</v>
      </c>
      <c r="B37" s="182" t="s">
        <v>486</v>
      </c>
      <c r="C37" s="169"/>
      <c r="D37" s="169"/>
      <c r="E37" s="105"/>
    </row>
    <row r="38" spans="1:5" s="180" customFormat="1" ht="12" customHeight="1">
      <c r="A38" s="12" t="s">
        <v>488</v>
      </c>
      <c r="B38" s="182" t="s">
        <v>789</v>
      </c>
      <c r="C38" s="169"/>
      <c r="D38" s="169"/>
      <c r="E38" s="105"/>
    </row>
    <row r="39" spans="1:5" s="180" customFormat="1" ht="12" customHeight="1">
      <c r="A39" s="12" t="s">
        <v>489</v>
      </c>
      <c r="B39" s="182" t="s">
        <v>790</v>
      </c>
      <c r="C39" s="169"/>
      <c r="D39" s="169"/>
      <c r="E39" s="105"/>
    </row>
    <row r="40" spans="1:5" s="180" customFormat="1" ht="12" customHeight="1">
      <c r="A40" s="14" t="s">
        <v>1253</v>
      </c>
      <c r="B40" s="182" t="s">
        <v>791</v>
      </c>
      <c r="C40" s="171"/>
      <c r="D40" s="171"/>
      <c r="E40" s="107"/>
    </row>
    <row r="41" spans="1:5" s="180" customFormat="1" ht="12" customHeight="1" thickBot="1">
      <c r="A41" s="14" t="s">
        <v>1254</v>
      </c>
      <c r="B41" s="732" t="s">
        <v>730</v>
      </c>
      <c r="C41" s="171"/>
      <c r="D41" s="171"/>
      <c r="E41" s="107"/>
    </row>
    <row r="42" spans="1:5" s="180" customFormat="1" ht="12" customHeight="1" thickBot="1">
      <c r="A42" s="18" t="s">
        <v>10</v>
      </c>
      <c r="B42" s="19" t="s">
        <v>339</v>
      </c>
      <c r="C42" s="168">
        <f>SUM(C43:C53)</f>
        <v>22546167</v>
      </c>
      <c r="D42" s="168">
        <f>SUM(D43:D53)</f>
        <v>25297039</v>
      </c>
      <c r="E42" s="104">
        <f>SUM(E43:E53)</f>
        <v>24441924</v>
      </c>
    </row>
    <row r="43" spans="1:5" s="180" customFormat="1" ht="12" customHeight="1">
      <c r="A43" s="13" t="s">
        <v>57</v>
      </c>
      <c r="B43" s="181" t="s">
        <v>188</v>
      </c>
      <c r="C43" s="170"/>
      <c r="D43" s="170"/>
      <c r="E43" s="106"/>
    </row>
    <row r="44" spans="1:5" s="180" customFormat="1" ht="12" customHeight="1">
      <c r="A44" s="12" t="s">
        <v>58</v>
      </c>
      <c r="B44" s="182" t="s">
        <v>189</v>
      </c>
      <c r="C44" s="169">
        <v>16331082</v>
      </c>
      <c r="D44" s="169">
        <v>17368333</v>
      </c>
      <c r="E44" s="105">
        <v>20320780</v>
      </c>
    </row>
    <row r="45" spans="1:5" s="180" customFormat="1" ht="12" customHeight="1">
      <c r="A45" s="12" t="s">
        <v>59</v>
      </c>
      <c r="B45" s="182" t="s">
        <v>190</v>
      </c>
      <c r="C45" s="169"/>
      <c r="D45" s="169"/>
      <c r="E45" s="105"/>
    </row>
    <row r="46" spans="1:5" s="180" customFormat="1" ht="12" customHeight="1">
      <c r="A46" s="12" t="s">
        <v>116</v>
      </c>
      <c r="B46" s="182" t="s">
        <v>191</v>
      </c>
      <c r="C46" s="169">
        <v>2500000</v>
      </c>
      <c r="D46" s="169">
        <v>2500000</v>
      </c>
      <c r="E46" s="105"/>
    </row>
    <row r="47" spans="1:5" s="180" customFormat="1" ht="12" customHeight="1">
      <c r="A47" s="12" t="s">
        <v>117</v>
      </c>
      <c r="B47" s="182" t="s">
        <v>192</v>
      </c>
      <c r="C47" s="169"/>
      <c r="D47" s="169"/>
      <c r="E47" s="105"/>
    </row>
    <row r="48" spans="1:5" s="180" customFormat="1" ht="12" customHeight="1">
      <c r="A48" s="12" t="s">
        <v>118</v>
      </c>
      <c r="B48" s="182" t="s">
        <v>193</v>
      </c>
      <c r="C48" s="169">
        <v>3715085</v>
      </c>
      <c r="D48" s="169">
        <v>5428706</v>
      </c>
      <c r="E48" s="105">
        <v>4121144</v>
      </c>
    </row>
    <row r="49" spans="1:5" s="180" customFormat="1" ht="12" customHeight="1">
      <c r="A49" s="12" t="s">
        <v>119</v>
      </c>
      <c r="B49" s="182" t="s">
        <v>194</v>
      </c>
      <c r="C49" s="169"/>
      <c r="D49" s="169"/>
      <c r="E49" s="105"/>
    </row>
    <row r="50" spans="1:5" s="180" customFormat="1" ht="12" customHeight="1">
      <c r="A50" s="12" t="s">
        <v>120</v>
      </c>
      <c r="B50" s="182" t="s">
        <v>491</v>
      </c>
      <c r="C50" s="169"/>
      <c r="D50" s="169"/>
      <c r="E50" s="105"/>
    </row>
    <row r="51" spans="1:5" s="180" customFormat="1" ht="12" customHeight="1">
      <c r="A51" s="12" t="s">
        <v>186</v>
      </c>
      <c r="B51" s="182" t="s">
        <v>196</v>
      </c>
      <c r="C51" s="172"/>
      <c r="D51" s="172"/>
      <c r="E51" s="108"/>
    </row>
    <row r="52" spans="1:5" s="180" customFormat="1" ht="12" customHeight="1">
      <c r="A52" s="14" t="s">
        <v>187</v>
      </c>
      <c r="B52" s="183" t="s">
        <v>341</v>
      </c>
      <c r="C52" s="173"/>
      <c r="D52" s="173"/>
      <c r="E52" s="109"/>
    </row>
    <row r="53" spans="1:5" s="180" customFormat="1" ht="12" customHeight="1" thickBot="1">
      <c r="A53" s="14" t="s">
        <v>340</v>
      </c>
      <c r="B53" s="113" t="s">
        <v>197</v>
      </c>
      <c r="C53" s="173"/>
      <c r="D53" s="173"/>
      <c r="E53" s="109"/>
    </row>
    <row r="54" spans="1:5" s="180" customFormat="1" ht="12" customHeight="1" thickBot="1">
      <c r="A54" s="18" t="s">
        <v>11</v>
      </c>
      <c r="B54" s="19" t="s">
        <v>198</v>
      </c>
      <c r="C54" s="168">
        <f>SUM(C55:C59)</f>
        <v>0</v>
      </c>
      <c r="D54" s="168">
        <f>SUM(D55:D59)</f>
        <v>0</v>
      </c>
      <c r="E54" s="104">
        <f>SUM(E55:E59)</f>
        <v>0</v>
      </c>
    </row>
    <row r="55" spans="1:5" s="180" customFormat="1" ht="12" customHeight="1">
      <c r="A55" s="13" t="s">
        <v>60</v>
      </c>
      <c r="B55" s="181" t="s">
        <v>202</v>
      </c>
      <c r="C55" s="221"/>
      <c r="D55" s="221"/>
      <c r="E55" s="110"/>
    </row>
    <row r="56" spans="1:5" s="180" customFormat="1" ht="12" customHeight="1">
      <c r="A56" s="12" t="s">
        <v>61</v>
      </c>
      <c r="B56" s="182" t="s">
        <v>203</v>
      </c>
      <c r="C56" s="172"/>
      <c r="D56" s="172"/>
      <c r="E56" s="108"/>
    </row>
    <row r="57" spans="1:5" s="180" customFormat="1" ht="12" customHeight="1">
      <c r="A57" s="12" t="s">
        <v>199</v>
      </c>
      <c r="B57" s="182" t="s">
        <v>204</v>
      </c>
      <c r="C57" s="172"/>
      <c r="D57" s="172"/>
      <c r="E57" s="108"/>
    </row>
    <row r="58" spans="1:5" s="180" customFormat="1" ht="12" customHeight="1">
      <c r="A58" s="12" t="s">
        <v>200</v>
      </c>
      <c r="B58" s="182" t="s">
        <v>205</v>
      </c>
      <c r="C58" s="172"/>
      <c r="D58" s="172"/>
      <c r="E58" s="108"/>
    </row>
    <row r="59" spans="1:5" s="180" customFormat="1" ht="12" customHeight="1" thickBot="1">
      <c r="A59" s="14" t="s">
        <v>201</v>
      </c>
      <c r="B59" s="113" t="s">
        <v>206</v>
      </c>
      <c r="C59" s="173"/>
      <c r="D59" s="173"/>
      <c r="E59" s="109"/>
    </row>
    <row r="60" spans="1:5" s="180" customFormat="1" ht="12" customHeight="1" thickBot="1">
      <c r="A60" s="18" t="s">
        <v>121</v>
      </c>
      <c r="B60" s="19" t="s">
        <v>207</v>
      </c>
      <c r="C60" s="168">
        <f>SUM(C61:C63)</f>
        <v>0</v>
      </c>
      <c r="D60" s="168">
        <f>SUM(D61:D63)</f>
        <v>0</v>
      </c>
      <c r="E60" s="104">
        <f>SUM(E61:E63)</f>
        <v>0</v>
      </c>
    </row>
    <row r="61" spans="1:5" s="180" customFormat="1" ht="12" customHeight="1">
      <c r="A61" s="13" t="s">
        <v>62</v>
      </c>
      <c r="B61" s="181" t="s">
        <v>208</v>
      </c>
      <c r="C61" s="170"/>
      <c r="D61" s="170"/>
      <c r="E61" s="106"/>
    </row>
    <row r="62" spans="1:5" s="180" customFormat="1" ht="12" customHeight="1">
      <c r="A62" s="12" t="s">
        <v>63</v>
      </c>
      <c r="B62" s="182" t="s">
        <v>333</v>
      </c>
      <c r="C62" s="169"/>
      <c r="D62" s="169"/>
      <c r="E62" s="105"/>
    </row>
    <row r="63" spans="1:5" s="180" customFormat="1" ht="12" customHeight="1">
      <c r="A63" s="12" t="s">
        <v>211</v>
      </c>
      <c r="B63" s="182" t="s">
        <v>209</v>
      </c>
      <c r="C63" s="169"/>
      <c r="D63" s="169"/>
      <c r="E63" s="105"/>
    </row>
    <row r="64" spans="1:5" s="180" customFormat="1" ht="12" customHeight="1" thickBot="1">
      <c r="A64" s="14" t="s">
        <v>212</v>
      </c>
      <c r="B64" s="113" t="s">
        <v>210</v>
      </c>
      <c r="C64" s="171"/>
      <c r="D64" s="171"/>
      <c r="E64" s="107"/>
    </row>
    <row r="65" spans="1:5" s="180" customFormat="1" ht="12" customHeight="1" thickBot="1">
      <c r="A65" s="18" t="s">
        <v>13</v>
      </c>
      <c r="B65" s="111" t="s">
        <v>213</v>
      </c>
      <c r="C65" s="168">
        <f>SUM(C66:C68)</f>
        <v>372742</v>
      </c>
      <c r="D65" s="168">
        <f>SUM(D66:D68)</f>
        <v>372742</v>
      </c>
      <c r="E65" s="104">
        <f>SUM(E66:E68)</f>
        <v>462242</v>
      </c>
    </row>
    <row r="66" spans="1:5" s="180" customFormat="1" ht="12" customHeight="1">
      <c r="A66" s="13" t="s">
        <v>122</v>
      </c>
      <c r="B66" s="181" t="s">
        <v>215</v>
      </c>
      <c r="C66" s="172"/>
      <c r="D66" s="172"/>
      <c r="E66" s="108"/>
    </row>
    <row r="67" spans="1:5" s="180" customFormat="1" ht="12" customHeight="1">
      <c r="A67" s="12" t="s">
        <v>123</v>
      </c>
      <c r="B67" s="182" t="s">
        <v>334</v>
      </c>
      <c r="C67" s="172">
        <v>372742</v>
      </c>
      <c r="D67" s="172">
        <v>372742</v>
      </c>
      <c r="E67" s="108">
        <v>462242</v>
      </c>
    </row>
    <row r="68" spans="1:5" s="180" customFormat="1" ht="12" customHeight="1">
      <c r="A68" s="12" t="s">
        <v>146</v>
      </c>
      <c r="B68" s="182" t="s">
        <v>216</v>
      </c>
      <c r="C68" s="172"/>
      <c r="D68" s="172"/>
      <c r="E68" s="108"/>
    </row>
    <row r="69" spans="1:5" s="180" customFormat="1" ht="12" customHeight="1" thickBot="1">
      <c r="A69" s="14" t="s">
        <v>214</v>
      </c>
      <c r="B69" s="113" t="s">
        <v>217</v>
      </c>
      <c r="C69" s="172"/>
      <c r="D69" s="172"/>
      <c r="E69" s="108"/>
    </row>
    <row r="70" spans="1:5" s="180" customFormat="1" ht="12" customHeight="1" thickBot="1">
      <c r="A70" s="235" t="s">
        <v>381</v>
      </c>
      <c r="B70" s="19" t="s">
        <v>218</v>
      </c>
      <c r="C70" s="174">
        <f>+C11+C19+C26+C33+C42+C54+C60+C65</f>
        <v>22918909</v>
      </c>
      <c r="D70" s="174">
        <f>+D11+D19+D26+D33+D42+D54+D60+D65</f>
        <v>25669781</v>
      </c>
      <c r="E70" s="210">
        <f>+E11+E19+E26+E33+E42+E54+E60+E65</f>
        <v>24904166</v>
      </c>
    </row>
    <row r="71" spans="1:5" s="180" customFormat="1" ht="12" customHeight="1" thickBot="1">
      <c r="A71" s="222" t="s">
        <v>219</v>
      </c>
      <c r="B71" s="111" t="s">
        <v>220</v>
      </c>
      <c r="C71" s="168">
        <f>SUM(C72:C74)</f>
        <v>0</v>
      </c>
      <c r="D71" s="168">
        <f>SUM(D72:D74)</f>
        <v>0</v>
      </c>
      <c r="E71" s="104">
        <f>SUM(E72:E74)</f>
        <v>0</v>
      </c>
    </row>
    <row r="72" spans="1:5" s="180" customFormat="1" ht="12" customHeight="1">
      <c r="A72" s="13" t="s">
        <v>248</v>
      </c>
      <c r="B72" s="181" t="s">
        <v>221</v>
      </c>
      <c r="C72" s="172"/>
      <c r="D72" s="172"/>
      <c r="E72" s="108"/>
    </row>
    <row r="73" spans="1:5" s="180" customFormat="1" ht="12" customHeight="1">
      <c r="A73" s="12" t="s">
        <v>257</v>
      </c>
      <c r="B73" s="182" t="s">
        <v>222</v>
      </c>
      <c r="C73" s="172"/>
      <c r="D73" s="172"/>
      <c r="E73" s="108"/>
    </row>
    <row r="74" spans="1:5" s="180" customFormat="1" ht="12" customHeight="1" thickBot="1">
      <c r="A74" s="14" t="s">
        <v>258</v>
      </c>
      <c r="B74" s="231" t="s">
        <v>366</v>
      </c>
      <c r="C74" s="172"/>
      <c r="D74" s="172"/>
      <c r="E74" s="108"/>
    </row>
    <row r="75" spans="1:5" s="180" customFormat="1" ht="12" customHeight="1" thickBot="1">
      <c r="A75" s="222" t="s">
        <v>224</v>
      </c>
      <c r="B75" s="111" t="s">
        <v>225</v>
      </c>
      <c r="C75" s="168">
        <f>SUM(C76:C79)</f>
        <v>0</v>
      </c>
      <c r="D75" s="168">
        <f>SUM(D76:D79)</f>
        <v>0</v>
      </c>
      <c r="E75" s="104">
        <f>SUM(E76:E79)</f>
        <v>0</v>
      </c>
    </row>
    <row r="76" spans="1:5" s="180" customFormat="1" ht="12" customHeight="1">
      <c r="A76" s="13" t="s">
        <v>100</v>
      </c>
      <c r="B76" s="359" t="s">
        <v>226</v>
      </c>
      <c r="C76" s="172"/>
      <c r="D76" s="172"/>
      <c r="E76" s="108"/>
    </row>
    <row r="77" spans="1:5" s="180" customFormat="1" ht="12" customHeight="1">
      <c r="A77" s="12" t="s">
        <v>101</v>
      </c>
      <c r="B77" s="359" t="s">
        <v>498</v>
      </c>
      <c r="C77" s="172"/>
      <c r="D77" s="172"/>
      <c r="E77" s="108"/>
    </row>
    <row r="78" spans="1:5" s="180" customFormat="1" ht="12" customHeight="1">
      <c r="A78" s="12" t="s">
        <v>249</v>
      </c>
      <c r="B78" s="359" t="s">
        <v>227</v>
      </c>
      <c r="C78" s="172"/>
      <c r="D78" s="172"/>
      <c r="E78" s="108"/>
    </row>
    <row r="79" spans="1:5" s="180" customFormat="1" ht="12" customHeight="1" thickBot="1">
      <c r="A79" s="14" t="s">
        <v>250</v>
      </c>
      <c r="B79" s="360" t="s">
        <v>499</v>
      </c>
      <c r="C79" s="172"/>
      <c r="D79" s="172"/>
      <c r="E79" s="108"/>
    </row>
    <row r="80" spans="1:5" s="180" customFormat="1" ht="12" customHeight="1" thickBot="1">
      <c r="A80" s="222" t="s">
        <v>228</v>
      </c>
      <c r="B80" s="111" t="s">
        <v>229</v>
      </c>
      <c r="C80" s="168">
        <f>SUM(C81:C82)</f>
        <v>0</v>
      </c>
      <c r="D80" s="168">
        <f>SUM(D81:D82)</f>
        <v>0</v>
      </c>
      <c r="E80" s="104">
        <f>SUM(E81:E82)</f>
        <v>0</v>
      </c>
    </row>
    <row r="81" spans="1:5" s="180" customFormat="1" ht="12" customHeight="1">
      <c r="A81" s="13" t="s">
        <v>251</v>
      </c>
      <c r="B81" s="181" t="s">
        <v>230</v>
      </c>
      <c r="C81" s="172"/>
      <c r="D81" s="172"/>
      <c r="E81" s="108"/>
    </row>
    <row r="82" spans="1:5" s="180" customFormat="1" ht="12" customHeight="1" thickBot="1">
      <c r="A82" s="14" t="s">
        <v>252</v>
      </c>
      <c r="B82" s="113" t="s">
        <v>231</v>
      </c>
      <c r="C82" s="172"/>
      <c r="D82" s="172"/>
      <c r="E82" s="108"/>
    </row>
    <row r="83" spans="1:5" s="180" customFormat="1" ht="12" customHeight="1" thickBot="1">
      <c r="A83" s="222" t="s">
        <v>232</v>
      </c>
      <c r="B83" s="111" t="s">
        <v>233</v>
      </c>
      <c r="C83" s="168">
        <f>SUM(C84:C86)</f>
        <v>0</v>
      </c>
      <c r="D83" s="168">
        <f>SUM(D84:D86)</f>
        <v>0</v>
      </c>
      <c r="E83" s="104">
        <f>SUM(E84:E86)</f>
        <v>0</v>
      </c>
    </row>
    <row r="84" spans="1:5" s="180" customFormat="1" ht="12" customHeight="1">
      <c r="A84" s="13" t="s">
        <v>253</v>
      </c>
      <c r="B84" s="181" t="s">
        <v>234</v>
      </c>
      <c r="C84" s="172"/>
      <c r="D84" s="172"/>
      <c r="E84" s="108"/>
    </row>
    <row r="85" spans="1:5" s="180" customFormat="1" ht="12" customHeight="1">
      <c r="A85" s="12" t="s">
        <v>254</v>
      </c>
      <c r="B85" s="182" t="s">
        <v>235</v>
      </c>
      <c r="C85" s="172"/>
      <c r="D85" s="172"/>
      <c r="E85" s="108"/>
    </row>
    <row r="86" spans="1:5" s="180" customFormat="1" ht="12" customHeight="1" thickBot="1">
      <c r="A86" s="14" t="s">
        <v>255</v>
      </c>
      <c r="B86" s="113" t="s">
        <v>500</v>
      </c>
      <c r="C86" s="172"/>
      <c r="D86" s="172"/>
      <c r="E86" s="108"/>
    </row>
    <row r="87" spans="1:5" s="180" customFormat="1" ht="12" customHeight="1" thickBot="1">
      <c r="A87" s="222" t="s">
        <v>236</v>
      </c>
      <c r="B87" s="111" t="s">
        <v>256</v>
      </c>
      <c r="C87" s="168">
        <f>SUM(C88:C91)</f>
        <v>0</v>
      </c>
      <c r="D87" s="168">
        <f>SUM(D88:D91)</f>
        <v>0</v>
      </c>
      <c r="E87" s="104">
        <f>SUM(E88:E91)</f>
        <v>0</v>
      </c>
    </row>
    <row r="88" spans="1:5" s="180" customFormat="1" ht="12" customHeight="1">
      <c r="A88" s="185" t="s">
        <v>237</v>
      </c>
      <c r="B88" s="181" t="s">
        <v>238</v>
      </c>
      <c r="C88" s="172"/>
      <c r="D88" s="172"/>
      <c r="E88" s="108"/>
    </row>
    <row r="89" spans="1:5" s="180" customFormat="1" ht="12" customHeight="1">
      <c r="A89" s="186" t="s">
        <v>239</v>
      </c>
      <c r="B89" s="182" t="s">
        <v>240</v>
      </c>
      <c r="C89" s="172"/>
      <c r="D89" s="172"/>
      <c r="E89" s="108"/>
    </row>
    <row r="90" spans="1:5" s="180" customFormat="1" ht="12" customHeight="1">
      <c r="A90" s="186" t="s">
        <v>241</v>
      </c>
      <c r="B90" s="182" t="s">
        <v>242</v>
      </c>
      <c r="C90" s="172"/>
      <c r="D90" s="172"/>
      <c r="E90" s="108"/>
    </row>
    <row r="91" spans="1:5" s="180" customFormat="1" ht="12" customHeight="1" thickBot="1">
      <c r="A91" s="187" t="s">
        <v>243</v>
      </c>
      <c r="B91" s="113" t="s">
        <v>244</v>
      </c>
      <c r="C91" s="172"/>
      <c r="D91" s="172"/>
      <c r="E91" s="108"/>
    </row>
    <row r="92" spans="1:5" s="180" customFormat="1" ht="12" customHeight="1" thickBot="1">
      <c r="A92" s="222" t="s">
        <v>245</v>
      </c>
      <c r="B92" s="111" t="s">
        <v>380</v>
      </c>
      <c r="C92" s="224"/>
      <c r="D92" s="224"/>
      <c r="E92" s="225"/>
    </row>
    <row r="93" spans="1:5" s="180" customFormat="1" ht="13.5" customHeight="1" thickBot="1">
      <c r="A93" s="222" t="s">
        <v>247</v>
      </c>
      <c r="B93" s="111" t="s">
        <v>246</v>
      </c>
      <c r="C93" s="224"/>
      <c r="D93" s="224"/>
      <c r="E93" s="225"/>
    </row>
    <row r="94" spans="1:5" s="180" customFormat="1" ht="15.75" customHeight="1" thickBot="1">
      <c r="A94" s="222" t="s">
        <v>259</v>
      </c>
      <c r="B94" s="188" t="s">
        <v>383</v>
      </c>
      <c r="C94" s="174">
        <f>+C71+C75+C80+C83+C87+C93+C92</f>
        <v>0</v>
      </c>
      <c r="D94" s="174">
        <f>+D71+D75+D80+D83+D87+D93+D92</f>
        <v>0</v>
      </c>
      <c r="E94" s="210">
        <f>+E71+E75+E80+E83+E87+E93+E92</f>
        <v>0</v>
      </c>
    </row>
    <row r="95" spans="1:5" s="180" customFormat="1" ht="25.5" customHeight="1" thickBot="1">
      <c r="A95" s="223" t="s">
        <v>382</v>
      </c>
      <c r="B95" s="189" t="s">
        <v>384</v>
      </c>
      <c r="C95" s="174">
        <f>+C70+C94</f>
        <v>22918909</v>
      </c>
      <c r="D95" s="174">
        <f>+D70+D94</f>
        <v>25669781</v>
      </c>
      <c r="E95" s="210">
        <f>+E70+E94</f>
        <v>24904166</v>
      </c>
    </row>
    <row r="96" spans="1:3" s="180" customFormat="1" ht="15" customHeight="1">
      <c r="A96" s="3"/>
      <c r="B96" s="4"/>
      <c r="C96" s="115"/>
    </row>
    <row r="97" spans="1:5" ht="16.5" customHeight="1">
      <c r="A97" s="845" t="s">
        <v>34</v>
      </c>
      <c r="B97" s="845"/>
      <c r="C97" s="845"/>
      <c r="D97" s="845"/>
      <c r="E97" s="845"/>
    </row>
    <row r="98" spans="1:5" s="190" customFormat="1" ht="16.5" customHeight="1" thickBot="1">
      <c r="A98" s="847" t="s">
        <v>103</v>
      </c>
      <c r="B98" s="847"/>
      <c r="C98" s="62"/>
      <c r="E98" s="62" t="str">
        <f>E7</f>
        <v> Forintban!</v>
      </c>
    </row>
    <row r="99" spans="1:5" ht="15">
      <c r="A99" s="854" t="s">
        <v>52</v>
      </c>
      <c r="B99" s="856" t="s">
        <v>424</v>
      </c>
      <c r="C99" s="840" t="str">
        <f>+CONCATENATE(LEFT(Z_ÖSSZEFÜGGÉSEK!A6,4),". évi")</f>
        <v>2022. évi</v>
      </c>
      <c r="D99" s="841"/>
      <c r="E99" s="842"/>
    </row>
    <row r="100" spans="1:5" ht="23.25" thickBot="1">
      <c r="A100" s="855"/>
      <c r="B100" s="857"/>
      <c r="C100" s="252" t="s">
        <v>422</v>
      </c>
      <c r="D100" s="251" t="s">
        <v>423</v>
      </c>
      <c r="E100" s="361" t="str">
        <f>CONCATENATE(E9)</f>
        <v>2022. XII. 31.
teljesítés</v>
      </c>
    </row>
    <row r="101" spans="1:5" s="179" customFormat="1" ht="12" customHeight="1" thickBot="1">
      <c r="A101" s="25" t="s">
        <v>389</v>
      </c>
      <c r="B101" s="26" t="s">
        <v>390</v>
      </c>
      <c r="C101" s="26" t="s">
        <v>391</v>
      </c>
      <c r="D101" s="26" t="s">
        <v>393</v>
      </c>
      <c r="E101" s="263" t="s">
        <v>392</v>
      </c>
    </row>
    <row r="102" spans="1:5" ht="12" customHeight="1" thickBot="1">
      <c r="A102" s="20" t="s">
        <v>6</v>
      </c>
      <c r="B102" s="24" t="s">
        <v>342</v>
      </c>
      <c r="C102" s="167">
        <f>C103+C104+C105+C106+C107+C120</f>
        <v>8099725</v>
      </c>
      <c r="D102" s="167">
        <f>D103+D104+D105+D106+D107+D120</f>
        <v>7979725</v>
      </c>
      <c r="E102" s="238">
        <f>E103+E104+E105+E106+E107+E120</f>
        <v>4447362</v>
      </c>
    </row>
    <row r="103" spans="1:5" ht="12" customHeight="1">
      <c r="A103" s="15" t="s">
        <v>64</v>
      </c>
      <c r="B103" s="8" t="s">
        <v>35</v>
      </c>
      <c r="C103" s="245"/>
      <c r="D103" s="245"/>
      <c r="E103" s="239"/>
    </row>
    <row r="104" spans="1:5" ht="12" customHeight="1">
      <c r="A104" s="12" t="s">
        <v>65</v>
      </c>
      <c r="B104" s="6" t="s">
        <v>124</v>
      </c>
      <c r="C104" s="169"/>
      <c r="D104" s="169"/>
      <c r="E104" s="105"/>
    </row>
    <row r="105" spans="1:5" ht="12" customHeight="1">
      <c r="A105" s="12" t="s">
        <v>66</v>
      </c>
      <c r="B105" s="6" t="s">
        <v>92</v>
      </c>
      <c r="C105" s="171">
        <v>6240000</v>
      </c>
      <c r="D105" s="171">
        <v>6240000</v>
      </c>
      <c r="E105" s="107">
        <v>3225799</v>
      </c>
    </row>
    <row r="106" spans="1:5" ht="12" customHeight="1">
      <c r="A106" s="12" t="s">
        <v>67</v>
      </c>
      <c r="B106" s="9" t="s">
        <v>125</v>
      </c>
      <c r="C106" s="171"/>
      <c r="D106" s="171"/>
      <c r="E106" s="107"/>
    </row>
    <row r="107" spans="1:5" ht="12" customHeight="1">
      <c r="A107" s="12" t="s">
        <v>76</v>
      </c>
      <c r="B107" s="17" t="s">
        <v>126</v>
      </c>
      <c r="C107" s="171">
        <v>1859725</v>
      </c>
      <c r="D107" s="171">
        <v>1739725</v>
      </c>
      <c r="E107" s="107">
        <v>1221563</v>
      </c>
    </row>
    <row r="108" spans="1:5" ht="12" customHeight="1">
      <c r="A108" s="12" t="s">
        <v>68</v>
      </c>
      <c r="B108" s="6" t="s">
        <v>347</v>
      </c>
      <c r="C108" s="171"/>
      <c r="D108" s="171"/>
      <c r="E108" s="107"/>
    </row>
    <row r="109" spans="1:5" ht="12" customHeight="1">
      <c r="A109" s="12" t="s">
        <v>69</v>
      </c>
      <c r="B109" s="66" t="s">
        <v>346</v>
      </c>
      <c r="C109" s="171"/>
      <c r="D109" s="171"/>
      <c r="E109" s="107"/>
    </row>
    <row r="110" spans="1:5" ht="12" customHeight="1">
      <c r="A110" s="12" t="s">
        <v>77</v>
      </c>
      <c r="B110" s="66" t="s">
        <v>345</v>
      </c>
      <c r="C110" s="171"/>
      <c r="D110" s="171"/>
      <c r="E110" s="107"/>
    </row>
    <row r="111" spans="1:5" ht="12" customHeight="1">
      <c r="A111" s="12" t="s">
        <v>78</v>
      </c>
      <c r="B111" s="64" t="s">
        <v>262</v>
      </c>
      <c r="C111" s="171"/>
      <c r="D111" s="171"/>
      <c r="E111" s="107"/>
    </row>
    <row r="112" spans="1:5" ht="12" customHeight="1">
      <c r="A112" s="12" t="s">
        <v>79</v>
      </c>
      <c r="B112" s="65" t="s">
        <v>263</v>
      </c>
      <c r="C112" s="171"/>
      <c r="D112" s="171"/>
      <c r="E112" s="107"/>
    </row>
    <row r="113" spans="1:5" ht="12" customHeight="1">
      <c r="A113" s="12" t="s">
        <v>80</v>
      </c>
      <c r="B113" s="65" t="s">
        <v>264</v>
      </c>
      <c r="C113" s="171"/>
      <c r="D113" s="171"/>
      <c r="E113" s="107"/>
    </row>
    <row r="114" spans="1:5" ht="12" customHeight="1">
      <c r="A114" s="12" t="s">
        <v>82</v>
      </c>
      <c r="B114" s="64" t="s">
        <v>265</v>
      </c>
      <c r="C114" s="171"/>
      <c r="D114" s="171"/>
      <c r="E114" s="107"/>
    </row>
    <row r="115" spans="1:5" ht="12" customHeight="1">
      <c r="A115" s="12" t="s">
        <v>127</v>
      </c>
      <c r="B115" s="64" t="s">
        <v>266</v>
      </c>
      <c r="C115" s="171"/>
      <c r="D115" s="171"/>
      <c r="E115" s="107"/>
    </row>
    <row r="116" spans="1:5" ht="12" customHeight="1">
      <c r="A116" s="12" t="s">
        <v>260</v>
      </c>
      <c r="B116" s="65" t="s">
        <v>267</v>
      </c>
      <c r="C116" s="171"/>
      <c r="D116" s="171"/>
      <c r="E116" s="107"/>
    </row>
    <row r="117" spans="1:5" ht="12" customHeight="1">
      <c r="A117" s="11" t="s">
        <v>261</v>
      </c>
      <c r="B117" s="66" t="s">
        <v>268</v>
      </c>
      <c r="C117" s="171"/>
      <c r="D117" s="171"/>
      <c r="E117" s="107"/>
    </row>
    <row r="118" spans="1:5" ht="12" customHeight="1">
      <c r="A118" s="12" t="s">
        <v>343</v>
      </c>
      <c r="B118" s="66" t="s">
        <v>269</v>
      </c>
      <c r="C118" s="171"/>
      <c r="D118" s="171"/>
      <c r="E118" s="107"/>
    </row>
    <row r="119" spans="1:5" ht="12" customHeight="1">
      <c r="A119" s="14" t="s">
        <v>344</v>
      </c>
      <c r="B119" s="66" t="s">
        <v>270</v>
      </c>
      <c r="C119" s="171">
        <v>1859725</v>
      </c>
      <c r="D119" s="171">
        <v>1739725</v>
      </c>
      <c r="E119" s="107">
        <v>1221563</v>
      </c>
    </row>
    <row r="120" spans="1:5" ht="12" customHeight="1">
      <c r="A120" s="12" t="s">
        <v>348</v>
      </c>
      <c r="B120" s="9" t="s">
        <v>36</v>
      </c>
      <c r="C120" s="169"/>
      <c r="D120" s="169"/>
      <c r="E120" s="105"/>
    </row>
    <row r="121" spans="1:5" ht="12" customHeight="1">
      <c r="A121" s="12" t="s">
        <v>349</v>
      </c>
      <c r="B121" s="6" t="s">
        <v>351</v>
      </c>
      <c r="C121" s="169"/>
      <c r="D121" s="169"/>
      <c r="E121" s="105"/>
    </row>
    <row r="122" spans="1:5" ht="12" customHeight="1" thickBot="1">
      <c r="A122" s="16" t="s">
        <v>350</v>
      </c>
      <c r="B122" s="234" t="s">
        <v>352</v>
      </c>
      <c r="C122" s="246"/>
      <c r="D122" s="246"/>
      <c r="E122" s="240"/>
    </row>
    <row r="123" spans="1:5" ht="12" customHeight="1" thickBot="1">
      <c r="A123" s="232" t="s">
        <v>7</v>
      </c>
      <c r="B123" s="233" t="s">
        <v>271</v>
      </c>
      <c r="C123" s="247">
        <f>+C124+C126+C128</f>
        <v>2000000</v>
      </c>
      <c r="D123" s="168">
        <f>+D124+D126+D128</f>
        <v>2000000</v>
      </c>
      <c r="E123" s="241">
        <f>+E124+E126+E128</f>
        <v>500000</v>
      </c>
    </row>
    <row r="124" spans="1:5" ht="12" customHeight="1">
      <c r="A124" s="13" t="s">
        <v>70</v>
      </c>
      <c r="B124" s="6" t="s">
        <v>145</v>
      </c>
      <c r="C124" s="170"/>
      <c r="D124" s="256"/>
      <c r="E124" s="106"/>
    </row>
    <row r="125" spans="1:5" ht="12" customHeight="1">
      <c r="A125" s="13" t="s">
        <v>71</v>
      </c>
      <c r="B125" s="10" t="s">
        <v>275</v>
      </c>
      <c r="C125" s="170"/>
      <c r="D125" s="256"/>
      <c r="E125" s="106"/>
    </row>
    <row r="126" spans="1:5" ht="12" customHeight="1">
      <c r="A126" s="13" t="s">
        <v>72</v>
      </c>
      <c r="B126" s="10" t="s">
        <v>128</v>
      </c>
      <c r="C126" s="169"/>
      <c r="D126" s="257"/>
      <c r="E126" s="105"/>
    </row>
    <row r="127" spans="1:5" ht="12" customHeight="1">
      <c r="A127" s="13" t="s">
        <v>73</v>
      </c>
      <c r="B127" s="10" t="s">
        <v>276</v>
      </c>
      <c r="C127" s="169"/>
      <c r="D127" s="257"/>
      <c r="E127" s="105"/>
    </row>
    <row r="128" spans="1:5" ht="12" customHeight="1">
      <c r="A128" s="13" t="s">
        <v>74</v>
      </c>
      <c r="B128" s="113" t="s">
        <v>147</v>
      </c>
      <c r="C128" s="169">
        <v>2000000</v>
      </c>
      <c r="D128" s="257">
        <v>2000000</v>
      </c>
      <c r="E128" s="105">
        <v>500000</v>
      </c>
    </row>
    <row r="129" spans="1:5" ht="12" customHeight="1">
      <c r="A129" s="13" t="s">
        <v>81</v>
      </c>
      <c r="B129" s="112" t="s">
        <v>335</v>
      </c>
      <c r="C129" s="169"/>
      <c r="D129" s="257"/>
      <c r="E129" s="105"/>
    </row>
    <row r="130" spans="1:5" ht="12" customHeight="1">
      <c r="A130" s="13" t="s">
        <v>83</v>
      </c>
      <c r="B130" s="177" t="s">
        <v>281</v>
      </c>
      <c r="C130" s="169"/>
      <c r="D130" s="257"/>
      <c r="E130" s="105"/>
    </row>
    <row r="131" spans="1:5" ht="15">
      <c r="A131" s="13" t="s">
        <v>129</v>
      </c>
      <c r="B131" s="65" t="s">
        <v>264</v>
      </c>
      <c r="C131" s="169"/>
      <c r="D131" s="257"/>
      <c r="E131" s="105"/>
    </row>
    <row r="132" spans="1:5" ht="12" customHeight="1">
      <c r="A132" s="13" t="s">
        <v>130</v>
      </c>
      <c r="B132" s="65" t="s">
        <v>280</v>
      </c>
      <c r="C132" s="169"/>
      <c r="D132" s="257"/>
      <c r="E132" s="105"/>
    </row>
    <row r="133" spans="1:5" ht="12" customHeight="1">
      <c r="A133" s="13" t="s">
        <v>131</v>
      </c>
      <c r="B133" s="65" t="s">
        <v>279</v>
      </c>
      <c r="C133" s="169"/>
      <c r="D133" s="257"/>
      <c r="E133" s="105"/>
    </row>
    <row r="134" spans="1:5" ht="12" customHeight="1">
      <c r="A134" s="13" t="s">
        <v>272</v>
      </c>
      <c r="B134" s="65" t="s">
        <v>267</v>
      </c>
      <c r="C134" s="169">
        <v>2000000</v>
      </c>
      <c r="D134" s="257">
        <v>2000000</v>
      </c>
      <c r="E134" s="105">
        <v>500000</v>
      </c>
    </row>
    <row r="135" spans="1:5" ht="12" customHeight="1">
      <c r="A135" s="13" t="s">
        <v>273</v>
      </c>
      <c r="B135" s="65" t="s">
        <v>278</v>
      </c>
      <c r="C135" s="169"/>
      <c r="D135" s="257"/>
      <c r="E135" s="105"/>
    </row>
    <row r="136" spans="1:5" ht="15.75" thickBot="1">
      <c r="A136" s="11" t="s">
        <v>274</v>
      </c>
      <c r="B136" s="65" t="s">
        <v>277</v>
      </c>
      <c r="C136" s="171"/>
      <c r="D136" s="258"/>
      <c r="E136" s="107"/>
    </row>
    <row r="137" spans="1:5" ht="12" customHeight="1" thickBot="1">
      <c r="A137" s="18" t="s">
        <v>8</v>
      </c>
      <c r="B137" s="58" t="s">
        <v>353</v>
      </c>
      <c r="C137" s="168">
        <f>+C102+C123</f>
        <v>10099725</v>
      </c>
      <c r="D137" s="255">
        <f>+D102+D123</f>
        <v>9979725</v>
      </c>
      <c r="E137" s="104">
        <f>+E102+E123</f>
        <v>4947362</v>
      </c>
    </row>
    <row r="138" spans="1:5" ht="12" customHeight="1" thickBot="1">
      <c r="A138" s="18" t="s">
        <v>9</v>
      </c>
      <c r="B138" s="58" t="s">
        <v>425</v>
      </c>
      <c r="C138" s="168">
        <f>+C139+C140+C141</f>
        <v>0</v>
      </c>
      <c r="D138" s="255">
        <f>+D139+D140+D141</f>
        <v>0</v>
      </c>
      <c r="E138" s="104">
        <f>+E139+E140+E141</f>
        <v>0</v>
      </c>
    </row>
    <row r="139" spans="1:5" ht="12" customHeight="1">
      <c r="A139" s="13" t="s">
        <v>179</v>
      </c>
      <c r="B139" s="10" t="s">
        <v>361</v>
      </c>
      <c r="C139" s="169"/>
      <c r="D139" s="257"/>
      <c r="E139" s="105"/>
    </row>
    <row r="140" spans="1:5" ht="12" customHeight="1">
      <c r="A140" s="13" t="s">
        <v>180</v>
      </c>
      <c r="B140" s="10" t="s">
        <v>362</v>
      </c>
      <c r="C140" s="169"/>
      <c r="D140" s="257"/>
      <c r="E140" s="105"/>
    </row>
    <row r="141" spans="1:5" ht="12" customHeight="1" thickBot="1">
      <c r="A141" s="11" t="s">
        <v>181</v>
      </c>
      <c r="B141" s="10" t="s">
        <v>363</v>
      </c>
      <c r="C141" s="169"/>
      <c r="D141" s="257"/>
      <c r="E141" s="105"/>
    </row>
    <row r="142" spans="1:5" ht="12" customHeight="1" thickBot="1">
      <c r="A142" s="18" t="s">
        <v>10</v>
      </c>
      <c r="B142" s="58" t="s">
        <v>355</v>
      </c>
      <c r="C142" s="168">
        <f>SUM(C143:C148)</f>
        <v>0</v>
      </c>
      <c r="D142" s="255">
        <f>SUM(D143:D148)</f>
        <v>0</v>
      </c>
      <c r="E142" s="104">
        <f>SUM(E143:E148)</f>
        <v>0</v>
      </c>
    </row>
    <row r="143" spans="1:5" ht="12" customHeight="1">
      <c r="A143" s="13" t="s">
        <v>57</v>
      </c>
      <c r="B143" s="7" t="s">
        <v>364</v>
      </c>
      <c r="C143" s="169"/>
      <c r="D143" s="257"/>
      <c r="E143" s="105"/>
    </row>
    <row r="144" spans="1:5" ht="12" customHeight="1">
      <c r="A144" s="13" t="s">
        <v>58</v>
      </c>
      <c r="B144" s="7" t="s">
        <v>356</v>
      </c>
      <c r="C144" s="169"/>
      <c r="D144" s="257"/>
      <c r="E144" s="105"/>
    </row>
    <row r="145" spans="1:5" ht="12" customHeight="1">
      <c r="A145" s="13" t="s">
        <v>59</v>
      </c>
      <c r="B145" s="7" t="s">
        <v>357</v>
      </c>
      <c r="C145" s="169"/>
      <c r="D145" s="257"/>
      <c r="E145" s="105"/>
    </row>
    <row r="146" spans="1:5" ht="12" customHeight="1">
      <c r="A146" s="13" t="s">
        <v>116</v>
      </c>
      <c r="B146" s="7" t="s">
        <v>358</v>
      </c>
      <c r="C146" s="169"/>
      <c r="D146" s="257"/>
      <c r="E146" s="105"/>
    </row>
    <row r="147" spans="1:5" ht="12" customHeight="1">
      <c r="A147" s="13" t="s">
        <v>117</v>
      </c>
      <c r="B147" s="7" t="s">
        <v>359</v>
      </c>
      <c r="C147" s="169"/>
      <c r="D147" s="257"/>
      <c r="E147" s="105"/>
    </row>
    <row r="148" spans="1:5" ht="12" customHeight="1" thickBot="1">
      <c r="A148" s="16" t="s">
        <v>118</v>
      </c>
      <c r="B148" s="371" t="s">
        <v>360</v>
      </c>
      <c r="C148" s="246"/>
      <c r="D148" s="322"/>
      <c r="E148" s="240"/>
    </row>
    <row r="149" spans="1:5" ht="12" customHeight="1" thickBot="1">
      <c r="A149" s="18" t="s">
        <v>11</v>
      </c>
      <c r="B149" s="58" t="s">
        <v>368</v>
      </c>
      <c r="C149" s="174">
        <f>+C150+C151+C152+C153</f>
        <v>0</v>
      </c>
      <c r="D149" s="259">
        <f>+D150+D151+D152+D153</f>
        <v>0</v>
      </c>
      <c r="E149" s="210">
        <f>+E150+E151+E152+E153</f>
        <v>0</v>
      </c>
    </row>
    <row r="150" spans="1:5" ht="12" customHeight="1">
      <c r="A150" s="13" t="s">
        <v>60</v>
      </c>
      <c r="B150" s="7" t="s">
        <v>282</v>
      </c>
      <c r="C150" s="169"/>
      <c r="D150" s="257"/>
      <c r="E150" s="105"/>
    </row>
    <row r="151" spans="1:5" ht="12" customHeight="1">
      <c r="A151" s="13" t="s">
        <v>61</v>
      </c>
      <c r="B151" s="7" t="s">
        <v>283</v>
      </c>
      <c r="C151" s="169"/>
      <c r="D151" s="257"/>
      <c r="E151" s="105"/>
    </row>
    <row r="152" spans="1:5" ht="12" customHeight="1">
      <c r="A152" s="13" t="s">
        <v>199</v>
      </c>
      <c r="B152" s="7" t="s">
        <v>369</v>
      </c>
      <c r="C152" s="169"/>
      <c r="D152" s="257"/>
      <c r="E152" s="105"/>
    </row>
    <row r="153" spans="1:5" ht="12" customHeight="1" thickBot="1">
      <c r="A153" s="11" t="s">
        <v>200</v>
      </c>
      <c r="B153" s="5" t="s">
        <v>299</v>
      </c>
      <c r="C153" s="169"/>
      <c r="D153" s="257"/>
      <c r="E153" s="105"/>
    </row>
    <row r="154" spans="1:5" ht="12" customHeight="1" thickBot="1">
      <c r="A154" s="18" t="s">
        <v>12</v>
      </c>
      <c r="B154" s="58" t="s">
        <v>370</v>
      </c>
      <c r="C154" s="248">
        <f>SUM(C155:C159)</f>
        <v>0</v>
      </c>
      <c r="D154" s="260">
        <f>SUM(D155:D159)</f>
        <v>0</v>
      </c>
      <c r="E154" s="242">
        <f>SUM(E155:E159)</f>
        <v>0</v>
      </c>
    </row>
    <row r="155" spans="1:5" ht="12" customHeight="1">
      <c r="A155" s="13" t="s">
        <v>62</v>
      </c>
      <c r="B155" s="7" t="s">
        <v>365</v>
      </c>
      <c r="C155" s="169"/>
      <c r="D155" s="257"/>
      <c r="E155" s="105"/>
    </row>
    <row r="156" spans="1:5" ht="12" customHeight="1">
      <c r="A156" s="13" t="s">
        <v>63</v>
      </c>
      <c r="B156" s="7" t="s">
        <v>372</v>
      </c>
      <c r="C156" s="169"/>
      <c r="D156" s="257"/>
      <c r="E156" s="105"/>
    </row>
    <row r="157" spans="1:5" ht="12" customHeight="1">
      <c r="A157" s="13" t="s">
        <v>211</v>
      </c>
      <c r="B157" s="7" t="s">
        <v>367</v>
      </c>
      <c r="C157" s="169"/>
      <c r="D157" s="257"/>
      <c r="E157" s="105"/>
    </row>
    <row r="158" spans="1:5" ht="12" customHeight="1">
      <c r="A158" s="13" t="s">
        <v>212</v>
      </c>
      <c r="B158" s="7" t="s">
        <v>373</v>
      </c>
      <c r="C158" s="169"/>
      <c r="D158" s="257"/>
      <c r="E158" s="105"/>
    </row>
    <row r="159" spans="1:5" ht="12" customHeight="1" thickBot="1">
      <c r="A159" s="13" t="s">
        <v>371</v>
      </c>
      <c r="B159" s="7" t="s">
        <v>374</v>
      </c>
      <c r="C159" s="169"/>
      <c r="D159" s="257"/>
      <c r="E159" s="105"/>
    </row>
    <row r="160" spans="1:5" ht="12" customHeight="1" thickBot="1">
      <c r="A160" s="18" t="s">
        <v>13</v>
      </c>
      <c r="B160" s="58" t="s">
        <v>375</v>
      </c>
      <c r="C160" s="249"/>
      <c r="D160" s="261"/>
      <c r="E160" s="243"/>
    </row>
    <row r="161" spans="1:5" ht="12" customHeight="1" thickBot="1">
      <c r="A161" s="18" t="s">
        <v>14</v>
      </c>
      <c r="B161" s="58" t="s">
        <v>376</v>
      </c>
      <c r="C161" s="249"/>
      <c r="D161" s="261"/>
      <c r="E161" s="243"/>
    </row>
    <row r="162" spans="1:9" ht="15" customHeight="1" thickBot="1">
      <c r="A162" s="18" t="s">
        <v>15</v>
      </c>
      <c r="B162" s="58" t="s">
        <v>378</v>
      </c>
      <c r="C162" s="250">
        <f>+C138+C142+C149+C154+C160+C161</f>
        <v>0</v>
      </c>
      <c r="D162" s="262">
        <f>+D138+D142+D149+D154+D160+D161</f>
        <v>0</v>
      </c>
      <c r="E162" s="244">
        <f>+E138+E142+E149+E154+E160+E161</f>
        <v>0</v>
      </c>
      <c r="F162" s="191"/>
      <c r="G162" s="192"/>
      <c r="H162" s="192"/>
      <c r="I162" s="192"/>
    </row>
    <row r="163" spans="1:5" s="180" customFormat="1" ht="12.75" customHeight="1" thickBot="1">
      <c r="A163" s="114" t="s">
        <v>16</v>
      </c>
      <c r="B163" s="155" t="s">
        <v>377</v>
      </c>
      <c r="C163" s="250">
        <f>+C137+C162</f>
        <v>10099725</v>
      </c>
      <c r="D163" s="262">
        <f>+D137+D162</f>
        <v>9979725</v>
      </c>
      <c r="E163" s="244">
        <f>+E137+E162</f>
        <v>4947362</v>
      </c>
    </row>
    <row r="164" spans="3:4" ht="15">
      <c r="C164" s="648">
        <f>C95-C163</f>
        <v>12819184</v>
      </c>
      <c r="D164" s="648">
        <f>D95-D163</f>
        <v>15690056</v>
      </c>
    </row>
    <row r="165" spans="1:5" ht="15">
      <c r="A165" s="843" t="s">
        <v>284</v>
      </c>
      <c r="B165" s="843"/>
      <c r="C165" s="843"/>
      <c r="D165" s="843"/>
      <c r="E165" s="843"/>
    </row>
    <row r="166" spans="1:5" ht="15" customHeight="1" thickBot="1">
      <c r="A166" s="853" t="s">
        <v>104</v>
      </c>
      <c r="B166" s="853"/>
      <c r="C166" s="116"/>
      <c r="E166" s="116" t="str">
        <f>E98</f>
        <v> Forintban!</v>
      </c>
    </row>
    <row r="167" spans="1:5" ht="25.5" customHeight="1" thickBot="1">
      <c r="A167" s="18">
        <v>1</v>
      </c>
      <c r="B167" s="23" t="s">
        <v>379</v>
      </c>
      <c r="C167" s="254">
        <f>+C70-C137</f>
        <v>12819184</v>
      </c>
      <c r="D167" s="168">
        <f>+D70-D137</f>
        <v>15690056</v>
      </c>
      <c r="E167" s="104">
        <f>+E70-E137</f>
        <v>19956804</v>
      </c>
    </row>
    <row r="168" spans="1:5" ht="32.25" customHeight="1" thickBot="1">
      <c r="A168" s="18" t="s">
        <v>7</v>
      </c>
      <c r="B168" s="23" t="s">
        <v>385</v>
      </c>
      <c r="C168" s="168">
        <f>+C94-C162</f>
        <v>0</v>
      </c>
      <c r="D168" s="168">
        <f>+D94-D162</f>
        <v>0</v>
      </c>
      <c r="E168" s="104">
        <f>+E94-E162</f>
        <v>0</v>
      </c>
    </row>
  </sheetData>
  <sheetProtection/>
  <mergeCells count="16">
    <mergeCell ref="A165:E165"/>
    <mergeCell ref="A166:B166"/>
    <mergeCell ref="A8:A9"/>
    <mergeCell ref="B8:B9"/>
    <mergeCell ref="C8:E8"/>
    <mergeCell ref="A97:E97"/>
    <mergeCell ref="A98:B98"/>
    <mergeCell ref="A99:A100"/>
    <mergeCell ref="B99:B100"/>
    <mergeCell ref="C99:E99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A1" sqref="A1"/>
    </sheetView>
  </sheetViews>
  <sheetFormatPr defaultColWidth="9.375" defaultRowHeight="12.75"/>
  <cols>
    <col min="1" max="1" width="9.50390625" style="156" customWidth="1"/>
    <col min="2" max="2" width="65.75390625" style="156" customWidth="1"/>
    <col min="3" max="3" width="17.75390625" style="157" customWidth="1"/>
    <col min="4" max="5" width="17.75390625" style="178" customWidth="1"/>
    <col min="6" max="16384" width="9.375" style="178" customWidth="1"/>
  </cols>
  <sheetData>
    <row r="1" spans="1:5" ht="15">
      <c r="A1" s="372"/>
      <c r="B1" s="848" t="str">
        <f>CONCATENATE("4. melléklet ",Z_ALAPADATOK!A7," ",Z_ALAPADATOK!B7," ",Z_ALAPADATOK!C7," ",Z_ALAPADATOK!D7," ",Z_ALAPADATOK!E7," ",Z_ALAPADATOK!F7," ",Z_ALAPADATOK!G7," ",Z_ALAPADATOK!H7)</f>
        <v>4. melléklet a  / 2023. ( V…... ) önkormányzati rendelethez</v>
      </c>
      <c r="C1" s="849"/>
      <c r="D1" s="849"/>
      <c r="E1" s="849"/>
    </row>
    <row r="2" spans="1:5" ht="15">
      <c r="A2" s="850" t="str">
        <f>CONCATENATE(Z_ALAPADATOK!A3)</f>
        <v>Balatonvilágos Község Önkormányzata</v>
      </c>
      <c r="B2" s="851"/>
      <c r="C2" s="851"/>
      <c r="D2" s="851"/>
      <c r="E2" s="851"/>
    </row>
    <row r="3" spans="1:5" ht="15">
      <c r="A3" s="858" t="s">
        <v>686</v>
      </c>
      <c r="B3" s="858"/>
      <c r="C3" s="858"/>
      <c r="D3" s="858"/>
      <c r="E3" s="858"/>
    </row>
    <row r="4" spans="1:5" ht="17.25" customHeight="1">
      <c r="A4" s="858" t="s">
        <v>680</v>
      </c>
      <c r="B4" s="858"/>
      <c r="C4" s="858"/>
      <c r="D4" s="858"/>
      <c r="E4" s="858"/>
    </row>
    <row r="5" spans="1:5" ht="15">
      <c r="A5" s="372"/>
      <c r="B5" s="372"/>
      <c r="C5" s="373"/>
      <c r="D5" s="374"/>
      <c r="E5" s="374"/>
    </row>
    <row r="6" spans="1:5" ht="15.75" customHeight="1">
      <c r="A6" s="844" t="s">
        <v>3</v>
      </c>
      <c r="B6" s="844"/>
      <c r="C6" s="844"/>
      <c r="D6" s="844"/>
      <c r="E6" s="844"/>
    </row>
    <row r="7" spans="1:5" ht="15.75" customHeight="1" thickBot="1">
      <c r="A7" s="846" t="s">
        <v>102</v>
      </c>
      <c r="B7" s="846"/>
      <c r="C7" s="375"/>
      <c r="D7" s="374"/>
      <c r="E7" s="375" t="str">
        <f>CONCATENATE(3!E7)</f>
        <v> Forintban!</v>
      </c>
    </row>
    <row r="8" spans="1:5" ht="15">
      <c r="A8" s="854" t="s">
        <v>52</v>
      </c>
      <c r="B8" s="856" t="s">
        <v>5</v>
      </c>
      <c r="C8" s="840" t="str">
        <f>+CONCATENATE(LEFT(Z_ÖSSZEFÜGGÉSEK!A6,4),". évi")</f>
        <v>2022. évi</v>
      </c>
      <c r="D8" s="841"/>
      <c r="E8" s="842"/>
    </row>
    <row r="9" spans="1:5" ht="23.25" thickBot="1">
      <c r="A9" s="855"/>
      <c r="B9" s="857"/>
      <c r="C9" s="252" t="s">
        <v>422</v>
      </c>
      <c r="D9" s="251" t="s">
        <v>423</v>
      </c>
      <c r="E9" s="361" t="str">
        <f>CONCATENATE(3!E9)</f>
        <v>2022.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3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</f>
        <v>0</v>
      </c>
      <c r="D11" s="168">
        <f>+D12+D13+D14+D15+D16+D17</f>
        <v>0</v>
      </c>
      <c r="E11" s="104">
        <f>+E12+E13+E14+E15+E16+E17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168</v>
      </c>
      <c r="C15" s="169"/>
      <c r="D15" s="169"/>
      <c r="E15" s="105"/>
    </row>
    <row r="16" spans="1:5" s="180" customFormat="1" ht="12" customHeight="1">
      <c r="A16" s="12" t="s">
        <v>99</v>
      </c>
      <c r="B16" s="112" t="s">
        <v>337</v>
      </c>
      <c r="C16" s="169"/>
      <c r="D16" s="169"/>
      <c r="E16" s="105"/>
    </row>
    <row r="17" spans="1:5" s="180" customFormat="1" ht="12" customHeight="1" thickBot="1">
      <c r="A17" s="14" t="s">
        <v>68</v>
      </c>
      <c r="B17" s="113" t="s">
        <v>338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169</v>
      </c>
      <c r="C18" s="168">
        <f>+C19+C20+C21+C22+C23</f>
        <v>0</v>
      </c>
      <c r="D18" s="168">
        <f>+D19+D20+D21+D22+D23</f>
        <v>0</v>
      </c>
      <c r="E18" s="104">
        <f>+E19+E20+E21+E22+E23</f>
        <v>0</v>
      </c>
    </row>
    <row r="19" spans="1:5" s="180" customFormat="1" ht="12" customHeight="1">
      <c r="A19" s="13" t="s">
        <v>70</v>
      </c>
      <c r="B19" s="181" t="s">
        <v>170</v>
      </c>
      <c r="C19" s="170"/>
      <c r="D19" s="170"/>
      <c r="E19" s="106"/>
    </row>
    <row r="20" spans="1:5" s="180" customFormat="1" ht="12" customHeight="1">
      <c r="A20" s="12" t="s">
        <v>71</v>
      </c>
      <c r="B20" s="182" t="s">
        <v>171</v>
      </c>
      <c r="C20" s="169"/>
      <c r="D20" s="169"/>
      <c r="E20" s="105"/>
    </row>
    <row r="21" spans="1:5" s="180" customFormat="1" ht="12" customHeight="1">
      <c r="A21" s="12" t="s">
        <v>72</v>
      </c>
      <c r="B21" s="182" t="s">
        <v>329</v>
      </c>
      <c r="C21" s="169"/>
      <c r="D21" s="169"/>
      <c r="E21" s="105"/>
    </row>
    <row r="22" spans="1:5" s="180" customFormat="1" ht="12" customHeight="1">
      <c r="A22" s="12" t="s">
        <v>73</v>
      </c>
      <c r="B22" s="182" t="s">
        <v>330</v>
      </c>
      <c r="C22" s="169"/>
      <c r="D22" s="169"/>
      <c r="E22" s="105"/>
    </row>
    <row r="23" spans="1:5" s="180" customFormat="1" ht="12" customHeight="1">
      <c r="A23" s="12" t="s">
        <v>74</v>
      </c>
      <c r="B23" s="182" t="s">
        <v>172</v>
      </c>
      <c r="C23" s="169"/>
      <c r="D23" s="169"/>
      <c r="E23" s="105"/>
    </row>
    <row r="24" spans="1:5" s="180" customFormat="1" ht="12" customHeight="1" thickBot="1">
      <c r="A24" s="14" t="s">
        <v>81</v>
      </c>
      <c r="B24" s="113" t="s">
        <v>173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174</v>
      </c>
      <c r="C25" s="168">
        <f>+C26+C27+C28+C29+C30</f>
        <v>0</v>
      </c>
      <c r="D25" s="168">
        <f>+D26+D27+D28+D29+D30</f>
        <v>0</v>
      </c>
      <c r="E25" s="104">
        <f>+E26+E27+E28+E29+E30</f>
        <v>0</v>
      </c>
    </row>
    <row r="26" spans="1:5" s="180" customFormat="1" ht="12" customHeight="1">
      <c r="A26" s="13" t="s">
        <v>53</v>
      </c>
      <c r="B26" s="181" t="s">
        <v>175</v>
      </c>
      <c r="C26" s="170"/>
      <c r="D26" s="170"/>
      <c r="E26" s="106"/>
    </row>
    <row r="27" spans="1:5" s="180" customFormat="1" ht="12" customHeight="1">
      <c r="A27" s="12" t="s">
        <v>54</v>
      </c>
      <c r="B27" s="182" t="s">
        <v>176</v>
      </c>
      <c r="C27" s="169"/>
      <c r="D27" s="169"/>
      <c r="E27" s="105"/>
    </row>
    <row r="28" spans="1:5" s="180" customFormat="1" ht="12" customHeight="1">
      <c r="A28" s="12" t="s">
        <v>55</v>
      </c>
      <c r="B28" s="182" t="s">
        <v>331</v>
      </c>
      <c r="C28" s="169"/>
      <c r="D28" s="169"/>
      <c r="E28" s="105"/>
    </row>
    <row r="29" spans="1:5" s="180" customFormat="1" ht="12" customHeight="1">
      <c r="A29" s="12" t="s">
        <v>56</v>
      </c>
      <c r="B29" s="182" t="s">
        <v>332</v>
      </c>
      <c r="C29" s="169"/>
      <c r="D29" s="169"/>
      <c r="E29" s="105"/>
    </row>
    <row r="30" spans="1:5" s="180" customFormat="1" ht="12" customHeight="1">
      <c r="A30" s="12" t="s">
        <v>112</v>
      </c>
      <c r="B30" s="182" t="s">
        <v>177</v>
      </c>
      <c r="C30" s="169"/>
      <c r="D30" s="169"/>
      <c r="E30" s="105"/>
    </row>
    <row r="31" spans="1:5" s="180" customFormat="1" ht="12" customHeight="1" thickBot="1">
      <c r="A31" s="14" t="s">
        <v>113</v>
      </c>
      <c r="B31" s="183" t="s">
        <v>178</v>
      </c>
      <c r="C31" s="171"/>
      <c r="D31" s="171"/>
      <c r="E31" s="107"/>
    </row>
    <row r="32" spans="1:5" s="180" customFormat="1" ht="12" customHeight="1" thickBot="1">
      <c r="A32" s="18" t="s">
        <v>114</v>
      </c>
      <c r="B32" s="19" t="s">
        <v>483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>
      <c r="A33" s="13" t="s">
        <v>179</v>
      </c>
      <c r="B33" s="181" t="s">
        <v>484</v>
      </c>
      <c r="C33" s="170">
        <f>+C34+C35+C36</f>
        <v>0</v>
      </c>
      <c r="D33" s="170">
        <f>+D34+D35+D36</f>
        <v>0</v>
      </c>
      <c r="E33" s="106">
        <f>+E34+E35+E36</f>
        <v>0</v>
      </c>
    </row>
    <row r="34" spans="1:5" s="180" customFormat="1" ht="12" customHeight="1">
      <c r="A34" s="12" t="s">
        <v>180</v>
      </c>
      <c r="B34" s="182" t="s">
        <v>485</v>
      </c>
      <c r="C34" s="169"/>
      <c r="D34" s="169"/>
      <c r="E34" s="105"/>
    </row>
    <row r="35" spans="1:5" s="180" customFormat="1" ht="12" customHeight="1">
      <c r="A35" s="12" t="s">
        <v>181</v>
      </c>
      <c r="B35" s="182" t="s">
        <v>486</v>
      </c>
      <c r="C35" s="169"/>
      <c r="D35" s="169"/>
      <c r="E35" s="105"/>
    </row>
    <row r="36" spans="1:5" s="180" customFormat="1" ht="12" customHeight="1">
      <c r="A36" s="12" t="s">
        <v>182</v>
      </c>
      <c r="B36" s="182" t="s">
        <v>487</v>
      </c>
      <c r="C36" s="169"/>
      <c r="D36" s="169"/>
      <c r="E36" s="105"/>
    </row>
    <row r="37" spans="1:5" s="180" customFormat="1" ht="12" customHeight="1">
      <c r="A37" s="12" t="s">
        <v>488</v>
      </c>
      <c r="B37" s="182" t="s">
        <v>183</v>
      </c>
      <c r="C37" s="169"/>
      <c r="D37" s="169"/>
      <c r="E37" s="105"/>
    </row>
    <row r="38" spans="1:5" s="180" customFormat="1" ht="12" customHeight="1">
      <c r="A38" s="12" t="s">
        <v>489</v>
      </c>
      <c r="B38" s="182" t="s">
        <v>184</v>
      </c>
      <c r="C38" s="169"/>
      <c r="D38" s="169"/>
      <c r="E38" s="105"/>
    </row>
    <row r="39" spans="1:5" s="180" customFormat="1" ht="12" customHeight="1" thickBot="1">
      <c r="A39" s="14" t="s">
        <v>490</v>
      </c>
      <c r="B39" s="331" t="s">
        <v>185</v>
      </c>
      <c r="C39" s="171"/>
      <c r="D39" s="171"/>
      <c r="E39" s="107"/>
    </row>
    <row r="40" spans="1:5" s="180" customFormat="1" ht="12" customHeight="1" thickBot="1">
      <c r="A40" s="18" t="s">
        <v>10</v>
      </c>
      <c r="B40" s="19" t="s">
        <v>339</v>
      </c>
      <c r="C40" s="168">
        <f>SUM(C41:C51)</f>
        <v>0</v>
      </c>
      <c r="D40" s="168">
        <f>SUM(D41:D51)</f>
        <v>0</v>
      </c>
      <c r="E40" s="104">
        <f>SUM(E41:E51)</f>
        <v>0</v>
      </c>
    </row>
    <row r="41" spans="1:5" s="180" customFormat="1" ht="12" customHeight="1">
      <c r="A41" s="13" t="s">
        <v>57</v>
      </c>
      <c r="B41" s="181" t="s">
        <v>188</v>
      </c>
      <c r="C41" s="170"/>
      <c r="D41" s="170"/>
      <c r="E41" s="106"/>
    </row>
    <row r="42" spans="1:5" s="180" customFormat="1" ht="12" customHeight="1">
      <c r="A42" s="12" t="s">
        <v>58</v>
      </c>
      <c r="B42" s="182" t="s">
        <v>189</v>
      </c>
      <c r="C42" s="169"/>
      <c r="D42" s="169"/>
      <c r="E42" s="105"/>
    </row>
    <row r="43" spans="1:5" s="180" customFormat="1" ht="12" customHeight="1">
      <c r="A43" s="12" t="s">
        <v>59</v>
      </c>
      <c r="B43" s="182" t="s">
        <v>190</v>
      </c>
      <c r="C43" s="169"/>
      <c r="D43" s="169"/>
      <c r="E43" s="105"/>
    </row>
    <row r="44" spans="1:5" s="180" customFormat="1" ht="12" customHeight="1">
      <c r="A44" s="12" t="s">
        <v>116</v>
      </c>
      <c r="B44" s="182" t="s">
        <v>191</v>
      </c>
      <c r="C44" s="169"/>
      <c r="D44" s="169"/>
      <c r="E44" s="105"/>
    </row>
    <row r="45" spans="1:5" s="180" customFormat="1" ht="12" customHeight="1">
      <c r="A45" s="12" t="s">
        <v>117</v>
      </c>
      <c r="B45" s="182" t="s">
        <v>192</v>
      </c>
      <c r="C45" s="169"/>
      <c r="D45" s="169"/>
      <c r="E45" s="105"/>
    </row>
    <row r="46" spans="1:5" s="180" customFormat="1" ht="12" customHeight="1">
      <c r="A46" s="12" t="s">
        <v>118</v>
      </c>
      <c r="B46" s="182" t="s">
        <v>193</v>
      </c>
      <c r="C46" s="169"/>
      <c r="D46" s="169"/>
      <c r="E46" s="105"/>
    </row>
    <row r="47" spans="1:5" s="180" customFormat="1" ht="12" customHeight="1">
      <c r="A47" s="12" t="s">
        <v>119</v>
      </c>
      <c r="B47" s="182" t="s">
        <v>194</v>
      </c>
      <c r="C47" s="169"/>
      <c r="D47" s="169"/>
      <c r="E47" s="105"/>
    </row>
    <row r="48" spans="1:5" s="180" customFormat="1" ht="12" customHeight="1">
      <c r="A48" s="12" t="s">
        <v>120</v>
      </c>
      <c r="B48" s="182" t="s">
        <v>491</v>
      </c>
      <c r="C48" s="169"/>
      <c r="D48" s="169"/>
      <c r="E48" s="105"/>
    </row>
    <row r="49" spans="1:5" s="180" customFormat="1" ht="12" customHeight="1">
      <c r="A49" s="12" t="s">
        <v>186</v>
      </c>
      <c r="B49" s="182" t="s">
        <v>196</v>
      </c>
      <c r="C49" s="172"/>
      <c r="D49" s="172"/>
      <c r="E49" s="108"/>
    </row>
    <row r="50" spans="1:5" s="180" customFormat="1" ht="12" customHeight="1">
      <c r="A50" s="14" t="s">
        <v>187</v>
      </c>
      <c r="B50" s="183" t="s">
        <v>341</v>
      </c>
      <c r="C50" s="173"/>
      <c r="D50" s="173"/>
      <c r="E50" s="109"/>
    </row>
    <row r="51" spans="1:5" s="180" customFormat="1" ht="12" customHeight="1" thickBot="1">
      <c r="A51" s="14" t="s">
        <v>340</v>
      </c>
      <c r="B51" s="113" t="s">
        <v>197</v>
      </c>
      <c r="C51" s="173"/>
      <c r="D51" s="173"/>
      <c r="E51" s="109"/>
    </row>
    <row r="52" spans="1:5" s="180" customFormat="1" ht="12" customHeight="1" thickBot="1">
      <c r="A52" s="18" t="s">
        <v>11</v>
      </c>
      <c r="B52" s="19" t="s">
        <v>198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60</v>
      </c>
      <c r="B53" s="181" t="s">
        <v>202</v>
      </c>
      <c r="C53" s="221"/>
      <c r="D53" s="221"/>
      <c r="E53" s="110"/>
    </row>
    <row r="54" spans="1:5" s="180" customFormat="1" ht="12" customHeight="1">
      <c r="A54" s="12" t="s">
        <v>61</v>
      </c>
      <c r="B54" s="182" t="s">
        <v>203</v>
      </c>
      <c r="C54" s="172"/>
      <c r="D54" s="172"/>
      <c r="E54" s="108"/>
    </row>
    <row r="55" spans="1:5" s="180" customFormat="1" ht="12" customHeight="1">
      <c r="A55" s="12" t="s">
        <v>199</v>
      </c>
      <c r="B55" s="182" t="s">
        <v>204</v>
      </c>
      <c r="C55" s="172"/>
      <c r="D55" s="172"/>
      <c r="E55" s="108"/>
    </row>
    <row r="56" spans="1:5" s="180" customFormat="1" ht="12" customHeight="1">
      <c r="A56" s="12" t="s">
        <v>200</v>
      </c>
      <c r="B56" s="182" t="s">
        <v>205</v>
      </c>
      <c r="C56" s="172"/>
      <c r="D56" s="172"/>
      <c r="E56" s="108"/>
    </row>
    <row r="57" spans="1:5" s="180" customFormat="1" ht="12" customHeight="1" thickBot="1">
      <c r="A57" s="14" t="s">
        <v>201</v>
      </c>
      <c r="B57" s="113" t="s">
        <v>206</v>
      </c>
      <c r="C57" s="173"/>
      <c r="D57" s="173"/>
      <c r="E57" s="109"/>
    </row>
    <row r="58" spans="1:5" s="180" customFormat="1" ht="12" customHeight="1" thickBot="1">
      <c r="A58" s="18" t="s">
        <v>121</v>
      </c>
      <c r="B58" s="19" t="s">
        <v>207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62</v>
      </c>
      <c r="B59" s="181" t="s">
        <v>208</v>
      </c>
      <c r="C59" s="170"/>
      <c r="D59" s="170"/>
      <c r="E59" s="106"/>
    </row>
    <row r="60" spans="1:5" s="180" customFormat="1" ht="12" customHeight="1">
      <c r="A60" s="12" t="s">
        <v>63</v>
      </c>
      <c r="B60" s="182" t="s">
        <v>333</v>
      </c>
      <c r="C60" s="169"/>
      <c r="D60" s="169"/>
      <c r="E60" s="105"/>
    </row>
    <row r="61" spans="1:5" s="180" customFormat="1" ht="12" customHeight="1">
      <c r="A61" s="12" t="s">
        <v>211</v>
      </c>
      <c r="B61" s="182" t="s">
        <v>209</v>
      </c>
      <c r="C61" s="169"/>
      <c r="D61" s="169"/>
      <c r="E61" s="105"/>
    </row>
    <row r="62" spans="1:5" s="180" customFormat="1" ht="12" customHeight="1" thickBot="1">
      <c r="A62" s="14" t="s">
        <v>212</v>
      </c>
      <c r="B62" s="113" t="s">
        <v>210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213</v>
      </c>
      <c r="C63" s="168">
        <f>SUM(C64:C66)</f>
        <v>0</v>
      </c>
      <c r="D63" s="168">
        <f>SUM(D64:D66)</f>
        <v>0</v>
      </c>
      <c r="E63" s="104">
        <f>SUM(E64:E66)</f>
        <v>0</v>
      </c>
    </row>
    <row r="64" spans="1:5" s="180" customFormat="1" ht="12" customHeight="1">
      <c r="A64" s="13" t="s">
        <v>122</v>
      </c>
      <c r="B64" s="181" t="s">
        <v>215</v>
      </c>
      <c r="C64" s="172"/>
      <c r="D64" s="172"/>
      <c r="E64" s="108"/>
    </row>
    <row r="65" spans="1:5" s="180" customFormat="1" ht="12" customHeight="1">
      <c r="A65" s="12" t="s">
        <v>123</v>
      </c>
      <c r="B65" s="182" t="s">
        <v>334</v>
      </c>
      <c r="C65" s="172"/>
      <c r="D65" s="172"/>
      <c r="E65" s="108"/>
    </row>
    <row r="66" spans="1:5" s="180" customFormat="1" ht="12" customHeight="1">
      <c r="A66" s="12" t="s">
        <v>146</v>
      </c>
      <c r="B66" s="182" t="s">
        <v>216</v>
      </c>
      <c r="C66" s="172"/>
      <c r="D66" s="172"/>
      <c r="E66" s="108"/>
    </row>
    <row r="67" spans="1:5" s="180" customFormat="1" ht="12" customHeight="1" thickBot="1">
      <c r="A67" s="14" t="s">
        <v>214</v>
      </c>
      <c r="B67" s="113" t="s">
        <v>217</v>
      </c>
      <c r="C67" s="172"/>
      <c r="D67" s="172"/>
      <c r="E67" s="108"/>
    </row>
    <row r="68" spans="1:5" s="180" customFormat="1" ht="12" customHeight="1" thickBot="1">
      <c r="A68" s="235" t="s">
        <v>381</v>
      </c>
      <c r="B68" s="19" t="s">
        <v>218</v>
      </c>
      <c r="C68" s="174">
        <f>+C11+C18+C25+C32+C40+C52+C58+C63</f>
        <v>0</v>
      </c>
      <c r="D68" s="174">
        <f>+D11+D18+D25+D32+D40+D52+D58+D63</f>
        <v>0</v>
      </c>
      <c r="E68" s="210">
        <f>+E11+E18+E25+E32+E40+E52+E58+E63</f>
        <v>0</v>
      </c>
    </row>
    <row r="69" spans="1:5" s="180" customFormat="1" ht="12" customHeight="1" thickBot="1">
      <c r="A69" s="222" t="s">
        <v>219</v>
      </c>
      <c r="B69" s="111" t="s">
        <v>220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248</v>
      </c>
      <c r="B70" s="181" t="s">
        <v>221</v>
      </c>
      <c r="C70" s="172"/>
      <c r="D70" s="172"/>
      <c r="E70" s="108"/>
    </row>
    <row r="71" spans="1:5" s="180" customFormat="1" ht="12" customHeight="1">
      <c r="A71" s="12" t="s">
        <v>257</v>
      </c>
      <c r="B71" s="182" t="s">
        <v>222</v>
      </c>
      <c r="C71" s="172"/>
      <c r="D71" s="172"/>
      <c r="E71" s="108"/>
    </row>
    <row r="72" spans="1:5" s="180" customFormat="1" ht="12" customHeight="1" thickBot="1">
      <c r="A72" s="14" t="s">
        <v>258</v>
      </c>
      <c r="B72" s="231" t="s">
        <v>366</v>
      </c>
      <c r="C72" s="172"/>
      <c r="D72" s="172"/>
      <c r="E72" s="108"/>
    </row>
    <row r="73" spans="1:5" s="180" customFormat="1" ht="12" customHeight="1" thickBot="1">
      <c r="A73" s="222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180" customFormat="1" ht="12" customHeight="1">
      <c r="A74" s="13" t="s">
        <v>100</v>
      </c>
      <c r="B74" s="359" t="s">
        <v>226</v>
      </c>
      <c r="C74" s="172"/>
      <c r="D74" s="172"/>
      <c r="E74" s="108"/>
    </row>
    <row r="75" spans="1:5" s="180" customFormat="1" ht="12" customHeight="1">
      <c r="A75" s="12" t="s">
        <v>101</v>
      </c>
      <c r="B75" s="359" t="s">
        <v>498</v>
      </c>
      <c r="C75" s="172"/>
      <c r="D75" s="172"/>
      <c r="E75" s="108"/>
    </row>
    <row r="76" spans="1:5" s="180" customFormat="1" ht="12" customHeight="1">
      <c r="A76" s="12" t="s">
        <v>249</v>
      </c>
      <c r="B76" s="359" t="s">
        <v>227</v>
      </c>
      <c r="C76" s="172"/>
      <c r="D76" s="172"/>
      <c r="E76" s="108"/>
    </row>
    <row r="77" spans="1:5" s="180" customFormat="1" ht="12" customHeight="1" thickBot="1">
      <c r="A77" s="14" t="s">
        <v>250</v>
      </c>
      <c r="B77" s="360" t="s">
        <v>499</v>
      </c>
      <c r="C77" s="172"/>
      <c r="D77" s="172"/>
      <c r="E77" s="108"/>
    </row>
    <row r="78" spans="1:5" s="180" customFormat="1" ht="12" customHeight="1" thickBot="1">
      <c r="A78" s="222" t="s">
        <v>228</v>
      </c>
      <c r="B78" s="111" t="s">
        <v>229</v>
      </c>
      <c r="C78" s="168">
        <f>SUM(C79:C80)</f>
        <v>0</v>
      </c>
      <c r="D78" s="168">
        <f>SUM(D79:D80)</f>
        <v>0</v>
      </c>
      <c r="E78" s="104">
        <f>SUM(E79:E80)</f>
        <v>0</v>
      </c>
    </row>
    <row r="79" spans="1:5" s="180" customFormat="1" ht="12" customHeight="1">
      <c r="A79" s="13" t="s">
        <v>251</v>
      </c>
      <c r="B79" s="181" t="s">
        <v>230</v>
      </c>
      <c r="C79" s="172"/>
      <c r="D79" s="172"/>
      <c r="E79" s="108"/>
    </row>
    <row r="80" spans="1:5" s="180" customFormat="1" ht="12" customHeight="1" thickBot="1">
      <c r="A80" s="14" t="s">
        <v>252</v>
      </c>
      <c r="B80" s="113" t="s">
        <v>231</v>
      </c>
      <c r="C80" s="172"/>
      <c r="D80" s="172"/>
      <c r="E80" s="108"/>
    </row>
    <row r="81" spans="1:5" s="180" customFormat="1" ht="12" customHeight="1" thickBot="1">
      <c r="A81" s="222" t="s">
        <v>232</v>
      </c>
      <c r="B81" s="111" t="s">
        <v>233</v>
      </c>
      <c r="C81" s="168">
        <f>SUM(C82:C84)</f>
        <v>0</v>
      </c>
      <c r="D81" s="168">
        <f>SUM(D82:D84)</f>
        <v>0</v>
      </c>
      <c r="E81" s="104">
        <f>SUM(E82:E84)</f>
        <v>0</v>
      </c>
    </row>
    <row r="82" spans="1:5" s="180" customFormat="1" ht="12" customHeight="1">
      <c r="A82" s="13" t="s">
        <v>253</v>
      </c>
      <c r="B82" s="181" t="s">
        <v>234</v>
      </c>
      <c r="C82" s="172"/>
      <c r="D82" s="172"/>
      <c r="E82" s="108"/>
    </row>
    <row r="83" spans="1:5" s="180" customFormat="1" ht="12" customHeight="1">
      <c r="A83" s="12" t="s">
        <v>254</v>
      </c>
      <c r="B83" s="182" t="s">
        <v>235</v>
      </c>
      <c r="C83" s="172"/>
      <c r="D83" s="172"/>
      <c r="E83" s="108"/>
    </row>
    <row r="84" spans="1:5" s="180" customFormat="1" ht="12" customHeight="1" thickBot="1">
      <c r="A84" s="14" t="s">
        <v>255</v>
      </c>
      <c r="B84" s="113" t="s">
        <v>500</v>
      </c>
      <c r="C84" s="172"/>
      <c r="D84" s="172"/>
      <c r="E84" s="108"/>
    </row>
    <row r="85" spans="1:5" s="180" customFormat="1" ht="12" customHeight="1" thickBot="1">
      <c r="A85" s="222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237</v>
      </c>
      <c r="B86" s="181" t="s">
        <v>238</v>
      </c>
      <c r="C86" s="172"/>
      <c r="D86" s="172"/>
      <c r="E86" s="108"/>
    </row>
    <row r="87" spans="1:5" s="180" customFormat="1" ht="12" customHeight="1">
      <c r="A87" s="186" t="s">
        <v>239</v>
      </c>
      <c r="B87" s="182" t="s">
        <v>240</v>
      </c>
      <c r="C87" s="172"/>
      <c r="D87" s="172"/>
      <c r="E87" s="108"/>
    </row>
    <row r="88" spans="1:5" s="180" customFormat="1" ht="12" customHeight="1">
      <c r="A88" s="186" t="s">
        <v>241</v>
      </c>
      <c r="B88" s="182" t="s">
        <v>242</v>
      </c>
      <c r="C88" s="172"/>
      <c r="D88" s="172"/>
      <c r="E88" s="108"/>
    </row>
    <row r="89" spans="1:5" s="180" customFormat="1" ht="12" customHeight="1" thickBot="1">
      <c r="A89" s="187" t="s">
        <v>243</v>
      </c>
      <c r="B89" s="113" t="s">
        <v>244</v>
      </c>
      <c r="C89" s="172"/>
      <c r="D89" s="172"/>
      <c r="E89" s="108"/>
    </row>
    <row r="90" spans="1:5" s="180" customFormat="1" ht="12" customHeight="1" thickBot="1">
      <c r="A90" s="222" t="s">
        <v>245</v>
      </c>
      <c r="B90" s="111" t="s">
        <v>380</v>
      </c>
      <c r="C90" s="224"/>
      <c r="D90" s="224"/>
      <c r="E90" s="225"/>
    </row>
    <row r="91" spans="1:5" s="180" customFormat="1" ht="13.5" customHeight="1" thickBot="1">
      <c r="A91" s="222" t="s">
        <v>247</v>
      </c>
      <c r="B91" s="111" t="s">
        <v>246</v>
      </c>
      <c r="C91" s="224"/>
      <c r="D91" s="224"/>
      <c r="E91" s="225"/>
    </row>
    <row r="92" spans="1:5" s="180" customFormat="1" ht="15.75" customHeight="1" thickBot="1">
      <c r="A92" s="222" t="s">
        <v>259</v>
      </c>
      <c r="B92" s="188" t="s">
        <v>383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382</v>
      </c>
      <c r="B93" s="189" t="s">
        <v>384</v>
      </c>
      <c r="C93" s="174">
        <f>+C68+C92</f>
        <v>0</v>
      </c>
      <c r="D93" s="174">
        <f>+D68+D92</f>
        <v>0</v>
      </c>
      <c r="E93" s="210">
        <f>+E68+E92</f>
        <v>0</v>
      </c>
    </row>
    <row r="94" spans="1:3" s="180" customFormat="1" ht="15" customHeight="1">
      <c r="A94" s="3"/>
      <c r="B94" s="4"/>
      <c r="C94" s="115"/>
    </row>
    <row r="95" spans="1:5" ht="16.5" customHeight="1">
      <c r="A95" s="845" t="s">
        <v>34</v>
      </c>
      <c r="B95" s="845"/>
      <c r="C95" s="845"/>
      <c r="D95" s="845"/>
      <c r="E95" s="845"/>
    </row>
    <row r="96" spans="1:5" s="190" customFormat="1" ht="16.5" customHeight="1" thickBot="1">
      <c r="A96" s="847" t="s">
        <v>103</v>
      </c>
      <c r="B96" s="847"/>
      <c r="C96" s="62"/>
      <c r="E96" s="62" t="str">
        <f>E7</f>
        <v> Forintban!</v>
      </c>
    </row>
    <row r="97" spans="1:5" ht="15">
      <c r="A97" s="854" t="s">
        <v>52</v>
      </c>
      <c r="B97" s="856" t="s">
        <v>424</v>
      </c>
      <c r="C97" s="840" t="str">
        <f>+CONCATENATE(LEFT(Z_ÖSSZEFÜGGÉSEK!A6,4),". évi")</f>
        <v>2022. évi</v>
      </c>
      <c r="D97" s="841"/>
      <c r="E97" s="842"/>
    </row>
    <row r="98" spans="1:5" ht="23.25" thickBot="1">
      <c r="A98" s="855"/>
      <c r="B98" s="857"/>
      <c r="C98" s="252" t="s">
        <v>422</v>
      </c>
      <c r="D98" s="251" t="s">
        <v>423</v>
      </c>
      <c r="E98" s="361" t="str">
        <f>CONCATENATE(E9)</f>
        <v>2022. XII. 31.
teljesítés</v>
      </c>
    </row>
    <row r="99" spans="1:5" s="179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63" t="s">
        <v>392</v>
      </c>
    </row>
    <row r="100" spans="1:5" ht="12" customHeight="1" thickBot="1">
      <c r="A100" s="20" t="s">
        <v>6</v>
      </c>
      <c r="B100" s="24" t="s">
        <v>342</v>
      </c>
      <c r="C100" s="167">
        <f>C101+C102+C103+C104+C105+C118</f>
        <v>0</v>
      </c>
      <c r="D100" s="167">
        <f>D101+D102+D103+D104+D105+D118</f>
        <v>0</v>
      </c>
      <c r="E100" s="238">
        <f>E101+E102+E103+E104+E105+E118</f>
        <v>0</v>
      </c>
    </row>
    <row r="101" spans="1:5" ht="12" customHeight="1">
      <c r="A101" s="15" t="s">
        <v>64</v>
      </c>
      <c r="B101" s="8" t="s">
        <v>35</v>
      </c>
      <c r="C101" s="245"/>
      <c r="D101" s="245"/>
      <c r="E101" s="239"/>
    </row>
    <row r="102" spans="1:5" ht="12" customHeight="1">
      <c r="A102" s="12" t="s">
        <v>65</v>
      </c>
      <c r="B102" s="6" t="s">
        <v>124</v>
      </c>
      <c r="C102" s="169"/>
      <c r="D102" s="169"/>
      <c r="E102" s="105"/>
    </row>
    <row r="103" spans="1:5" ht="12" customHeight="1">
      <c r="A103" s="12" t="s">
        <v>66</v>
      </c>
      <c r="B103" s="6" t="s">
        <v>92</v>
      </c>
      <c r="C103" s="171"/>
      <c r="D103" s="171"/>
      <c r="E103" s="107"/>
    </row>
    <row r="104" spans="1:5" ht="12" customHeight="1">
      <c r="A104" s="12" t="s">
        <v>67</v>
      </c>
      <c r="B104" s="9" t="s">
        <v>125</v>
      </c>
      <c r="C104" s="171"/>
      <c r="D104" s="171"/>
      <c r="E104" s="107"/>
    </row>
    <row r="105" spans="1:5" ht="12" customHeight="1">
      <c r="A105" s="12" t="s">
        <v>76</v>
      </c>
      <c r="B105" s="17" t="s">
        <v>126</v>
      </c>
      <c r="C105" s="171"/>
      <c r="D105" s="171"/>
      <c r="E105" s="107"/>
    </row>
    <row r="106" spans="1:5" ht="12" customHeight="1">
      <c r="A106" s="12" t="s">
        <v>68</v>
      </c>
      <c r="B106" s="6" t="s">
        <v>347</v>
      </c>
      <c r="C106" s="171"/>
      <c r="D106" s="171"/>
      <c r="E106" s="107"/>
    </row>
    <row r="107" spans="1:5" ht="12" customHeight="1">
      <c r="A107" s="12" t="s">
        <v>69</v>
      </c>
      <c r="B107" s="66" t="s">
        <v>346</v>
      </c>
      <c r="C107" s="171"/>
      <c r="D107" s="171"/>
      <c r="E107" s="107"/>
    </row>
    <row r="108" spans="1:5" ht="12" customHeight="1">
      <c r="A108" s="12" t="s">
        <v>77</v>
      </c>
      <c r="B108" s="66" t="s">
        <v>345</v>
      </c>
      <c r="C108" s="171"/>
      <c r="D108" s="171"/>
      <c r="E108" s="107"/>
    </row>
    <row r="109" spans="1:5" ht="12" customHeight="1">
      <c r="A109" s="12" t="s">
        <v>78</v>
      </c>
      <c r="B109" s="64" t="s">
        <v>262</v>
      </c>
      <c r="C109" s="171"/>
      <c r="D109" s="171"/>
      <c r="E109" s="107"/>
    </row>
    <row r="110" spans="1:5" ht="12" customHeight="1">
      <c r="A110" s="12" t="s">
        <v>79</v>
      </c>
      <c r="B110" s="65" t="s">
        <v>263</v>
      </c>
      <c r="C110" s="171"/>
      <c r="D110" s="171"/>
      <c r="E110" s="107"/>
    </row>
    <row r="111" spans="1:5" ht="12" customHeight="1">
      <c r="A111" s="12" t="s">
        <v>80</v>
      </c>
      <c r="B111" s="65" t="s">
        <v>264</v>
      </c>
      <c r="C111" s="171"/>
      <c r="D111" s="171"/>
      <c r="E111" s="107"/>
    </row>
    <row r="112" spans="1:5" ht="12" customHeight="1">
      <c r="A112" s="12" t="s">
        <v>82</v>
      </c>
      <c r="B112" s="64" t="s">
        <v>265</v>
      </c>
      <c r="C112" s="171"/>
      <c r="D112" s="171"/>
      <c r="E112" s="107"/>
    </row>
    <row r="113" spans="1:5" ht="12" customHeight="1">
      <c r="A113" s="12" t="s">
        <v>127</v>
      </c>
      <c r="B113" s="64" t="s">
        <v>266</v>
      </c>
      <c r="C113" s="171"/>
      <c r="D113" s="171"/>
      <c r="E113" s="107"/>
    </row>
    <row r="114" spans="1:5" ht="12" customHeight="1">
      <c r="A114" s="12" t="s">
        <v>260</v>
      </c>
      <c r="B114" s="65" t="s">
        <v>267</v>
      </c>
      <c r="C114" s="171"/>
      <c r="D114" s="171"/>
      <c r="E114" s="107"/>
    </row>
    <row r="115" spans="1:5" ht="12" customHeight="1">
      <c r="A115" s="11" t="s">
        <v>261</v>
      </c>
      <c r="B115" s="66" t="s">
        <v>268</v>
      </c>
      <c r="C115" s="171"/>
      <c r="D115" s="171"/>
      <c r="E115" s="107"/>
    </row>
    <row r="116" spans="1:5" ht="12" customHeight="1">
      <c r="A116" s="12" t="s">
        <v>343</v>
      </c>
      <c r="B116" s="66" t="s">
        <v>269</v>
      </c>
      <c r="C116" s="171"/>
      <c r="D116" s="171"/>
      <c r="E116" s="107"/>
    </row>
    <row r="117" spans="1:5" ht="12" customHeight="1">
      <c r="A117" s="14" t="s">
        <v>344</v>
      </c>
      <c r="B117" s="66" t="s">
        <v>270</v>
      </c>
      <c r="C117" s="171"/>
      <c r="D117" s="171"/>
      <c r="E117" s="107"/>
    </row>
    <row r="118" spans="1:5" ht="12" customHeight="1">
      <c r="A118" s="12" t="s">
        <v>348</v>
      </c>
      <c r="B118" s="9" t="s">
        <v>36</v>
      </c>
      <c r="C118" s="169"/>
      <c r="D118" s="169"/>
      <c r="E118" s="105"/>
    </row>
    <row r="119" spans="1:5" ht="12" customHeight="1">
      <c r="A119" s="12" t="s">
        <v>349</v>
      </c>
      <c r="B119" s="6" t="s">
        <v>351</v>
      </c>
      <c r="C119" s="169"/>
      <c r="D119" s="169"/>
      <c r="E119" s="105"/>
    </row>
    <row r="120" spans="1:5" ht="12" customHeight="1" thickBot="1">
      <c r="A120" s="16" t="s">
        <v>350</v>
      </c>
      <c r="B120" s="234" t="s">
        <v>352</v>
      </c>
      <c r="C120" s="246"/>
      <c r="D120" s="246"/>
      <c r="E120" s="240"/>
    </row>
    <row r="121" spans="1:5" ht="12" customHeight="1" thickBot="1">
      <c r="A121" s="232" t="s">
        <v>7</v>
      </c>
      <c r="B121" s="233" t="s">
        <v>271</v>
      </c>
      <c r="C121" s="247">
        <f>+C122+C124+C126</f>
        <v>0</v>
      </c>
      <c r="D121" s="168">
        <f>+D122+D124+D126</f>
        <v>0</v>
      </c>
      <c r="E121" s="241">
        <f>+E122+E124+E126</f>
        <v>0</v>
      </c>
    </row>
    <row r="122" spans="1:5" ht="12" customHeight="1">
      <c r="A122" s="13" t="s">
        <v>70</v>
      </c>
      <c r="B122" s="6" t="s">
        <v>145</v>
      </c>
      <c r="C122" s="170"/>
      <c r="D122" s="256"/>
      <c r="E122" s="106"/>
    </row>
    <row r="123" spans="1:5" ht="12" customHeight="1">
      <c r="A123" s="13" t="s">
        <v>71</v>
      </c>
      <c r="B123" s="10" t="s">
        <v>275</v>
      </c>
      <c r="C123" s="170"/>
      <c r="D123" s="256"/>
      <c r="E123" s="106"/>
    </row>
    <row r="124" spans="1:5" ht="12" customHeight="1">
      <c r="A124" s="13" t="s">
        <v>72</v>
      </c>
      <c r="B124" s="10" t="s">
        <v>128</v>
      </c>
      <c r="C124" s="169"/>
      <c r="D124" s="257"/>
      <c r="E124" s="105"/>
    </row>
    <row r="125" spans="1:5" ht="12" customHeight="1">
      <c r="A125" s="13" t="s">
        <v>73</v>
      </c>
      <c r="B125" s="10" t="s">
        <v>276</v>
      </c>
      <c r="C125" s="169"/>
      <c r="D125" s="257"/>
      <c r="E125" s="105"/>
    </row>
    <row r="126" spans="1:5" ht="12" customHeight="1">
      <c r="A126" s="13" t="s">
        <v>74</v>
      </c>
      <c r="B126" s="113" t="s">
        <v>147</v>
      </c>
      <c r="C126" s="169"/>
      <c r="D126" s="257"/>
      <c r="E126" s="105"/>
    </row>
    <row r="127" spans="1:5" ht="12" customHeight="1">
      <c r="A127" s="13" t="s">
        <v>81</v>
      </c>
      <c r="B127" s="112" t="s">
        <v>335</v>
      </c>
      <c r="C127" s="169"/>
      <c r="D127" s="257"/>
      <c r="E127" s="105"/>
    </row>
    <row r="128" spans="1:5" ht="12" customHeight="1">
      <c r="A128" s="13" t="s">
        <v>83</v>
      </c>
      <c r="B128" s="177" t="s">
        <v>281</v>
      </c>
      <c r="C128" s="169"/>
      <c r="D128" s="257"/>
      <c r="E128" s="105"/>
    </row>
    <row r="129" spans="1:5" ht="15">
      <c r="A129" s="13" t="s">
        <v>129</v>
      </c>
      <c r="B129" s="65" t="s">
        <v>264</v>
      </c>
      <c r="C129" s="169"/>
      <c r="D129" s="257"/>
      <c r="E129" s="105"/>
    </row>
    <row r="130" spans="1:5" ht="12" customHeight="1">
      <c r="A130" s="13" t="s">
        <v>130</v>
      </c>
      <c r="B130" s="65" t="s">
        <v>280</v>
      </c>
      <c r="C130" s="169"/>
      <c r="D130" s="257"/>
      <c r="E130" s="105"/>
    </row>
    <row r="131" spans="1:5" ht="12" customHeight="1">
      <c r="A131" s="13" t="s">
        <v>131</v>
      </c>
      <c r="B131" s="65" t="s">
        <v>279</v>
      </c>
      <c r="C131" s="169"/>
      <c r="D131" s="257"/>
      <c r="E131" s="105"/>
    </row>
    <row r="132" spans="1:5" ht="12" customHeight="1">
      <c r="A132" s="13" t="s">
        <v>272</v>
      </c>
      <c r="B132" s="65" t="s">
        <v>267</v>
      </c>
      <c r="C132" s="169"/>
      <c r="D132" s="257"/>
      <c r="E132" s="105"/>
    </row>
    <row r="133" spans="1:5" ht="12" customHeight="1">
      <c r="A133" s="13" t="s">
        <v>273</v>
      </c>
      <c r="B133" s="65" t="s">
        <v>278</v>
      </c>
      <c r="C133" s="169"/>
      <c r="D133" s="257"/>
      <c r="E133" s="105"/>
    </row>
    <row r="134" spans="1:5" ht="15.75" thickBot="1">
      <c r="A134" s="11" t="s">
        <v>274</v>
      </c>
      <c r="B134" s="65" t="s">
        <v>277</v>
      </c>
      <c r="C134" s="171"/>
      <c r="D134" s="258"/>
      <c r="E134" s="107"/>
    </row>
    <row r="135" spans="1:5" ht="12" customHeight="1" thickBot="1">
      <c r="A135" s="18" t="s">
        <v>8</v>
      </c>
      <c r="B135" s="58" t="s">
        <v>353</v>
      </c>
      <c r="C135" s="168">
        <f>+C100+C121</f>
        <v>0</v>
      </c>
      <c r="D135" s="255">
        <f>+D100+D121</f>
        <v>0</v>
      </c>
      <c r="E135" s="104">
        <f>+E100+E121</f>
        <v>0</v>
      </c>
    </row>
    <row r="136" spans="1:5" ht="12" customHeight="1" thickBot="1">
      <c r="A136" s="18" t="s">
        <v>9</v>
      </c>
      <c r="B136" s="58" t="s">
        <v>425</v>
      </c>
      <c r="C136" s="168">
        <f>+C137+C138+C139</f>
        <v>0</v>
      </c>
      <c r="D136" s="255">
        <f>+D137+D138+D139</f>
        <v>0</v>
      </c>
      <c r="E136" s="104">
        <f>+E137+E138+E139</f>
        <v>0</v>
      </c>
    </row>
    <row r="137" spans="1:5" ht="12" customHeight="1">
      <c r="A137" s="13" t="s">
        <v>179</v>
      </c>
      <c r="B137" s="10" t="s">
        <v>361</v>
      </c>
      <c r="C137" s="169"/>
      <c r="D137" s="257"/>
      <c r="E137" s="105"/>
    </row>
    <row r="138" spans="1:5" ht="12" customHeight="1">
      <c r="A138" s="13" t="s">
        <v>180</v>
      </c>
      <c r="B138" s="10" t="s">
        <v>362</v>
      </c>
      <c r="C138" s="169"/>
      <c r="D138" s="257"/>
      <c r="E138" s="105"/>
    </row>
    <row r="139" spans="1:5" ht="12" customHeight="1" thickBot="1">
      <c r="A139" s="11" t="s">
        <v>181</v>
      </c>
      <c r="B139" s="10" t="s">
        <v>363</v>
      </c>
      <c r="C139" s="169"/>
      <c r="D139" s="257"/>
      <c r="E139" s="105"/>
    </row>
    <row r="140" spans="1:5" ht="12" customHeight="1" thickBot="1">
      <c r="A140" s="18" t="s">
        <v>10</v>
      </c>
      <c r="B140" s="58" t="s">
        <v>355</v>
      </c>
      <c r="C140" s="168">
        <f>SUM(C141:C146)</f>
        <v>0</v>
      </c>
      <c r="D140" s="255">
        <f>SUM(D141:D146)</f>
        <v>0</v>
      </c>
      <c r="E140" s="104">
        <f>SUM(E141:E146)</f>
        <v>0</v>
      </c>
    </row>
    <row r="141" spans="1:5" ht="12" customHeight="1">
      <c r="A141" s="13" t="s">
        <v>57</v>
      </c>
      <c r="B141" s="7" t="s">
        <v>364</v>
      </c>
      <c r="C141" s="169"/>
      <c r="D141" s="257"/>
      <c r="E141" s="105"/>
    </row>
    <row r="142" spans="1:5" ht="12" customHeight="1">
      <c r="A142" s="13" t="s">
        <v>58</v>
      </c>
      <c r="B142" s="7" t="s">
        <v>356</v>
      </c>
      <c r="C142" s="169"/>
      <c r="D142" s="257"/>
      <c r="E142" s="105"/>
    </row>
    <row r="143" spans="1:5" ht="12" customHeight="1">
      <c r="A143" s="13" t="s">
        <v>59</v>
      </c>
      <c r="B143" s="7" t="s">
        <v>357</v>
      </c>
      <c r="C143" s="169"/>
      <c r="D143" s="257"/>
      <c r="E143" s="105"/>
    </row>
    <row r="144" spans="1:5" ht="12" customHeight="1">
      <c r="A144" s="13" t="s">
        <v>116</v>
      </c>
      <c r="B144" s="7" t="s">
        <v>358</v>
      </c>
      <c r="C144" s="169"/>
      <c r="D144" s="257"/>
      <c r="E144" s="105"/>
    </row>
    <row r="145" spans="1:5" ht="12" customHeight="1">
      <c r="A145" s="13" t="s">
        <v>117</v>
      </c>
      <c r="B145" s="7" t="s">
        <v>359</v>
      </c>
      <c r="C145" s="169"/>
      <c r="D145" s="257"/>
      <c r="E145" s="105"/>
    </row>
    <row r="146" spans="1:5" ht="12" customHeight="1" thickBot="1">
      <c r="A146" s="16" t="s">
        <v>118</v>
      </c>
      <c r="B146" s="371" t="s">
        <v>360</v>
      </c>
      <c r="C146" s="246"/>
      <c r="D146" s="322"/>
      <c r="E146" s="240"/>
    </row>
    <row r="147" spans="1:5" ht="12" customHeight="1" thickBot="1">
      <c r="A147" s="18" t="s">
        <v>11</v>
      </c>
      <c r="B147" s="58" t="s">
        <v>368</v>
      </c>
      <c r="C147" s="174">
        <f>+C148+C149+C150+C151</f>
        <v>0</v>
      </c>
      <c r="D147" s="259">
        <f>+D148+D149+D150+D151</f>
        <v>0</v>
      </c>
      <c r="E147" s="210">
        <f>+E148+E149+E150+E151</f>
        <v>0</v>
      </c>
    </row>
    <row r="148" spans="1:5" ht="12" customHeight="1">
      <c r="A148" s="13" t="s">
        <v>60</v>
      </c>
      <c r="B148" s="7" t="s">
        <v>282</v>
      </c>
      <c r="C148" s="169"/>
      <c r="D148" s="257"/>
      <c r="E148" s="105"/>
    </row>
    <row r="149" spans="1:5" ht="12" customHeight="1">
      <c r="A149" s="13" t="s">
        <v>61</v>
      </c>
      <c r="B149" s="7" t="s">
        <v>283</v>
      </c>
      <c r="C149" s="169"/>
      <c r="D149" s="257"/>
      <c r="E149" s="105"/>
    </row>
    <row r="150" spans="1:5" ht="12" customHeight="1">
      <c r="A150" s="13" t="s">
        <v>199</v>
      </c>
      <c r="B150" s="7" t="s">
        <v>369</v>
      </c>
      <c r="C150" s="169"/>
      <c r="D150" s="257"/>
      <c r="E150" s="105"/>
    </row>
    <row r="151" spans="1:5" ht="12" customHeight="1" thickBot="1">
      <c r="A151" s="11" t="s">
        <v>200</v>
      </c>
      <c r="B151" s="5" t="s">
        <v>299</v>
      </c>
      <c r="C151" s="169"/>
      <c r="D151" s="257"/>
      <c r="E151" s="105"/>
    </row>
    <row r="152" spans="1:5" ht="12" customHeight="1" thickBot="1">
      <c r="A152" s="18" t="s">
        <v>12</v>
      </c>
      <c r="B152" s="58" t="s">
        <v>370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5" ht="12" customHeight="1">
      <c r="A153" s="13" t="s">
        <v>62</v>
      </c>
      <c r="B153" s="7" t="s">
        <v>365</v>
      </c>
      <c r="C153" s="169"/>
      <c r="D153" s="257"/>
      <c r="E153" s="105"/>
    </row>
    <row r="154" spans="1:5" ht="12" customHeight="1">
      <c r="A154" s="13" t="s">
        <v>63</v>
      </c>
      <c r="B154" s="7" t="s">
        <v>372</v>
      </c>
      <c r="C154" s="169"/>
      <c r="D154" s="257"/>
      <c r="E154" s="105"/>
    </row>
    <row r="155" spans="1:5" ht="12" customHeight="1">
      <c r="A155" s="13" t="s">
        <v>211</v>
      </c>
      <c r="B155" s="7" t="s">
        <v>367</v>
      </c>
      <c r="C155" s="169"/>
      <c r="D155" s="257"/>
      <c r="E155" s="105"/>
    </row>
    <row r="156" spans="1:5" ht="12" customHeight="1">
      <c r="A156" s="13" t="s">
        <v>212</v>
      </c>
      <c r="B156" s="7" t="s">
        <v>373</v>
      </c>
      <c r="C156" s="169"/>
      <c r="D156" s="257"/>
      <c r="E156" s="105"/>
    </row>
    <row r="157" spans="1:5" ht="12" customHeight="1" thickBot="1">
      <c r="A157" s="13" t="s">
        <v>371</v>
      </c>
      <c r="B157" s="7" t="s">
        <v>374</v>
      </c>
      <c r="C157" s="169"/>
      <c r="D157" s="257"/>
      <c r="E157" s="105"/>
    </row>
    <row r="158" spans="1:5" ht="12" customHeight="1" thickBot="1">
      <c r="A158" s="18" t="s">
        <v>13</v>
      </c>
      <c r="B158" s="58" t="s">
        <v>375</v>
      </c>
      <c r="C158" s="249"/>
      <c r="D158" s="261"/>
      <c r="E158" s="243"/>
    </row>
    <row r="159" spans="1:5" ht="12" customHeight="1" thickBot="1">
      <c r="A159" s="18" t="s">
        <v>14</v>
      </c>
      <c r="B159" s="58" t="s">
        <v>376</v>
      </c>
      <c r="C159" s="249"/>
      <c r="D159" s="261"/>
      <c r="E159" s="243"/>
    </row>
    <row r="160" spans="1:9" ht="15" customHeight="1" thickBot="1">
      <c r="A160" s="18" t="s">
        <v>15</v>
      </c>
      <c r="B160" s="58" t="s">
        <v>378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377</v>
      </c>
      <c r="C161" s="250">
        <f>+C135+C160</f>
        <v>0</v>
      </c>
      <c r="D161" s="262">
        <f>+D135+D160</f>
        <v>0</v>
      </c>
      <c r="E161" s="244">
        <f>+E135+E160</f>
        <v>0</v>
      </c>
    </row>
    <row r="162" spans="3:4" ht="15">
      <c r="C162" s="648">
        <f>C93-C161</f>
        <v>0</v>
      </c>
      <c r="D162" s="648">
        <f>D93-D161</f>
        <v>0</v>
      </c>
    </row>
    <row r="163" spans="1:5" ht="15">
      <c r="A163" s="843" t="s">
        <v>284</v>
      </c>
      <c r="B163" s="843"/>
      <c r="C163" s="843"/>
      <c r="D163" s="843"/>
      <c r="E163" s="843"/>
    </row>
    <row r="164" spans="1:5" ht="15" customHeight="1" thickBot="1">
      <c r="A164" s="853" t="s">
        <v>104</v>
      </c>
      <c r="B164" s="853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54">
        <f>+C68-C135</f>
        <v>0</v>
      </c>
      <c r="D165" s="168">
        <f>+D68-D135</f>
        <v>0</v>
      </c>
      <c r="E165" s="104">
        <f>+E68-E135</f>
        <v>0</v>
      </c>
    </row>
    <row r="166" spans="1:5" ht="32.25" customHeight="1" thickBot="1">
      <c r="A166" s="18" t="s">
        <v>7</v>
      </c>
      <c r="B166" s="23" t="s">
        <v>385</v>
      </c>
      <c r="C166" s="168">
        <f>+C92-C160</f>
        <v>0</v>
      </c>
      <c r="D166" s="168">
        <f>+D92-D160</f>
        <v>0</v>
      </c>
      <c r="E166" s="104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="120" zoomScaleNormal="120" zoomScaleSheetLayoutView="130" workbookViewId="0" topLeftCell="A4">
      <selection activeCell="G35" sqref="G35"/>
    </sheetView>
  </sheetViews>
  <sheetFormatPr defaultColWidth="9.375" defaultRowHeight="12.75"/>
  <cols>
    <col min="1" max="1" width="6.75390625" style="33" customWidth="1"/>
    <col min="2" max="2" width="48.00390625" style="73" customWidth="1"/>
    <col min="3" max="5" width="15.50390625" style="33" customWidth="1"/>
    <col min="6" max="6" width="55.1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1:10" ht="39.75" customHeight="1">
      <c r="A1" s="396"/>
      <c r="B1" s="402" t="s">
        <v>108</v>
      </c>
      <c r="C1" s="403"/>
      <c r="D1" s="403"/>
      <c r="E1" s="403"/>
      <c r="F1" s="403"/>
      <c r="G1" s="403"/>
      <c r="H1" s="403"/>
      <c r="I1" s="403"/>
      <c r="J1" s="862" t="str">
        <f>CONCATENATE("5. melléklet ",Z_ALAPADATOK!A7," ",Z_ALAPADATOK!B7," ",Z_ALAPADATOK!C7," ",Z_ALAPADATOK!D7," ",Z_ALAPADATOK!E7," ",Z_ALAPADATOK!F7," ",Z_ALAPADATOK!G7," ",Z_ALAPADATOK!H7)</f>
        <v>5. melléklet a  / 2023. ( V…... ) önkormányzati rendelethez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CONCATENATE(4!E7)</f>
        <v> Forintban!</v>
      </c>
      <c r="J2" s="862"/>
    </row>
    <row r="3" spans="1:10" ht="18" customHeight="1" thickBot="1">
      <c r="A3" s="859" t="s">
        <v>52</v>
      </c>
      <c r="B3" s="405" t="s">
        <v>40</v>
      </c>
      <c r="C3" s="406"/>
      <c r="D3" s="407"/>
      <c r="E3" s="407"/>
      <c r="F3" s="405" t="s">
        <v>41</v>
      </c>
      <c r="G3" s="408"/>
      <c r="H3" s="409"/>
      <c r="I3" s="410"/>
      <c r="J3" s="862"/>
    </row>
    <row r="4" spans="1:10" s="124" customFormat="1" ht="35.25" customHeight="1" thickBot="1">
      <c r="A4" s="860"/>
      <c r="B4" s="398" t="s">
        <v>45</v>
      </c>
      <c r="C4" s="364" t="str">
        <f>+CONCATENATE(1!C8," eredeti előirányzat")</f>
        <v>2022. évi eredeti előirányzat</v>
      </c>
      <c r="D4" s="362" t="str">
        <f>+CONCATENATE(1!C8," módosított előirányzat")</f>
        <v>2022. évi módosított előirányzat</v>
      </c>
      <c r="E4" s="362" t="str">
        <f>CONCATENATE(4!E9)</f>
        <v>2022. XII. 31.
teljesítés</v>
      </c>
      <c r="F4" s="398" t="s">
        <v>45</v>
      </c>
      <c r="G4" s="364" t="str">
        <f>+C4</f>
        <v>2022. évi eredeti előirányzat</v>
      </c>
      <c r="H4" s="364" t="str">
        <f>+D4</f>
        <v>2022. évi módosított előirányzat</v>
      </c>
      <c r="I4" s="363" t="str">
        <f>+E4</f>
        <v>2022. XII. 31.
teljesítés</v>
      </c>
      <c r="J4" s="862"/>
    </row>
    <row r="5" spans="1:10" s="125" customFormat="1" ht="12" customHeight="1" thickBot="1">
      <c r="A5" s="411" t="s">
        <v>389</v>
      </c>
      <c r="B5" s="412" t="s">
        <v>390</v>
      </c>
      <c r="C5" s="413" t="s">
        <v>391</v>
      </c>
      <c r="D5" s="416" t="s">
        <v>393</v>
      </c>
      <c r="E5" s="416" t="s">
        <v>392</v>
      </c>
      <c r="F5" s="412" t="s">
        <v>426</v>
      </c>
      <c r="G5" s="413" t="s">
        <v>395</v>
      </c>
      <c r="H5" s="413" t="s">
        <v>396</v>
      </c>
      <c r="I5" s="417" t="s">
        <v>427</v>
      </c>
      <c r="J5" s="862"/>
    </row>
    <row r="6" spans="1:10" ht="12.75" customHeight="1">
      <c r="A6" s="126" t="s">
        <v>6</v>
      </c>
      <c r="B6" s="127" t="s">
        <v>285</v>
      </c>
      <c r="C6" s="117">
        <v>124238073</v>
      </c>
      <c r="D6" s="117">
        <v>153956476</v>
      </c>
      <c r="E6" s="117">
        <v>153956476</v>
      </c>
      <c r="F6" s="127" t="s">
        <v>46</v>
      </c>
      <c r="G6" s="277">
        <v>216150465</v>
      </c>
      <c r="H6" s="808">
        <v>218069647</v>
      </c>
      <c r="I6" s="268">
        <v>199164001</v>
      </c>
      <c r="J6" s="862"/>
    </row>
    <row r="7" spans="1:10" ht="12.75" customHeight="1">
      <c r="A7" s="128" t="s">
        <v>7</v>
      </c>
      <c r="B7" s="129" t="s">
        <v>286</v>
      </c>
      <c r="C7" s="118">
        <v>19409000</v>
      </c>
      <c r="D7" s="118">
        <v>28001653</v>
      </c>
      <c r="E7" s="118">
        <v>29107403</v>
      </c>
      <c r="F7" s="129" t="s">
        <v>124</v>
      </c>
      <c r="G7" s="118">
        <v>31304262</v>
      </c>
      <c r="H7" s="264">
        <v>32917588</v>
      </c>
      <c r="I7" s="269">
        <v>30919657</v>
      </c>
      <c r="J7" s="862"/>
    </row>
    <row r="8" spans="1:10" ht="12.75" customHeight="1">
      <c r="A8" s="128" t="s">
        <v>8</v>
      </c>
      <c r="B8" s="129" t="s">
        <v>304</v>
      </c>
      <c r="C8" s="118"/>
      <c r="D8" s="118"/>
      <c r="E8" s="118"/>
      <c r="F8" s="129" t="s">
        <v>150</v>
      </c>
      <c r="G8" s="118">
        <v>217831160</v>
      </c>
      <c r="H8" s="264">
        <v>226488965</v>
      </c>
      <c r="I8" s="269">
        <v>169146820</v>
      </c>
      <c r="J8" s="862"/>
    </row>
    <row r="9" spans="1:10" ht="12.75" customHeight="1">
      <c r="A9" s="128" t="s">
        <v>9</v>
      </c>
      <c r="B9" s="129" t="s">
        <v>115</v>
      </c>
      <c r="C9" s="118">
        <v>181442270</v>
      </c>
      <c r="D9" s="118">
        <v>181442270</v>
      </c>
      <c r="E9" s="118">
        <v>251952188</v>
      </c>
      <c r="F9" s="129" t="s">
        <v>125</v>
      </c>
      <c r="G9" s="118">
        <v>5840000</v>
      </c>
      <c r="H9" s="264">
        <v>5840000</v>
      </c>
      <c r="I9" s="269">
        <v>2808500</v>
      </c>
      <c r="J9" s="862"/>
    </row>
    <row r="10" spans="1:10" ht="12.75" customHeight="1">
      <c r="A10" s="128" t="s">
        <v>10</v>
      </c>
      <c r="B10" s="130" t="s">
        <v>328</v>
      </c>
      <c r="C10" s="118">
        <v>40274995</v>
      </c>
      <c r="D10" s="118">
        <v>46425867</v>
      </c>
      <c r="E10" s="118">
        <v>53510213</v>
      </c>
      <c r="F10" s="129" t="s">
        <v>126</v>
      </c>
      <c r="G10" s="118">
        <v>57464904</v>
      </c>
      <c r="H10" s="264">
        <v>68297155</v>
      </c>
      <c r="I10" s="269">
        <v>67404624</v>
      </c>
      <c r="J10" s="862"/>
    </row>
    <row r="11" spans="1:10" ht="12.75" customHeight="1">
      <c r="A11" s="128" t="s">
        <v>11</v>
      </c>
      <c r="B11" s="129" t="s">
        <v>287</v>
      </c>
      <c r="C11" s="119"/>
      <c r="D11" s="119">
        <v>1000000</v>
      </c>
      <c r="E11" s="119">
        <v>1004325</v>
      </c>
      <c r="F11" s="129" t="s">
        <v>36</v>
      </c>
      <c r="G11" s="118">
        <v>8330929</v>
      </c>
      <c r="H11" s="264">
        <v>38809439</v>
      </c>
      <c r="I11" s="269"/>
      <c r="J11" s="862"/>
    </row>
    <row r="12" spans="1:10" ht="12.75" customHeight="1">
      <c r="A12" s="128" t="s">
        <v>12</v>
      </c>
      <c r="B12" s="129" t="s">
        <v>386</v>
      </c>
      <c r="C12" s="118"/>
      <c r="D12" s="118"/>
      <c r="E12" s="118"/>
      <c r="F12" s="30"/>
      <c r="G12" s="118"/>
      <c r="H12" s="118"/>
      <c r="I12" s="269"/>
      <c r="J12" s="862"/>
    </row>
    <row r="13" spans="1:10" ht="12.75" customHeight="1">
      <c r="A13" s="128" t="s">
        <v>13</v>
      </c>
      <c r="B13" s="30"/>
      <c r="C13" s="118"/>
      <c r="D13" s="118"/>
      <c r="E13" s="118"/>
      <c r="F13" s="30"/>
      <c r="G13" s="118"/>
      <c r="H13" s="118"/>
      <c r="I13" s="269"/>
      <c r="J13" s="862"/>
    </row>
    <row r="14" spans="1:10" ht="12.75" customHeight="1">
      <c r="A14" s="128" t="s">
        <v>14</v>
      </c>
      <c r="B14" s="193"/>
      <c r="C14" s="119"/>
      <c r="D14" s="119"/>
      <c r="E14" s="119"/>
      <c r="F14" s="30"/>
      <c r="G14" s="118"/>
      <c r="H14" s="118"/>
      <c r="I14" s="269"/>
      <c r="J14" s="862"/>
    </row>
    <row r="15" spans="1:10" ht="12.75" customHeight="1">
      <c r="A15" s="128" t="s">
        <v>15</v>
      </c>
      <c r="B15" s="30"/>
      <c r="C15" s="118"/>
      <c r="D15" s="118"/>
      <c r="E15" s="118"/>
      <c r="F15" s="30"/>
      <c r="G15" s="118"/>
      <c r="H15" s="118"/>
      <c r="I15" s="269"/>
      <c r="J15" s="862"/>
    </row>
    <row r="16" spans="1:10" ht="12.75" customHeight="1">
      <c r="A16" s="128" t="s">
        <v>16</v>
      </c>
      <c r="B16" s="30"/>
      <c r="C16" s="118"/>
      <c r="D16" s="118"/>
      <c r="E16" s="118"/>
      <c r="F16" s="30"/>
      <c r="G16" s="118"/>
      <c r="H16" s="118"/>
      <c r="I16" s="269"/>
      <c r="J16" s="862"/>
    </row>
    <row r="17" spans="1:10" ht="12.75" customHeight="1" thickBot="1">
      <c r="A17" s="128" t="s">
        <v>17</v>
      </c>
      <c r="B17" s="35"/>
      <c r="C17" s="120"/>
      <c r="D17" s="120"/>
      <c r="E17" s="120"/>
      <c r="F17" s="30"/>
      <c r="G17" s="120"/>
      <c r="H17" s="120"/>
      <c r="I17" s="270"/>
      <c r="J17" s="862"/>
    </row>
    <row r="18" spans="1:10" ht="13.5" thickBot="1">
      <c r="A18" s="131" t="s">
        <v>18</v>
      </c>
      <c r="B18" s="59" t="s">
        <v>387</v>
      </c>
      <c r="C18" s="121">
        <f>C6+C7+C9+C10+C11+C13+C14+C15+C16+C17</f>
        <v>365364338</v>
      </c>
      <c r="D18" s="121">
        <f>D6+D7+D9+D10+D11+D13+D14+D15+D16+D17</f>
        <v>410826266</v>
      </c>
      <c r="E18" s="121">
        <f>E6+E7+E9+E10+E11+E13+E14+E15+E16+E17</f>
        <v>489530605</v>
      </c>
      <c r="F18" s="59" t="s">
        <v>290</v>
      </c>
      <c r="G18" s="121">
        <f>SUM(G6:G17)</f>
        <v>536921720</v>
      </c>
      <c r="H18" s="121">
        <f>SUM(H6:H17)</f>
        <v>590422794</v>
      </c>
      <c r="I18" s="149">
        <f>SUM(I6:I17)</f>
        <v>469443602</v>
      </c>
      <c r="J18" s="862"/>
    </row>
    <row r="19" spans="1:10" ht="12.75" customHeight="1">
      <c r="A19" s="132" t="s">
        <v>19</v>
      </c>
      <c r="B19" s="133" t="s">
        <v>682</v>
      </c>
      <c r="C19" s="236">
        <f>+C20+C21+C22+C23</f>
        <v>231951887</v>
      </c>
      <c r="D19" s="236">
        <f>+D20+D21+D22+D23</f>
        <v>258762763</v>
      </c>
      <c r="E19" s="236">
        <f>+E20+E21+E22+E23</f>
        <v>258856821</v>
      </c>
      <c r="F19" s="134" t="s">
        <v>132</v>
      </c>
      <c r="G19" s="122"/>
      <c r="H19" s="122"/>
      <c r="I19" s="271"/>
      <c r="J19" s="862"/>
    </row>
    <row r="20" spans="1:10" ht="12.75" customHeight="1">
      <c r="A20" s="135" t="s">
        <v>20</v>
      </c>
      <c r="B20" s="134" t="s">
        <v>143</v>
      </c>
      <c r="C20" s="48">
        <v>231951887</v>
      </c>
      <c r="D20" s="48">
        <v>258762763</v>
      </c>
      <c r="E20" s="48">
        <v>258856821</v>
      </c>
      <c r="F20" s="134" t="s">
        <v>289</v>
      </c>
      <c r="G20" s="48"/>
      <c r="H20" s="48"/>
      <c r="I20" s="272"/>
      <c r="J20" s="862"/>
    </row>
    <row r="21" spans="1:10" ht="12.75" customHeight="1">
      <c r="A21" s="135" t="s">
        <v>21</v>
      </c>
      <c r="B21" s="134" t="s">
        <v>144</v>
      </c>
      <c r="C21" s="48"/>
      <c r="D21" s="48"/>
      <c r="E21" s="48"/>
      <c r="F21" s="134" t="s">
        <v>106</v>
      </c>
      <c r="G21" s="48"/>
      <c r="H21" s="48"/>
      <c r="I21" s="272"/>
      <c r="J21" s="862"/>
    </row>
    <row r="22" spans="1:10" ht="12.75" customHeight="1">
      <c r="A22" s="135" t="s">
        <v>22</v>
      </c>
      <c r="B22" s="134" t="s">
        <v>148</v>
      </c>
      <c r="C22" s="48"/>
      <c r="D22" s="48"/>
      <c r="E22" s="48"/>
      <c r="F22" s="134" t="s">
        <v>107</v>
      </c>
      <c r="G22" s="48"/>
      <c r="H22" s="48"/>
      <c r="I22" s="272"/>
      <c r="J22" s="862"/>
    </row>
    <row r="23" spans="1:10" ht="12.75" customHeight="1">
      <c r="A23" s="135" t="s">
        <v>23</v>
      </c>
      <c r="B23" s="134" t="s">
        <v>149</v>
      </c>
      <c r="C23" s="48"/>
      <c r="D23" s="48"/>
      <c r="E23" s="48"/>
      <c r="F23" s="133" t="s">
        <v>151</v>
      </c>
      <c r="G23" s="48"/>
      <c r="H23" s="48"/>
      <c r="I23" s="272"/>
      <c r="J23" s="862"/>
    </row>
    <row r="24" spans="1:10" ht="12.75" customHeight="1">
      <c r="A24" s="128" t="s">
        <v>24</v>
      </c>
      <c r="B24" s="134" t="s">
        <v>288</v>
      </c>
      <c r="C24" s="48"/>
      <c r="D24" s="48"/>
      <c r="E24" s="48"/>
      <c r="F24" s="134" t="s">
        <v>133</v>
      </c>
      <c r="G24" s="48"/>
      <c r="H24" s="48"/>
      <c r="I24" s="272"/>
      <c r="J24" s="862"/>
    </row>
    <row r="25" spans="1:10" ht="12.75" customHeight="1">
      <c r="A25" s="128" t="s">
        <v>25</v>
      </c>
      <c r="B25" s="134" t="s">
        <v>681</v>
      </c>
      <c r="C25" s="136">
        <f>C26+C27+C28</f>
        <v>0</v>
      </c>
      <c r="D25" s="136">
        <f>D26+D27+D28</f>
        <v>16685273</v>
      </c>
      <c r="E25" s="136">
        <f>E26+E27+E28</f>
        <v>16685273</v>
      </c>
      <c r="F25" s="127" t="s">
        <v>369</v>
      </c>
      <c r="G25" s="48"/>
      <c r="H25" s="48"/>
      <c r="I25" s="272"/>
      <c r="J25" s="862"/>
    </row>
    <row r="26" spans="1:10" ht="12.75" customHeight="1">
      <c r="A26" s="164" t="s">
        <v>26</v>
      </c>
      <c r="B26" s="133" t="s">
        <v>159</v>
      </c>
      <c r="C26" s="122"/>
      <c r="D26" s="122"/>
      <c r="E26" s="122"/>
      <c r="F26" s="129" t="s">
        <v>375</v>
      </c>
      <c r="G26" s="122"/>
      <c r="H26" s="122"/>
      <c r="I26" s="271"/>
      <c r="J26" s="862"/>
    </row>
    <row r="27" spans="1:10" ht="12.75" customHeight="1">
      <c r="A27" s="128" t="s">
        <v>27</v>
      </c>
      <c r="B27" s="134" t="s">
        <v>380</v>
      </c>
      <c r="C27" s="48"/>
      <c r="D27" s="48"/>
      <c r="E27" s="48"/>
      <c r="F27" s="129" t="s">
        <v>376</v>
      </c>
      <c r="G27" s="48"/>
      <c r="H27" s="48"/>
      <c r="I27" s="272"/>
      <c r="J27" s="862"/>
    </row>
    <row r="28" spans="1:10" ht="12.75" customHeight="1" thickBot="1">
      <c r="A28" s="164" t="s">
        <v>28</v>
      </c>
      <c r="B28" s="133" t="s">
        <v>246</v>
      </c>
      <c r="C28" s="122"/>
      <c r="D28" s="122">
        <v>16685273</v>
      </c>
      <c r="E28" s="122">
        <v>16685273</v>
      </c>
      <c r="F28" s="195" t="s">
        <v>283</v>
      </c>
      <c r="G28" s="807">
        <v>4440354</v>
      </c>
      <c r="H28" s="122">
        <v>15647961</v>
      </c>
      <c r="I28" s="271">
        <v>15647961</v>
      </c>
      <c r="J28" s="862"/>
    </row>
    <row r="29" spans="1:10" ht="24" customHeight="1" thickBot="1">
      <c r="A29" s="131" t="s">
        <v>29</v>
      </c>
      <c r="B29" s="59" t="s">
        <v>684</v>
      </c>
      <c r="C29" s="121">
        <f>+C19+C25</f>
        <v>231951887</v>
      </c>
      <c r="D29" s="121">
        <f>+D19+D25</f>
        <v>275448036</v>
      </c>
      <c r="E29" s="266">
        <f>+E19+E25</f>
        <v>275542094</v>
      </c>
      <c r="F29" s="59" t="s">
        <v>683</v>
      </c>
      <c r="G29" s="121">
        <f>SUM(G19:G28)</f>
        <v>4440354</v>
      </c>
      <c r="H29" s="121">
        <f>SUM(H19:H28)</f>
        <v>15647961</v>
      </c>
      <c r="I29" s="149">
        <f>SUM(I19:I28)</f>
        <v>15647961</v>
      </c>
      <c r="J29" s="862"/>
    </row>
    <row r="30" spans="1:10" ht="13.5" thickBot="1">
      <c r="A30" s="131" t="s">
        <v>30</v>
      </c>
      <c r="B30" s="137" t="s">
        <v>388</v>
      </c>
      <c r="C30" s="336">
        <f>+C18+C29</f>
        <v>597316225</v>
      </c>
      <c r="D30" s="336">
        <f>+D18+D29</f>
        <v>686274302</v>
      </c>
      <c r="E30" s="337">
        <f>+E18+E29</f>
        <v>765072699</v>
      </c>
      <c r="F30" s="137" t="s">
        <v>1269</v>
      </c>
      <c r="G30" s="336">
        <f>+G18+G29</f>
        <v>541362074</v>
      </c>
      <c r="H30" s="336">
        <f>+H18+H29</f>
        <v>606070755</v>
      </c>
      <c r="I30" s="337">
        <f>+I18+I29</f>
        <v>485091563</v>
      </c>
      <c r="J30" s="862"/>
    </row>
    <row r="31" spans="1:10" ht="13.5" thickBot="1">
      <c r="A31" s="131" t="s">
        <v>31</v>
      </c>
      <c r="B31" s="137" t="s">
        <v>110</v>
      </c>
      <c r="C31" s="336">
        <f>IF(C18-G18&lt;0,G18-C18,"-")</f>
        <v>171557382</v>
      </c>
      <c r="D31" s="336">
        <f>IF(D18-H18&lt;0,H18-D18,"-")</f>
        <v>179596528</v>
      </c>
      <c r="E31" s="337" t="str">
        <f>IF(E18-I18&lt;0,I18-E18,"-")</f>
        <v>-</v>
      </c>
      <c r="F31" s="137" t="s">
        <v>111</v>
      </c>
      <c r="G31" s="336" t="str">
        <f>IF(C18-G18&gt;0,C18-G18,"-")</f>
        <v>-</v>
      </c>
      <c r="H31" s="336" t="str">
        <f>IF(D18-H18&gt;0,D18-H18,"-")</f>
        <v>-</v>
      </c>
      <c r="I31" s="337">
        <f>IF(E18-I18&gt;0,E18-I18,"-")</f>
        <v>20087003</v>
      </c>
      <c r="J31" s="862"/>
    </row>
    <row r="32" spans="1:10" ht="13.5" thickBot="1">
      <c r="A32" s="131" t="s">
        <v>32</v>
      </c>
      <c r="B32" s="137" t="s">
        <v>496</v>
      </c>
      <c r="C32" s="336" t="str">
        <f>IF(C30-G30&lt;0,G30-C30,"-")</f>
        <v>-</v>
      </c>
      <c r="D32" s="336" t="str">
        <f>IF(D30-H30&lt;0,H30-D30,"-")</f>
        <v>-</v>
      </c>
      <c r="E32" s="336" t="str">
        <f>IF(E30-I30&lt;0,I30-E30,"-")</f>
        <v>-</v>
      </c>
      <c r="F32" s="137" t="s">
        <v>497</v>
      </c>
      <c r="G32" s="336">
        <f>IF(C30-G30&gt;0,C30-G30,"-")</f>
        <v>55954151</v>
      </c>
      <c r="H32" s="336">
        <f>IF(D30-H30&gt;0,D30-H30,"-")</f>
        <v>80203547</v>
      </c>
      <c r="I32" s="336">
        <f>IF(E30-I30&gt;0,E30-I30,"-")</f>
        <v>279981136</v>
      </c>
      <c r="J32" s="862"/>
    </row>
    <row r="33" spans="2:10" ht="17.25">
      <c r="B33" s="861"/>
      <c r="C33" s="861"/>
      <c r="D33" s="861"/>
      <c r="E33" s="861"/>
      <c r="F33" s="861"/>
      <c r="J33" s="862"/>
    </row>
    <row r="36" ht="12.75">
      <c r="E36" s="833">
        <f>(E30/D30)*100</f>
        <v>111.48205561105216</v>
      </c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7">
      <selection activeCell="I36" sqref="I36"/>
    </sheetView>
  </sheetViews>
  <sheetFormatPr defaultColWidth="9.375" defaultRowHeight="12.75"/>
  <cols>
    <col min="1" max="1" width="6.75390625" style="33" customWidth="1"/>
    <col min="2" max="2" width="49.75390625" style="73" customWidth="1"/>
    <col min="3" max="5" width="15.50390625" style="33" customWidth="1"/>
    <col min="6" max="6" width="49.753906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1:10" ht="30.75">
      <c r="A1" s="396"/>
      <c r="B1" s="402" t="s">
        <v>109</v>
      </c>
      <c r="C1" s="403"/>
      <c r="D1" s="403"/>
      <c r="E1" s="403"/>
      <c r="F1" s="403"/>
      <c r="G1" s="403"/>
      <c r="H1" s="403"/>
      <c r="I1" s="403"/>
      <c r="J1" s="862" t="str">
        <f>CONCATENATE("6. melléklet ",Z_ALAPADATOK!A7," ",Z_ALAPADATOK!B7," ",Z_ALAPADATOK!C7," ",Z_ALAPADATOK!D7," ",Z_ALAPADATOK!E7," ",Z_ALAPADATOK!F7," ",Z_ALAPADATOK!G7," ",Z_ALAPADATOK!H7)</f>
        <v>6. melléklet a  / 2023. ( V…... ) önkormányzati rendelethez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5!I2</f>
        <v> Forintban!</v>
      </c>
      <c r="J2" s="862"/>
    </row>
    <row r="3" spans="1:10" ht="13.5" customHeight="1" thickBot="1">
      <c r="A3" s="859" t="s">
        <v>52</v>
      </c>
      <c r="B3" s="405" t="s">
        <v>40</v>
      </c>
      <c r="C3" s="406"/>
      <c r="D3" s="407"/>
      <c r="E3" s="407"/>
      <c r="F3" s="405" t="s">
        <v>41</v>
      </c>
      <c r="G3" s="408"/>
      <c r="H3" s="409"/>
      <c r="I3" s="410"/>
      <c r="J3" s="862"/>
    </row>
    <row r="4" spans="1:10" s="124" customFormat="1" ht="34.5" thickBot="1">
      <c r="A4" s="860"/>
      <c r="B4" s="398" t="s">
        <v>45</v>
      </c>
      <c r="C4" s="364" t="str">
        <f>+CONCATENATE(1!C8," eredeti előirányzat")</f>
        <v>2022. évi eredeti előirányzat</v>
      </c>
      <c r="D4" s="362" t="str">
        <f>+CONCATENATE(1!C8," módosított előirányzat")</f>
        <v>2022. évi módosított előirányzat</v>
      </c>
      <c r="E4" s="362" t="str">
        <f>CONCATENATE(5!E4)</f>
        <v>2022. XII. 31.
teljesítés</v>
      </c>
      <c r="F4" s="398" t="s">
        <v>45</v>
      </c>
      <c r="G4" s="364" t="str">
        <f>+C4</f>
        <v>2022. évi eredeti előirányzat</v>
      </c>
      <c r="H4" s="364" t="str">
        <f>+D4</f>
        <v>2022. évi módosított előirányzat</v>
      </c>
      <c r="I4" s="363" t="str">
        <f>+E4</f>
        <v>2022. XII. 31.
teljesítés</v>
      </c>
      <c r="J4" s="862"/>
    </row>
    <row r="5" spans="1:10" s="124" customFormat="1" ht="13.5" thickBot="1">
      <c r="A5" s="411" t="s">
        <v>389</v>
      </c>
      <c r="B5" s="412" t="s">
        <v>390</v>
      </c>
      <c r="C5" s="413" t="s">
        <v>391</v>
      </c>
      <c r="D5" s="413" t="s">
        <v>393</v>
      </c>
      <c r="E5" s="413" t="s">
        <v>392</v>
      </c>
      <c r="F5" s="412" t="s">
        <v>394</v>
      </c>
      <c r="G5" s="413" t="s">
        <v>395</v>
      </c>
      <c r="H5" s="414" t="s">
        <v>396</v>
      </c>
      <c r="I5" s="415" t="s">
        <v>427</v>
      </c>
      <c r="J5" s="862"/>
    </row>
    <row r="6" spans="1:10" ht="12.75" customHeight="1">
      <c r="A6" s="126" t="s">
        <v>6</v>
      </c>
      <c r="B6" s="127" t="s">
        <v>291</v>
      </c>
      <c r="C6" s="117">
        <v>372742</v>
      </c>
      <c r="D6" s="117">
        <v>372742</v>
      </c>
      <c r="E6" s="117">
        <v>462242</v>
      </c>
      <c r="F6" s="127" t="s">
        <v>145</v>
      </c>
      <c r="G6" s="805">
        <v>54326893</v>
      </c>
      <c r="H6" s="277">
        <v>97106810</v>
      </c>
      <c r="I6" s="147">
        <v>48271376</v>
      </c>
      <c r="J6" s="862"/>
    </row>
    <row r="7" spans="1:10" ht="12.75">
      <c r="A7" s="128" t="s">
        <v>7</v>
      </c>
      <c r="B7" s="129" t="s">
        <v>292</v>
      </c>
      <c r="C7" s="118"/>
      <c r="D7" s="118"/>
      <c r="E7" s="118"/>
      <c r="F7" s="129" t="s">
        <v>297</v>
      </c>
      <c r="G7" s="806"/>
      <c r="H7" s="118"/>
      <c r="I7" s="269"/>
      <c r="J7" s="862"/>
    </row>
    <row r="8" spans="1:10" ht="12.75" customHeight="1">
      <c r="A8" s="128" t="s">
        <v>8</v>
      </c>
      <c r="B8" s="129" t="s">
        <v>1</v>
      </c>
      <c r="C8" s="118"/>
      <c r="D8" s="118"/>
      <c r="E8" s="118"/>
      <c r="F8" s="129" t="s">
        <v>128</v>
      </c>
      <c r="G8" s="806"/>
      <c r="H8" s="118"/>
      <c r="I8" s="269"/>
      <c r="J8" s="862"/>
    </row>
    <row r="9" spans="1:10" ht="12.75" customHeight="1">
      <c r="A9" s="128" t="s">
        <v>9</v>
      </c>
      <c r="B9" s="129" t="s">
        <v>293</v>
      </c>
      <c r="C9" s="118"/>
      <c r="D9" s="118"/>
      <c r="E9" s="118"/>
      <c r="F9" s="129" t="s">
        <v>298</v>
      </c>
      <c r="G9" s="806"/>
      <c r="H9" s="118"/>
      <c r="I9" s="269"/>
      <c r="J9" s="862"/>
    </row>
    <row r="10" spans="1:10" ht="12.75" customHeight="1">
      <c r="A10" s="128" t="s">
        <v>10</v>
      </c>
      <c r="B10" s="129" t="s">
        <v>294</v>
      </c>
      <c r="C10" s="118"/>
      <c r="D10" s="118"/>
      <c r="E10" s="118"/>
      <c r="F10" s="129" t="s">
        <v>147</v>
      </c>
      <c r="G10" s="806">
        <v>2000000</v>
      </c>
      <c r="H10" s="118">
        <v>6032843</v>
      </c>
      <c r="I10" s="269">
        <v>4532843</v>
      </c>
      <c r="J10" s="862"/>
    </row>
    <row r="11" spans="1:10" ht="12.75" customHeight="1">
      <c r="A11" s="128" t="s">
        <v>11</v>
      </c>
      <c r="B11" s="129" t="s">
        <v>295</v>
      </c>
      <c r="C11" s="119"/>
      <c r="D11" s="119">
        <v>22563364</v>
      </c>
      <c r="E11" s="119">
        <v>22563364</v>
      </c>
      <c r="F11" s="196"/>
      <c r="G11" s="118"/>
      <c r="H11" s="118"/>
      <c r="I11" s="269"/>
      <c r="J11" s="862"/>
    </row>
    <row r="12" spans="1:10" ht="12.75" customHeight="1">
      <c r="A12" s="128" t="s">
        <v>12</v>
      </c>
      <c r="B12" s="30"/>
      <c r="C12" s="118"/>
      <c r="D12" s="118"/>
      <c r="E12" s="118"/>
      <c r="F12" s="196"/>
      <c r="G12" s="118"/>
      <c r="H12" s="118"/>
      <c r="I12" s="269"/>
      <c r="J12" s="862"/>
    </row>
    <row r="13" spans="1:10" ht="12.75" customHeight="1">
      <c r="A13" s="128" t="s">
        <v>13</v>
      </c>
      <c r="B13" s="30"/>
      <c r="C13" s="118"/>
      <c r="D13" s="118"/>
      <c r="E13" s="118"/>
      <c r="F13" s="197"/>
      <c r="G13" s="118"/>
      <c r="H13" s="118"/>
      <c r="I13" s="269"/>
      <c r="J13" s="862"/>
    </row>
    <row r="14" spans="1:10" ht="12.75" customHeight="1">
      <c r="A14" s="128" t="s">
        <v>14</v>
      </c>
      <c r="B14" s="194"/>
      <c r="C14" s="119"/>
      <c r="D14" s="119"/>
      <c r="E14" s="119"/>
      <c r="F14" s="196"/>
      <c r="G14" s="118"/>
      <c r="H14" s="118"/>
      <c r="I14" s="269"/>
      <c r="J14" s="862"/>
    </row>
    <row r="15" spans="1:10" ht="12.75">
      <c r="A15" s="128" t="s">
        <v>15</v>
      </c>
      <c r="B15" s="30"/>
      <c r="C15" s="119"/>
      <c r="D15" s="119"/>
      <c r="E15" s="119"/>
      <c r="F15" s="196"/>
      <c r="G15" s="118"/>
      <c r="H15" s="118"/>
      <c r="I15" s="269"/>
      <c r="J15" s="862"/>
    </row>
    <row r="16" spans="1:10" ht="12.75" customHeight="1" thickBot="1">
      <c r="A16" s="164" t="s">
        <v>16</v>
      </c>
      <c r="B16" s="195"/>
      <c r="C16" s="166"/>
      <c r="D16" s="166"/>
      <c r="E16" s="166"/>
      <c r="F16" s="165" t="s">
        <v>36</v>
      </c>
      <c r="G16" s="275">
        <v>7950859</v>
      </c>
      <c r="H16" s="275">
        <v>7950859</v>
      </c>
      <c r="I16" s="273"/>
      <c r="J16" s="862"/>
    </row>
    <row r="17" spans="1:10" ht="15.75" customHeight="1" thickBot="1">
      <c r="A17" s="131" t="s">
        <v>17</v>
      </c>
      <c r="B17" s="59" t="s">
        <v>305</v>
      </c>
      <c r="C17" s="121">
        <f>+C6+C8+C9+C11+C12+C13+C14+C15+C16</f>
        <v>372742</v>
      </c>
      <c r="D17" s="121">
        <f>+D6+D8+D9+D11+D12+D13+D14+D15+D16</f>
        <v>22936106</v>
      </c>
      <c r="E17" s="121">
        <f>+E6+E8+E9+E11+E12+E13+E14+E15+E16</f>
        <v>23025606</v>
      </c>
      <c r="F17" s="59" t="s">
        <v>306</v>
      </c>
      <c r="G17" s="121">
        <f>+G6+G8+G10+G11+G12+G13+G14+G15+G16</f>
        <v>64277752</v>
      </c>
      <c r="H17" s="121">
        <f>+H6+H8+H10+H11+H12+H13+H14+H15+H16</f>
        <v>111090512</v>
      </c>
      <c r="I17" s="149">
        <f>+I6+I8+I10+I11+I12+I13+I14+I15+I16</f>
        <v>52804219</v>
      </c>
      <c r="J17" s="862"/>
    </row>
    <row r="18" spans="1:10" ht="12.75" customHeight="1">
      <c r="A18" s="126" t="s">
        <v>18</v>
      </c>
      <c r="B18" s="139" t="s">
        <v>163</v>
      </c>
      <c r="C18" s="146">
        <f>+C19+C20+C21+C22+C23</f>
        <v>7950859</v>
      </c>
      <c r="D18" s="146">
        <f>+D19+D20+D21+D22+D23</f>
        <v>7950859</v>
      </c>
      <c r="E18" s="146">
        <f>+E19+E20+E21+E22+E23</f>
        <v>7856801</v>
      </c>
      <c r="F18" s="134" t="s">
        <v>132</v>
      </c>
      <c r="G18" s="276"/>
      <c r="H18" s="276"/>
      <c r="I18" s="274"/>
      <c r="J18" s="862"/>
    </row>
    <row r="19" spans="1:10" ht="12.75" customHeight="1">
      <c r="A19" s="128" t="s">
        <v>19</v>
      </c>
      <c r="B19" s="140" t="s">
        <v>152</v>
      </c>
      <c r="C19" s="48">
        <v>7950859</v>
      </c>
      <c r="D19" s="48">
        <v>7950859</v>
      </c>
      <c r="E19" s="48">
        <v>7856801</v>
      </c>
      <c r="F19" s="134" t="s">
        <v>135</v>
      </c>
      <c r="G19" s="48"/>
      <c r="H19" s="48"/>
      <c r="I19" s="272"/>
      <c r="J19" s="862"/>
    </row>
    <row r="20" spans="1:10" ht="12.75" customHeight="1">
      <c r="A20" s="126" t="s">
        <v>20</v>
      </c>
      <c r="B20" s="140" t="s">
        <v>153</v>
      </c>
      <c r="C20" s="48"/>
      <c r="D20" s="48"/>
      <c r="E20" s="48"/>
      <c r="F20" s="134" t="s">
        <v>106</v>
      </c>
      <c r="G20" s="48"/>
      <c r="H20" s="48"/>
      <c r="I20" s="272"/>
      <c r="J20" s="862"/>
    </row>
    <row r="21" spans="1:10" ht="12.75" customHeight="1">
      <c r="A21" s="128" t="s">
        <v>21</v>
      </c>
      <c r="B21" s="140" t="s">
        <v>154</v>
      </c>
      <c r="C21" s="48"/>
      <c r="D21" s="48"/>
      <c r="E21" s="48"/>
      <c r="F21" s="134" t="s">
        <v>107</v>
      </c>
      <c r="G21" s="48"/>
      <c r="H21" s="48"/>
      <c r="I21" s="272"/>
      <c r="J21" s="862"/>
    </row>
    <row r="22" spans="1:10" ht="12.75" customHeight="1">
      <c r="A22" s="126" t="s">
        <v>22</v>
      </c>
      <c r="B22" s="140" t="s">
        <v>155</v>
      </c>
      <c r="C22" s="48"/>
      <c r="D22" s="48"/>
      <c r="E22" s="48"/>
      <c r="F22" s="133" t="s">
        <v>151</v>
      </c>
      <c r="G22" s="48"/>
      <c r="H22" s="48"/>
      <c r="I22" s="272"/>
      <c r="J22" s="862"/>
    </row>
    <row r="23" spans="1:10" ht="12.75" customHeight="1">
      <c r="A23" s="128" t="s">
        <v>23</v>
      </c>
      <c r="B23" s="141" t="s">
        <v>156</v>
      </c>
      <c r="C23" s="48"/>
      <c r="D23" s="48"/>
      <c r="E23" s="48"/>
      <c r="F23" s="134" t="s">
        <v>136</v>
      </c>
      <c r="G23" s="48"/>
      <c r="H23" s="48"/>
      <c r="I23" s="272"/>
      <c r="J23" s="862"/>
    </row>
    <row r="24" spans="1:10" ht="12.75" customHeight="1">
      <c r="A24" s="126" t="s">
        <v>24</v>
      </c>
      <c r="B24" s="142" t="s">
        <v>157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134</v>
      </c>
      <c r="G24" s="48"/>
      <c r="H24" s="48"/>
      <c r="I24" s="272"/>
      <c r="J24" s="862"/>
    </row>
    <row r="25" spans="1:10" ht="12.75" customHeight="1">
      <c r="A25" s="128" t="s">
        <v>25</v>
      </c>
      <c r="B25" s="141" t="s">
        <v>158</v>
      </c>
      <c r="C25" s="48"/>
      <c r="D25" s="48"/>
      <c r="E25" s="48"/>
      <c r="F25" s="143" t="s">
        <v>299</v>
      </c>
      <c r="G25" s="48"/>
      <c r="H25" s="48"/>
      <c r="I25" s="272"/>
      <c r="J25" s="862"/>
    </row>
    <row r="26" spans="1:10" ht="12.75" customHeight="1">
      <c r="A26" s="126" t="s">
        <v>26</v>
      </c>
      <c r="B26" s="141" t="s">
        <v>159</v>
      </c>
      <c r="C26" s="48"/>
      <c r="D26" s="48"/>
      <c r="E26" s="48"/>
      <c r="F26" s="138"/>
      <c r="G26" s="48"/>
      <c r="H26" s="48"/>
      <c r="I26" s="272"/>
      <c r="J26" s="862"/>
    </row>
    <row r="27" spans="1:10" ht="12.75" customHeight="1">
      <c r="A27" s="128" t="s">
        <v>27</v>
      </c>
      <c r="B27" s="140" t="s">
        <v>160</v>
      </c>
      <c r="C27" s="48"/>
      <c r="D27" s="48"/>
      <c r="E27" s="48"/>
      <c r="F27" s="57"/>
      <c r="G27" s="48"/>
      <c r="H27" s="48"/>
      <c r="I27" s="272"/>
      <c r="J27" s="862"/>
    </row>
    <row r="28" spans="1:10" ht="12.75" customHeight="1">
      <c r="A28" s="126" t="s">
        <v>28</v>
      </c>
      <c r="B28" s="144" t="s">
        <v>161</v>
      </c>
      <c r="C28" s="48"/>
      <c r="D28" s="48"/>
      <c r="E28" s="48"/>
      <c r="F28" s="30"/>
      <c r="G28" s="48"/>
      <c r="H28" s="48"/>
      <c r="I28" s="272"/>
      <c r="J28" s="862"/>
    </row>
    <row r="29" spans="1:10" ht="12.75" customHeight="1" thickBot="1">
      <c r="A29" s="128" t="s">
        <v>29</v>
      </c>
      <c r="B29" s="145" t="s">
        <v>162</v>
      </c>
      <c r="C29" s="48"/>
      <c r="D29" s="48"/>
      <c r="E29" s="48"/>
      <c r="F29" s="57"/>
      <c r="G29" s="48"/>
      <c r="H29" s="48"/>
      <c r="I29" s="272"/>
      <c r="J29" s="862"/>
    </row>
    <row r="30" spans="1:10" ht="21.75" customHeight="1" thickBot="1">
      <c r="A30" s="131" t="s">
        <v>30</v>
      </c>
      <c r="B30" s="59" t="s">
        <v>296</v>
      </c>
      <c r="C30" s="121">
        <f>+C18+C24</f>
        <v>7950859</v>
      </c>
      <c r="D30" s="121">
        <f>+D18+D24</f>
        <v>7950859</v>
      </c>
      <c r="E30" s="121">
        <f>+E18+E24</f>
        <v>7856801</v>
      </c>
      <c r="F30" s="59" t="s">
        <v>300</v>
      </c>
      <c r="G30" s="121">
        <f>SUM(G18:G29)</f>
        <v>0</v>
      </c>
      <c r="H30" s="121">
        <f>SUM(H18:H29)</f>
        <v>0</v>
      </c>
      <c r="I30" s="149">
        <f>SUM(I18:I29)</f>
        <v>0</v>
      </c>
      <c r="J30" s="862"/>
    </row>
    <row r="31" spans="1:10" ht="13.5" thickBot="1">
      <c r="A31" s="131" t="s">
        <v>31</v>
      </c>
      <c r="B31" s="137" t="s">
        <v>301</v>
      </c>
      <c r="C31" s="336">
        <f>+C17+C30</f>
        <v>8323601</v>
      </c>
      <c r="D31" s="336">
        <f>+D17+D30</f>
        <v>30886965</v>
      </c>
      <c r="E31" s="337">
        <f>+E17+E30</f>
        <v>30882407</v>
      </c>
      <c r="F31" s="137" t="s">
        <v>302</v>
      </c>
      <c r="G31" s="336">
        <f>+G17+G30</f>
        <v>64277752</v>
      </c>
      <c r="H31" s="336">
        <f>+H17+H30</f>
        <v>111090512</v>
      </c>
      <c r="I31" s="337">
        <f>+I17+I30</f>
        <v>52804219</v>
      </c>
      <c r="J31" s="862"/>
    </row>
    <row r="32" spans="1:10" ht="13.5" thickBot="1">
      <c r="A32" s="131" t="s">
        <v>32</v>
      </c>
      <c r="B32" s="137" t="s">
        <v>110</v>
      </c>
      <c r="C32" s="336">
        <f>IF(C17-G17&lt;0,G17-C17,"-")</f>
        <v>63905010</v>
      </c>
      <c r="D32" s="336">
        <f>IF(D17-H17&lt;0,H17-D17,"-")</f>
        <v>88154406</v>
      </c>
      <c r="E32" s="337">
        <f>IF(E17-I17&lt;0,I17-E17,"-")</f>
        <v>29778613</v>
      </c>
      <c r="F32" s="137" t="s">
        <v>111</v>
      </c>
      <c r="G32" s="336" t="str">
        <f>IF(C17-G17&gt;0,C17-G17,"-")</f>
        <v>-</v>
      </c>
      <c r="H32" s="336" t="str">
        <f>IF(D17-H17&gt;0,D17-H17,"-")</f>
        <v>-</v>
      </c>
      <c r="I32" s="337" t="str">
        <f>IF(E17-I17&gt;0,E17-I17,"-")</f>
        <v>-</v>
      </c>
      <c r="J32" s="862"/>
    </row>
    <row r="33" spans="1:10" ht="13.5" thickBot="1">
      <c r="A33" s="131" t="s">
        <v>33</v>
      </c>
      <c r="B33" s="137" t="s">
        <v>496</v>
      </c>
      <c r="C33" s="336">
        <f>IF(C31-G31&lt;0,G31-C31,"-")</f>
        <v>55954151</v>
      </c>
      <c r="D33" s="336">
        <f>IF(D31-H31&lt;0,H31-D31,"-")</f>
        <v>80203547</v>
      </c>
      <c r="E33" s="336">
        <f>IF(E31-I31&lt;0,I31-E31,"-")</f>
        <v>21921812</v>
      </c>
      <c r="F33" s="137" t="s">
        <v>497</v>
      </c>
      <c r="G33" s="336" t="str">
        <f>IF(C31-G31&gt;0,C31-G31,"-")</f>
        <v>-</v>
      </c>
      <c r="H33" s="336" t="str">
        <f>IF(D31-H31&gt;0,D31-H31,"-")</f>
        <v>-</v>
      </c>
      <c r="I33" s="336" t="str">
        <f>IF(E31-I31&gt;0,E31-I31,"-")</f>
        <v>-</v>
      </c>
      <c r="J33" s="862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29" sqref="G29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78" t="s">
        <v>506</v>
      </c>
      <c r="B1" s="81"/>
      <c r="C1" s="81"/>
      <c r="D1" s="81"/>
      <c r="E1" s="279" t="s">
        <v>105</v>
      </c>
    </row>
    <row r="2" spans="1:5" ht="12.75">
      <c r="A2" s="81"/>
      <c r="B2" s="81"/>
      <c r="C2" s="81"/>
      <c r="D2" s="81"/>
      <c r="E2" s="81"/>
    </row>
    <row r="3" spans="1:5" ht="12.75">
      <c r="A3" s="280"/>
      <c r="B3" s="281"/>
      <c r="C3" s="280"/>
      <c r="D3" s="282"/>
      <c r="E3" s="281"/>
    </row>
    <row r="4" spans="1:5" ht="15">
      <c r="A4" s="83" t="str">
        <f>+Z_ÖSSZEFÜGGÉSEK!A6</f>
        <v>2022.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463</v>
      </c>
      <c r="B6" s="281">
        <f>+1!C70</f>
        <v>365737080</v>
      </c>
      <c r="C6" s="280" t="s">
        <v>428</v>
      </c>
      <c r="D6" s="282">
        <f>+5!C18+6!C17</f>
        <v>365737080</v>
      </c>
      <c r="E6" s="281">
        <f>+B6-D6</f>
        <v>0</v>
      </c>
    </row>
    <row r="7" spans="1:5" ht="12.75">
      <c r="A7" s="280" t="s">
        <v>479</v>
      </c>
      <c r="B7" s="281">
        <f>+1!C94</f>
        <v>239902746</v>
      </c>
      <c r="C7" s="280" t="s">
        <v>434</v>
      </c>
      <c r="D7" s="282">
        <f>+5!C29+6!C30</f>
        <v>239902746</v>
      </c>
      <c r="E7" s="281">
        <f>+B7-D7</f>
        <v>0</v>
      </c>
    </row>
    <row r="8" spans="1:5" ht="12.75">
      <c r="A8" s="280" t="s">
        <v>480</v>
      </c>
      <c r="B8" s="281">
        <f>+1!C95</f>
        <v>605639826</v>
      </c>
      <c r="C8" s="280" t="s">
        <v>435</v>
      </c>
      <c r="D8" s="282">
        <f>+5!C30+6!C31</f>
        <v>605639826</v>
      </c>
      <c r="E8" s="281">
        <f>+B8-D8</f>
        <v>0</v>
      </c>
    </row>
    <row r="9" spans="1:5" ht="12.75">
      <c r="A9" s="280"/>
      <c r="B9" s="281"/>
      <c r="C9" s="280"/>
      <c r="D9" s="282"/>
      <c r="E9" s="281"/>
    </row>
    <row r="10" spans="1:5" ht="15">
      <c r="A10" s="83" t="str">
        <f>+Z_ÖSSZEFÜGGÉSEK!A13</f>
        <v>2022. évi módosított előirányzat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464</v>
      </c>
      <c r="B12" s="281">
        <f>+1!D70</f>
        <v>433762372</v>
      </c>
      <c r="C12" s="280" t="s">
        <v>429</v>
      </c>
      <c r="D12" s="282">
        <f>+5!D18+6!D17</f>
        <v>433762372</v>
      </c>
      <c r="E12" s="281">
        <f>+B12-D12</f>
        <v>0</v>
      </c>
    </row>
    <row r="13" spans="1:5" ht="12.75">
      <c r="A13" s="280" t="s">
        <v>465</v>
      </c>
      <c r="B13" s="281">
        <f>+1!D94</f>
        <v>283398895</v>
      </c>
      <c r="C13" s="280" t="s">
        <v>436</v>
      </c>
      <c r="D13" s="282">
        <f>+5!D29+6!D30</f>
        <v>283398895</v>
      </c>
      <c r="E13" s="281">
        <f>+B13-D13</f>
        <v>0</v>
      </c>
    </row>
    <row r="14" spans="1:5" ht="12.75">
      <c r="A14" s="280" t="s">
        <v>466</v>
      </c>
      <c r="B14" s="281">
        <f>+1!D95</f>
        <v>717161267</v>
      </c>
      <c r="C14" s="280" t="s">
        <v>437</v>
      </c>
      <c r="D14" s="282">
        <f>+5!D30+6!D31</f>
        <v>717161267</v>
      </c>
      <c r="E14" s="281">
        <f>+B14-D14</f>
        <v>0</v>
      </c>
    </row>
    <row r="15" spans="1:5" ht="12.75">
      <c r="A15" s="280"/>
      <c r="B15" s="281"/>
      <c r="C15" s="280"/>
      <c r="D15" s="282"/>
      <c r="E15" s="281"/>
    </row>
    <row r="16" spans="1:5" ht="13.5">
      <c r="A16" s="285" t="str">
        <f>+Z_ÖSSZEFÜGGÉSEK!A19</f>
        <v>2022.évi teljesített BEVÉTELEK</v>
      </c>
      <c r="B16" s="82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467</v>
      </c>
      <c r="B18" s="281">
        <f>+1!E70</f>
        <v>512556211</v>
      </c>
      <c r="C18" s="280" t="s">
        <v>430</v>
      </c>
      <c r="D18" s="282">
        <f>+5!E18+6!E17</f>
        <v>512556211</v>
      </c>
      <c r="E18" s="281">
        <f>+B18-D18</f>
        <v>0</v>
      </c>
    </row>
    <row r="19" spans="1:5" ht="12.75">
      <c r="A19" s="280" t="s">
        <v>468</v>
      </c>
      <c r="B19" s="281">
        <f>+1!E94</f>
        <v>283398895</v>
      </c>
      <c r="C19" s="280" t="s">
        <v>438</v>
      </c>
      <c r="D19" s="282">
        <f>+5!E29+6!E30</f>
        <v>283398895</v>
      </c>
      <c r="E19" s="281">
        <f>+B19-D19</f>
        <v>0</v>
      </c>
    </row>
    <row r="20" spans="1:5" ht="12.75">
      <c r="A20" s="280" t="s">
        <v>469</v>
      </c>
      <c r="B20" s="281">
        <f>+1!E95</f>
        <v>795955106</v>
      </c>
      <c r="C20" s="280" t="s">
        <v>439</v>
      </c>
      <c r="D20" s="282">
        <f>+5!E30+6!E31</f>
        <v>795955106</v>
      </c>
      <c r="E20" s="281">
        <f>+B20-D20</f>
        <v>0</v>
      </c>
    </row>
    <row r="21" spans="1:5" ht="12.75">
      <c r="A21" s="280"/>
      <c r="B21" s="281"/>
      <c r="C21" s="280"/>
      <c r="D21" s="282"/>
      <c r="E21" s="281"/>
    </row>
    <row r="22" spans="1:5" ht="15">
      <c r="A22" s="83" t="str">
        <f>+Z_ÖSSZEFÜGGÉSEK!A25</f>
        <v>2022.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481</v>
      </c>
      <c r="B24" s="281">
        <f>+1!C137</f>
        <v>601199472</v>
      </c>
      <c r="C24" s="280" t="s">
        <v>431</v>
      </c>
      <c r="D24" s="282">
        <f>+5!G18+6!G17</f>
        <v>601199472</v>
      </c>
      <c r="E24" s="281">
        <f>+B24-D24</f>
        <v>0</v>
      </c>
    </row>
    <row r="25" spans="1:5" ht="12.75">
      <c r="A25" s="280" t="s">
        <v>471</v>
      </c>
      <c r="B25" s="281">
        <f>+1!C162</f>
        <v>4440354</v>
      </c>
      <c r="C25" s="280" t="s">
        <v>440</v>
      </c>
      <c r="D25" s="282">
        <f>+5!G29+6!G30</f>
        <v>4440354</v>
      </c>
      <c r="E25" s="281">
        <f>+B25-D25</f>
        <v>0</v>
      </c>
    </row>
    <row r="26" spans="1:5" ht="12.75">
      <c r="A26" s="280" t="s">
        <v>472</v>
      </c>
      <c r="B26" s="281">
        <f>+1!C163</f>
        <v>605639826</v>
      </c>
      <c r="C26" s="280" t="s">
        <v>441</v>
      </c>
      <c r="D26" s="282">
        <f>+5!G30+6!G31</f>
        <v>605639826</v>
      </c>
      <c r="E26" s="281">
        <f>+B26-D26</f>
        <v>0</v>
      </c>
    </row>
    <row r="27" spans="1:5" ht="12.75">
      <c r="A27" s="280"/>
      <c r="B27" s="281"/>
      <c r="C27" s="280"/>
      <c r="D27" s="282"/>
      <c r="E27" s="281"/>
    </row>
    <row r="28" spans="1:5" ht="15">
      <c r="A28" s="83" t="str">
        <f>+Z_ÖSSZEFÜGGÉSEK!A31</f>
        <v>2022. évi módosított előirányzat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473</v>
      </c>
      <c r="B30" s="281">
        <f>+1!D137</f>
        <v>701513306</v>
      </c>
      <c r="C30" s="280" t="s">
        <v>432</v>
      </c>
      <c r="D30" s="282">
        <f>+5!H18+6!H17</f>
        <v>701513306</v>
      </c>
      <c r="E30" s="281">
        <f>+B30-D30</f>
        <v>0</v>
      </c>
    </row>
    <row r="31" spans="1:5" ht="12.75">
      <c r="A31" s="280" t="s">
        <v>474</v>
      </c>
      <c r="B31" s="281">
        <f>+1!D162</f>
        <v>15647961</v>
      </c>
      <c r="C31" s="280" t="s">
        <v>442</v>
      </c>
      <c r="D31" s="282">
        <f>+5!H29+6!H30</f>
        <v>15647961</v>
      </c>
      <c r="E31" s="281">
        <f>+B31-D31</f>
        <v>0</v>
      </c>
    </row>
    <row r="32" spans="1:5" ht="12.75">
      <c r="A32" s="280" t="s">
        <v>475</v>
      </c>
      <c r="B32" s="281">
        <f>+1!D163</f>
        <v>717161267</v>
      </c>
      <c r="C32" s="280" t="s">
        <v>443</v>
      </c>
      <c r="D32" s="282">
        <f>+5!H30+6!H31</f>
        <v>717161267</v>
      </c>
      <c r="E32" s="281">
        <f>+B32-D32</f>
        <v>0</v>
      </c>
    </row>
    <row r="33" spans="1:5" ht="12.75">
      <c r="A33" s="280"/>
      <c r="B33" s="281"/>
      <c r="C33" s="280"/>
      <c r="D33" s="282"/>
      <c r="E33" s="281"/>
    </row>
    <row r="34" spans="1:5" ht="15">
      <c r="A34" s="286" t="str">
        <f>+Z_ÖSSZEFÜGGÉSEK!A37</f>
        <v>2022.évi teljesített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476</v>
      </c>
      <c r="B36" s="281">
        <f>+1!E137</f>
        <v>522247821</v>
      </c>
      <c r="C36" s="280" t="s">
        <v>433</v>
      </c>
      <c r="D36" s="282">
        <f>+5!I18+6!I17</f>
        <v>522247821</v>
      </c>
      <c r="E36" s="281">
        <f>+B36-D36</f>
        <v>0</v>
      </c>
    </row>
    <row r="37" spans="1:5" ht="12.75">
      <c r="A37" s="280" t="s">
        <v>477</v>
      </c>
      <c r="B37" s="281">
        <f>+1!E162</f>
        <v>15647961</v>
      </c>
      <c r="C37" s="280" t="s">
        <v>444</v>
      </c>
      <c r="D37" s="282">
        <f>+5!I29+6!I30</f>
        <v>15647961</v>
      </c>
      <c r="E37" s="281">
        <f>+B37-D37</f>
        <v>0</v>
      </c>
    </row>
    <row r="38" spans="1:5" ht="12.75">
      <c r="A38" s="280" t="s">
        <v>482</v>
      </c>
      <c r="B38" s="281">
        <f>+1!E163</f>
        <v>537895782</v>
      </c>
      <c r="C38" s="280" t="s">
        <v>445</v>
      </c>
      <c r="D38" s="282">
        <f>+5!I30+6!I31</f>
        <v>537895782</v>
      </c>
      <c r="E38" s="28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Baumann-Soós Adrienn</cp:lastModifiedBy>
  <cp:lastPrinted>2023-05-16T08:52:47Z</cp:lastPrinted>
  <dcterms:created xsi:type="dcterms:W3CDTF">1999-10-30T10:30:45Z</dcterms:created>
  <dcterms:modified xsi:type="dcterms:W3CDTF">2023-05-18T10:38:38Z</dcterms:modified>
  <cp:category/>
  <cp:version/>
  <cp:contentType/>
  <cp:contentStatus/>
</cp:coreProperties>
</file>