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firstSheet="3" activeTab="8"/>
  </bookViews>
  <sheets>
    <sheet name="1.össz.bevétel" sheetId="1" r:id="rId1"/>
    <sheet name="2.megosztott bev." sheetId="2" r:id="rId2"/>
    <sheet name="3.bev.részletes" sheetId="3" r:id="rId3"/>
    <sheet name="4.Állami tám." sheetId="4" r:id="rId4"/>
    <sheet name="5.K kiemelt ei." sheetId="5" r:id="rId5"/>
    <sheet name="6.K megosztás" sheetId="6" r:id="rId6"/>
    <sheet name="7.K.részletező" sheetId="7" r:id="rId7"/>
    <sheet name="8. fejlesztés" sheetId="8" r:id="rId8"/>
    <sheet name="9.létszám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0">'1.össz.bevétel'!$A$1:$J$97</definedName>
    <definedName name="_xlnm.Print_Area" localSheetId="2">'3.bev.részletes'!$A$1:$AB$72</definedName>
    <definedName name="_xlnm.Print_Area" localSheetId="3">'4.Állami tám.'!$A$1:$H$72</definedName>
    <definedName name="_xlnm.Print_Area" localSheetId="4">'5.K kiemelt ei.'!$A$1:$BO$58</definedName>
    <definedName name="_xlnm.Print_Area" localSheetId="5">'6.K megosztás'!$A$1:$AA$52</definedName>
    <definedName name="_xlnm.Print_Area" localSheetId="6">'7.K.részletező'!$A$1:$BC$138</definedName>
    <definedName name="_xlnm.Print_Area" localSheetId="7">'8. fejlesztés'!$A$1:$N$154</definedName>
  </definedNames>
  <calcPr fullCalcOnLoad="1"/>
</workbook>
</file>

<file path=xl/sharedStrings.xml><?xml version="1.0" encoding="utf-8"?>
<sst xmlns="http://schemas.openxmlformats.org/spreadsheetml/2006/main" count="1017" uniqueCount="704">
  <si>
    <t>Fejlesztési bevételek</t>
  </si>
  <si>
    <t>Lakásvásárlás törl. (Gagarin)</t>
  </si>
  <si>
    <t>Fejlesztési pénzmaradvány</t>
  </si>
  <si>
    <t xml:space="preserve"> Lakásalap</t>
  </si>
  <si>
    <t>Összesen:</t>
  </si>
  <si>
    <t>Müködési bevételek:</t>
  </si>
  <si>
    <t>ÁT feladatfinanszírozás</t>
  </si>
  <si>
    <t>Egyes jöv.pótló tám.</t>
  </si>
  <si>
    <t>Építményadó</t>
  </si>
  <si>
    <t>Telekadó</t>
  </si>
  <si>
    <t xml:space="preserve">Idegenforg adó épület után  </t>
  </si>
  <si>
    <t>Pótlék, bírság</t>
  </si>
  <si>
    <t>Kamatbevétel</t>
  </si>
  <si>
    <t>Működési bevételek összese:</t>
  </si>
  <si>
    <t>Önkormányzati tevékenység bevételei összesen:</t>
  </si>
  <si>
    <t>Lakbér</t>
  </si>
  <si>
    <t>Bérleti díj</t>
  </si>
  <si>
    <t>Továbbszámlázott szolg.</t>
  </si>
  <si>
    <t>Nádfedeles bérleti díj</t>
  </si>
  <si>
    <t>Közösségi színterek működtetése</t>
  </si>
  <si>
    <t>Csatorna eszk.haszn.díj</t>
  </si>
  <si>
    <t>Közösségi, társadalmi tevékenység</t>
  </si>
  <si>
    <t>Óvodai int. étk.</t>
  </si>
  <si>
    <t>Iskola intézményi étk.</t>
  </si>
  <si>
    <t>Munkahelyi vendéglátás</t>
  </si>
  <si>
    <t>Szociális étkeztetés</t>
  </si>
  <si>
    <t>Hulladékgazdálkodás</t>
  </si>
  <si>
    <t>Köztemetői feladatok</t>
  </si>
  <si>
    <t>Közhasznú foglalkoztatás</t>
  </si>
  <si>
    <t>Önkormányzat összesen:</t>
  </si>
  <si>
    <t>A</t>
  </si>
  <si>
    <t>B</t>
  </si>
  <si>
    <t>C</t>
  </si>
  <si>
    <t>D</t>
  </si>
  <si>
    <t>E</t>
  </si>
  <si>
    <t>szakfeladat megnevezése</t>
  </si>
  <si>
    <t>Kötelező feladat</t>
  </si>
  <si>
    <t>önként vállalt fel.</t>
  </si>
  <si>
    <t>államig. fel.</t>
  </si>
  <si>
    <t>összesen:</t>
  </si>
  <si>
    <t>Önkormányzat</t>
  </si>
  <si>
    <t>841112 Önkorm.jogalkotás</t>
  </si>
  <si>
    <t>841133 Adó és illetékek kiszabása, ellenőrzése</t>
  </si>
  <si>
    <t>841901 Önkormányzatok elszámolása</t>
  </si>
  <si>
    <t>841358 Turizmusfejlesztés támogatás</t>
  </si>
  <si>
    <t>869041 OEP finanszírozás</t>
  </si>
  <si>
    <t>Önkormányzati feladatok összesen:</t>
  </si>
  <si>
    <t>GEVSZ</t>
  </si>
  <si>
    <t>370000 Szennyvíz gyűjtése, tisztítása, elhelyezése</t>
  </si>
  <si>
    <t>381103 Hulladékgazdálkodás</t>
  </si>
  <si>
    <t>562912 óvodai étkeztetés</t>
  </si>
  <si>
    <t>562913 Iskolai étkeztetés</t>
  </si>
  <si>
    <t>562916 Tábor, vendég</t>
  </si>
  <si>
    <t>562917 Munkahelyi vendéglátás</t>
  </si>
  <si>
    <t>682001 Lakóingatlan bérbeadása</t>
  </si>
  <si>
    <t>682002 Nem lakóingatl. beérbeadása, üzemeltetése</t>
  </si>
  <si>
    <t>841403 Város és községgazdálkodás</t>
  </si>
  <si>
    <t>841154 Önkorm.vagyonnal történő gazd.fel.</t>
  </si>
  <si>
    <t>889921 Szociális étkeztetés</t>
  </si>
  <si>
    <t>890442 Közfoglalkoztatás</t>
  </si>
  <si>
    <t>910502 Közösségi színterek műk</t>
  </si>
  <si>
    <t>960302 Köztemető feladatok</t>
  </si>
  <si>
    <t>GEVSZ összesen</t>
  </si>
  <si>
    <t>G</t>
  </si>
  <si>
    <t>H</t>
  </si>
  <si>
    <t>I</t>
  </si>
  <si>
    <t>J</t>
  </si>
  <si>
    <t>K</t>
  </si>
  <si>
    <t>L</t>
  </si>
  <si>
    <t>M</t>
  </si>
  <si>
    <t>N</t>
  </si>
  <si>
    <t>P</t>
  </si>
  <si>
    <t>R</t>
  </si>
  <si>
    <t>S</t>
  </si>
  <si>
    <t>T</t>
  </si>
  <si>
    <t>U</t>
  </si>
  <si>
    <t>V</t>
  </si>
  <si>
    <t>W</t>
  </si>
  <si>
    <t>X</t>
  </si>
  <si>
    <t>Y</t>
  </si>
  <si>
    <t>Z</t>
  </si>
  <si>
    <t>Megnevezés</t>
  </si>
  <si>
    <t>841122 Önk. jogalkotás</t>
  </si>
  <si>
    <t>841133 Adó,ill.kiszab</t>
  </si>
  <si>
    <t>841358 Turizmusfejl.tám.</t>
  </si>
  <si>
    <t>841901 Önk.elsz.</t>
  </si>
  <si>
    <t>889942 Lakástám.visszatér.</t>
  </si>
  <si>
    <t>869041 Védőnői szolgálat</t>
  </si>
  <si>
    <t>Önkorm.össz.</t>
  </si>
  <si>
    <t>370000 Szennyvíz gyüjtés.</t>
  </si>
  <si>
    <t>381103 Tel.hull.kez.</t>
  </si>
  <si>
    <t>Óvodai étkeztetés 562912</t>
  </si>
  <si>
    <t>Iskolai étkeztetés 562913</t>
  </si>
  <si>
    <t>Munkah.vendégl.562917</t>
  </si>
  <si>
    <t>Tábor, vendég étk. 562916</t>
  </si>
  <si>
    <t>682001 Lakóing.haszn.</t>
  </si>
  <si>
    <t>682002 Nem lakóing.haszn.</t>
  </si>
  <si>
    <t>841154 Gazdasági ell.</t>
  </si>
  <si>
    <t>890442 közfoglalk.</t>
  </si>
  <si>
    <t>890444 Téli közfoglalkoztatás</t>
  </si>
  <si>
    <t>910502 Közöss.színt.műk</t>
  </si>
  <si>
    <t>940000 Családi ünnepek</t>
  </si>
  <si>
    <t>960302 Köztem. fennt.</t>
  </si>
  <si>
    <t>GEVSZ össszesen</t>
  </si>
  <si>
    <t>Teljes Önkormányzat összesen:</t>
  </si>
  <si>
    <t>Intézményi ellátási díjak</t>
  </si>
  <si>
    <t>Alkalmazottak térítése</t>
  </si>
  <si>
    <t>Egyéb alaptev.bevétele</t>
  </si>
  <si>
    <t>Alaptevékenység bev.össz.</t>
  </si>
  <si>
    <t>Alaptev.kör.végzett szolg.</t>
  </si>
  <si>
    <t>továbbszámlázott szolg.</t>
  </si>
  <si>
    <t>Alaptev. Összefüg.egyéb bev.</t>
  </si>
  <si>
    <t>kötbér, bírság</t>
  </si>
  <si>
    <t>egyéb bevétel</t>
  </si>
  <si>
    <t>Intézmnyek egyéb saj.bev.</t>
  </si>
  <si>
    <t>MűködésreÁFA visszetérülése</t>
  </si>
  <si>
    <t>Fejlesztéi ÁFA visszatérülése</t>
  </si>
  <si>
    <t>Kiszámlázott ÁFA</t>
  </si>
  <si>
    <t>Ért.tárgyi eszk ÁFA</t>
  </si>
  <si>
    <t>ÁFA bevételek és visszatér.</t>
  </si>
  <si>
    <t>ÁHT kivüli befekt.pü.e.kamat</t>
  </si>
  <si>
    <t>egyéb áht.kiv. Kamat</t>
  </si>
  <si>
    <t>Kamatbevételek</t>
  </si>
  <si>
    <t>Intézm. működési bev. Össz.</t>
  </si>
  <si>
    <t>Lakástámogatás visszatér</t>
  </si>
  <si>
    <t>Ingatlan értékesítés</t>
  </si>
  <si>
    <t>Önk.telek értékesítés</t>
  </si>
  <si>
    <t>Tárgyi eszk ért.összesen</t>
  </si>
  <si>
    <t>Önk.sajátos felhalm bev-</t>
  </si>
  <si>
    <t>Felhalm.kölcsön törl.visszafiz.</t>
  </si>
  <si>
    <t>Pü.befektetések bevételei</t>
  </si>
  <si>
    <t>Felhalm és tőkejell.bev. Össz.</t>
  </si>
  <si>
    <t>Önkorm. Költségvetési tám.</t>
  </si>
  <si>
    <t>Előző évi visszatérülés</t>
  </si>
  <si>
    <t>Tám.ért.bev.Munkaügyi kp</t>
  </si>
  <si>
    <t>Tám.ért.bev.OEP.</t>
  </si>
  <si>
    <t>Felhalm.pe.átvétel háztartástól</t>
  </si>
  <si>
    <t>Felhalm.pe.átvétel ÁH kívül</t>
  </si>
  <si>
    <t>Céltámogatás</t>
  </si>
  <si>
    <t>Támog.kieg.visszatér.össz.</t>
  </si>
  <si>
    <t>Pénzmaradvány</t>
  </si>
  <si>
    <t xml:space="preserve">Helyi adók </t>
  </si>
  <si>
    <t>Átengedett központi adó</t>
  </si>
  <si>
    <t>Egyéb sajátos bevétel</t>
  </si>
  <si>
    <t>Önk. sajátos bev. összesen</t>
  </si>
  <si>
    <t>Önkormányzati kötelező fel.</t>
  </si>
  <si>
    <t>Közoktatási Intézmények</t>
  </si>
  <si>
    <t>Szociális jell. Támogatások</t>
  </si>
  <si>
    <t>Gyermekétkeztetés</t>
  </si>
  <si>
    <t>Könyvtári támogatás</t>
  </si>
  <si>
    <t>Jövedelempótlő tám</t>
  </si>
  <si>
    <t>Központosított áll.tám.</t>
  </si>
  <si>
    <t>Állami támogatás összesen</t>
  </si>
  <si>
    <t>Röv.lej. Értékp.beváltás</t>
  </si>
  <si>
    <t>Bevételek összesen</t>
  </si>
  <si>
    <t>F</t>
  </si>
  <si>
    <t>Szem.juttatás</t>
  </si>
  <si>
    <t>Járulék</t>
  </si>
  <si>
    <t>Dologi kiadások</t>
  </si>
  <si>
    <t>Átadott pénzeszk.</t>
  </si>
  <si>
    <t>Műk. kiadás Össz.</t>
  </si>
  <si>
    <t>Fejlesztésre átadott pe.</t>
  </si>
  <si>
    <t>Fejlesztés</t>
  </si>
  <si>
    <t>Fejlesztés összesen</t>
  </si>
  <si>
    <t>Kiadások összesen</t>
  </si>
  <si>
    <t>Önkormányzat és feladatai összesen:</t>
  </si>
  <si>
    <t>Napköziotthonos Óvoda</t>
  </si>
  <si>
    <t>Szennyvízelvezetés, kezelés</t>
  </si>
  <si>
    <t>Lakóingatlan hasznosítása</t>
  </si>
  <si>
    <t>Nem lakóingatlan üzemeltetése</t>
  </si>
  <si>
    <t>Állategészségügyi tevékenység</t>
  </si>
  <si>
    <t>Utazászervezés, idegenvezetés</t>
  </si>
  <si>
    <t>Közvilágítás</t>
  </si>
  <si>
    <t>Gazdasági ellátó</t>
  </si>
  <si>
    <t>Város és községgazdálkodás</t>
  </si>
  <si>
    <t>Nemzetközi kapcsolatok</t>
  </si>
  <si>
    <t>Közművelődési könyvtár tev.</t>
  </si>
  <si>
    <t>Családi ünnepek szervezése</t>
  </si>
  <si>
    <t>Civil szervezetek támogatása</t>
  </si>
  <si>
    <t>Családsegítés</t>
  </si>
  <si>
    <t>Tanyagondoki szolgálat</t>
  </si>
  <si>
    <t>Család és nővédelmi egészségügyi gondozás</t>
  </si>
  <si>
    <t>Háziorvosi szolgálat</t>
  </si>
  <si>
    <t>Foglalkozásegészségügyi tev.</t>
  </si>
  <si>
    <t>Fogorvosi alapellátás</t>
  </si>
  <si>
    <t>Háziorvosi ügyeleti ellátás</t>
  </si>
  <si>
    <t>Óvodai étkeztetés</t>
  </si>
  <si>
    <t>Iskolai étkeztetés</t>
  </si>
  <si>
    <t>Tábor, vendéglátás</t>
  </si>
  <si>
    <t>Zölterület gondozás</t>
  </si>
  <si>
    <t>Közút karbantartás</t>
  </si>
  <si>
    <t>Épitményüzemeltetés</t>
  </si>
  <si>
    <t>Települési hulladékkezelés</t>
  </si>
  <si>
    <t>Közfoglalkoztatás</t>
  </si>
  <si>
    <t>Téli közfoglalkoztatás</t>
  </si>
  <si>
    <t>Fűrdő és strandszolgáltatás</t>
  </si>
  <si>
    <t>Önkományzat összesen:</t>
  </si>
  <si>
    <t>O</t>
  </si>
  <si>
    <t>Q</t>
  </si>
  <si>
    <t>Kötelező önkorm. feladat</t>
  </si>
  <si>
    <t>Önként vállalt feladatok</t>
  </si>
  <si>
    <t>Államigazgatási feladatok</t>
  </si>
  <si>
    <t>Összesített</t>
  </si>
  <si>
    <t>Szakfeladat megnevezése</t>
  </si>
  <si>
    <t>személyi juttatás</t>
  </si>
  <si>
    <t>munkaadót terh.jár.</t>
  </si>
  <si>
    <t>dologi kiadás</t>
  </si>
  <si>
    <t>Átadott pénzeszköz</t>
  </si>
  <si>
    <t xml:space="preserve">fejlesztés </t>
  </si>
  <si>
    <t xml:space="preserve">Köt.feladat összesen </t>
  </si>
  <si>
    <t xml:space="preserve">Önként váll.fel.összesen </t>
  </si>
  <si>
    <t>Államigazg.fel.össz.</t>
  </si>
  <si>
    <t>Személyi juttatások össz.</t>
  </si>
  <si>
    <t>Munkaadót terhelő járulékok össze.</t>
  </si>
  <si>
    <t>Dologi kiadások össz.</t>
  </si>
  <si>
    <t>Fejl. kiadások össz.</t>
  </si>
  <si>
    <t>Önkormányzati jogalkotás</t>
  </si>
  <si>
    <t>KÖH hozzájárulás</t>
  </si>
  <si>
    <t>Óvodai nevelés</t>
  </si>
  <si>
    <t>Gazdasági Ellátó és Vagyongazdálkodó Szervezet</t>
  </si>
  <si>
    <t>Szennyvíz gyűjtése, tisztítása, elhelyezése</t>
  </si>
  <si>
    <t>Telep.hulladék kezelés</t>
  </si>
  <si>
    <t>Közutak, hidak üzemeltetése</t>
  </si>
  <si>
    <t>Vendég, tábor,nyugdíjas</t>
  </si>
  <si>
    <t>Lakóingatlan bérbeadása</t>
  </si>
  <si>
    <t>Nem lakóingatlan bérbeadása, üzemeltetése</t>
  </si>
  <si>
    <t>Állategészségügyi ellátás</t>
  </si>
  <si>
    <t>Utazásszervezés, idegenvezetés</t>
  </si>
  <si>
    <t>Zöldterület gondozás</t>
  </si>
  <si>
    <t>Gazdasági Ellátó</t>
  </si>
  <si>
    <t>Város és Községgazd.m.n.s.egyéb tevékenység</t>
  </si>
  <si>
    <t xml:space="preserve">Iskolai oktatás </t>
  </si>
  <si>
    <t>Háziorvosi alapellátás</t>
  </si>
  <si>
    <t>Foglalkozásegészségügyi tevékenység</t>
  </si>
  <si>
    <t>Tanyagondnoki szolgálat</t>
  </si>
  <si>
    <t>Könyvtári szolgáltatások</t>
  </si>
  <si>
    <t>Közművelődési színterek működtetése</t>
  </si>
  <si>
    <t>Fürdő és strandszolgáltatás</t>
  </si>
  <si>
    <t>Közösségi társadalmi tevékenység</t>
  </si>
  <si>
    <t>AB</t>
  </si>
  <si>
    <t>AC</t>
  </si>
  <si>
    <t>AD</t>
  </si>
  <si>
    <t>AE</t>
  </si>
  <si>
    <t>AF</t>
  </si>
  <si>
    <t>AP</t>
  </si>
  <si>
    <t>AQ</t>
  </si>
  <si>
    <t>AR</t>
  </si>
  <si>
    <t>AT</t>
  </si>
  <si>
    <t>AU</t>
  </si>
  <si>
    <t>AV</t>
  </si>
  <si>
    <t>AW</t>
  </si>
  <si>
    <t>AX</t>
  </si>
  <si>
    <t>AZ</t>
  </si>
  <si>
    <t>BA</t>
  </si>
  <si>
    <t>BB</t>
  </si>
  <si>
    <t>Önkormányzatin tevékenység</t>
  </si>
  <si>
    <t>680001 Lakóing.haszn.</t>
  </si>
  <si>
    <t>841403 Város és Kg.</t>
  </si>
  <si>
    <t>854234 Szoc.ösztöndíjak</t>
  </si>
  <si>
    <t>882111 Szociális segély</t>
  </si>
  <si>
    <t>882113 Norm.lakásfennt.tám.</t>
  </si>
  <si>
    <t>882117 Rendsz.gyvéd.pénzb ell.</t>
  </si>
  <si>
    <t>882122 Átmeneti segély</t>
  </si>
  <si>
    <t>882123 Temetési segély</t>
  </si>
  <si>
    <t>882124 Rendkív gyvéd. ell.</t>
  </si>
  <si>
    <t>882129 Egyéb önk.ell.</t>
  </si>
  <si>
    <t xml:space="preserve">882202 Közgyógy ell. </t>
  </si>
  <si>
    <t>889942 Önláltal nyúj.lakástám.</t>
  </si>
  <si>
    <t>841907 Önkorm.elsz.szerv.</t>
  </si>
  <si>
    <t>Önkorm.összesen</t>
  </si>
  <si>
    <t>801115 Óvodai nevelés</t>
  </si>
  <si>
    <t>370000 Szennyvíz gyűjt.</t>
  </si>
  <si>
    <t>522110 Közutak</t>
  </si>
  <si>
    <t>562912 Óvodai étk</t>
  </si>
  <si>
    <t>562913 Iskolai étkez.</t>
  </si>
  <si>
    <t>562917 Munkh.vend.</t>
  </si>
  <si>
    <t>562916 Vendég, tábor étk.</t>
  </si>
  <si>
    <t>682001 Lakóing.bérb.</t>
  </si>
  <si>
    <t>682002 Nem lakóing.üz.</t>
  </si>
  <si>
    <t>750000 Állat-eü.ell.</t>
  </si>
  <si>
    <t>811000 Építményüz.</t>
  </si>
  <si>
    <t>813000 Zöldter.kez.</t>
  </si>
  <si>
    <t>841154GEVSZ Központ</t>
  </si>
  <si>
    <t>841402 Közvilágítás</t>
  </si>
  <si>
    <t>841403 Város és kg.g.</t>
  </si>
  <si>
    <t>842155 Nemzetközi kapcs.</t>
  </si>
  <si>
    <t>852011 Iskolai oktatás</t>
  </si>
  <si>
    <t>862101 Háziorvosi ellátás</t>
  </si>
  <si>
    <t>862102 Ügyelet</t>
  </si>
  <si>
    <t>862231 Fogl.eü.tev.</t>
  </si>
  <si>
    <t xml:space="preserve">862231 Fogorv. alapell. </t>
  </si>
  <si>
    <t>869041 Család és nő véd.</t>
  </si>
  <si>
    <t>889921 Szoc.étk.</t>
  </si>
  <si>
    <t>889924 Családsegítés</t>
  </si>
  <si>
    <t>889928 Tanyagondnoki sz.</t>
  </si>
  <si>
    <t>890301 Civil sz.tám.</t>
  </si>
  <si>
    <t>890442 Közmunkaprogram</t>
  </si>
  <si>
    <t>890444 Téli közfogl</t>
  </si>
  <si>
    <t>910123 Könyvtári szolg.</t>
  </si>
  <si>
    <t>910502 Közös.színt.műk.</t>
  </si>
  <si>
    <t>932911 Fűrdő és str.</t>
  </si>
  <si>
    <t>949900 Családi ünn.szerv</t>
  </si>
  <si>
    <t>960302 Köztemető</t>
  </si>
  <si>
    <t>GEVSZ Összesen</t>
  </si>
  <si>
    <t>Teljes önkormányzat</t>
  </si>
  <si>
    <t>Alapilletmény</t>
  </si>
  <si>
    <t>Illetménykiegészítés</t>
  </si>
  <si>
    <t>Nyelvpótlék</t>
  </si>
  <si>
    <t>Egyéb köt.pótlék</t>
  </si>
  <si>
    <t>egyéb felt.függő pótl.</t>
  </si>
  <si>
    <t>Egyéb költségtérítés</t>
  </si>
  <si>
    <t>Telj.munkaid.fogl.jutt.</t>
  </si>
  <si>
    <t>Részmunk.fogl.rendsz.</t>
  </si>
  <si>
    <t>Rensz.szem.jutt.össz.</t>
  </si>
  <si>
    <t>készenlét,ügyelet, túlóra</t>
  </si>
  <si>
    <t>Egyéb mv.kapcs.juttatásBETEG</t>
  </si>
  <si>
    <t>Munkvégz.kapcs.jutt.ö.</t>
  </si>
  <si>
    <t>részmunk.fogl.egyéb jutt</t>
  </si>
  <si>
    <t>Jutalom</t>
  </si>
  <si>
    <t>Jubileumi jutalom</t>
  </si>
  <si>
    <t>napidíj</t>
  </si>
  <si>
    <t>egyéb saj.jutt.</t>
  </si>
  <si>
    <t>Telj.munkaid.fogl saj.jutt.</t>
  </si>
  <si>
    <t>Fogl.saj.juttatásai ö.</t>
  </si>
  <si>
    <t>Ruházati ktg.térítés</t>
  </si>
  <si>
    <t>Közl.ktg.térítés</t>
  </si>
  <si>
    <t>Cafetéria (étkezési hj.)</t>
  </si>
  <si>
    <t>egyéb ktg.térítés,hj.</t>
  </si>
  <si>
    <t>Szemkapcs.ktg.tér.össz.</t>
  </si>
  <si>
    <t>Szemkapcs.ktg.tér.és hj.ö.</t>
  </si>
  <si>
    <t>Teljes midős szoc.jutt.</t>
  </si>
  <si>
    <t>Részm.szoc.jutt.</t>
  </si>
  <si>
    <t>Szoc.jutt.össz.</t>
  </si>
  <si>
    <t>Külféle nem rendsz.jutt. Tanf.</t>
  </si>
  <si>
    <t>Részm.nem rendsz.jutt.</t>
  </si>
  <si>
    <t>különf.nem rensz.jutt.össz.</t>
  </si>
  <si>
    <t>Nem rendsz.jutt.össz.</t>
  </si>
  <si>
    <t>Állományba nem tart.jutt.</t>
  </si>
  <si>
    <t>Megbizási dij</t>
  </si>
  <si>
    <t>Képviselői tiszteletdij</t>
  </si>
  <si>
    <t>Polgármester tiszteletdíj</t>
  </si>
  <si>
    <t>Külső juttatások összesen</t>
  </si>
  <si>
    <t>Szociális hozzájár.adó</t>
  </si>
  <si>
    <t>Eü hozzájárulás</t>
  </si>
  <si>
    <t>Munkadót terh. Járulékok</t>
  </si>
  <si>
    <t>Élelmiszer</t>
  </si>
  <si>
    <t>Gyógyszer</t>
  </si>
  <si>
    <t>irodaszer, nyomtatvány</t>
  </si>
  <si>
    <t>Könyv,folyóirat</t>
  </si>
  <si>
    <t>Egyéb inf.hordozó besz.</t>
  </si>
  <si>
    <t>hajtó és kenőanyag</t>
  </si>
  <si>
    <t>szakmai anyag</t>
  </si>
  <si>
    <t>kisért.tárgyi eszk.szell.term</t>
  </si>
  <si>
    <t>munkaruha,védőruha</t>
  </si>
  <si>
    <t>egyéb készlet</t>
  </si>
  <si>
    <t>Készletbeszerzés</t>
  </si>
  <si>
    <t>nem adatátv.célu távk.díj</t>
  </si>
  <si>
    <t>adatátv.távközl díj</t>
  </si>
  <si>
    <t>egyéb kommun.szolg.</t>
  </si>
  <si>
    <t>Komm.szolg. össz.</t>
  </si>
  <si>
    <t>Vásárolt élelmezés</t>
  </si>
  <si>
    <t>szállítási szolg.</t>
  </si>
  <si>
    <t>gázdíj</t>
  </si>
  <si>
    <t>villamosenergia</t>
  </si>
  <si>
    <t>Vízdíj, csatornadíj</t>
  </si>
  <si>
    <t>Ingatlan karbantartás</t>
  </si>
  <si>
    <t>gépek karb.,kisjavítás</t>
  </si>
  <si>
    <t>egyéb üzemeltetési szolg.</t>
  </si>
  <si>
    <t>Továbbszáml.szolg.áht.belül.</t>
  </si>
  <si>
    <t>továbbszáml.szolg.áht.kiv.</t>
  </si>
  <si>
    <t>Szolgáltatások össz.</t>
  </si>
  <si>
    <t>Vásárolg közszolg.</t>
  </si>
  <si>
    <t>Vásárolt term. ÁFA</t>
  </si>
  <si>
    <t>ÁFA befizetés</t>
  </si>
  <si>
    <t>tárgyi eszk.értk ÁFA</t>
  </si>
  <si>
    <t>ÁFA összesen</t>
  </si>
  <si>
    <t>Belföldi kiküldetés</t>
  </si>
  <si>
    <t>reprezentáció</t>
  </si>
  <si>
    <t>Reklám és propaganda</t>
  </si>
  <si>
    <t>Kiküld.repi,reklám össz.</t>
  </si>
  <si>
    <t>Egyéb dologi kiadások</t>
  </si>
  <si>
    <t>Dologi összesen:</t>
  </si>
  <si>
    <t>Egyéb befiz.köt.</t>
  </si>
  <si>
    <t>Különféle ktgvetési befiz.</t>
  </si>
  <si>
    <t>Adók, díjak össz.</t>
  </si>
  <si>
    <t>Kamat áht.kivülre</t>
  </si>
  <si>
    <t>Bizotsítás</t>
  </si>
  <si>
    <t>Egyéb folyó kiad.össz.</t>
  </si>
  <si>
    <t>Dologi és folyó kiad.össz.</t>
  </si>
  <si>
    <t>Önk. által folyós.ellátások</t>
  </si>
  <si>
    <t>Működési célú pénz.átad.ÁHK belül</t>
  </si>
  <si>
    <t>Műk.célú pénz.át.ÁHT kívül</t>
  </si>
  <si>
    <t>Müködési kiadások össz.</t>
  </si>
  <si>
    <t>Ing.felújítás</t>
  </si>
  <si>
    <t>Felújítás ÁFA</t>
  </si>
  <si>
    <t>Felújítás összesen:</t>
  </si>
  <si>
    <t>intézményi beruházás</t>
  </si>
  <si>
    <t>Jármű vásárlás</t>
  </si>
  <si>
    <t>gép bernd.felszer.vás.</t>
  </si>
  <si>
    <t>beruh. ÁFA</t>
  </si>
  <si>
    <t>Felhalm kiad.össz.</t>
  </si>
  <si>
    <t>Beruházás összeen</t>
  </si>
  <si>
    <t>Felh.célú pénz.átadás ÁHT.belül</t>
  </si>
  <si>
    <t>Felhalm.kiadások ÁHT kívülssz.</t>
  </si>
  <si>
    <t>Bahart tőkeemelés</t>
  </si>
  <si>
    <t>Felhalm.kiadások össz.</t>
  </si>
  <si>
    <t>Kiadások összesen:</t>
  </si>
  <si>
    <t>Műk.tartalék</t>
  </si>
  <si>
    <t>Fejl. Tartalék</t>
  </si>
  <si>
    <t>Céltartalék</t>
  </si>
  <si>
    <t>Tartalék összesen:</t>
  </si>
  <si>
    <t>Költvetési kiadások össz.</t>
  </si>
  <si>
    <t>Helyi önkorm.műk. támogatása</t>
  </si>
  <si>
    <t xml:space="preserve">Zöldterület gondozás </t>
  </si>
  <si>
    <t xml:space="preserve">Közvilágítás </t>
  </si>
  <si>
    <t xml:space="preserve">Köztemetői feladatok </t>
  </si>
  <si>
    <t xml:space="preserve">Közutak fenntartása </t>
  </si>
  <si>
    <t>Összesen</t>
  </si>
  <si>
    <t>beszámítással csökkentett támogatás összesen:</t>
  </si>
  <si>
    <t>Egyéb önkormánzati feladatok</t>
  </si>
  <si>
    <t>Települési önkorm. egyes köznevelési fel.tám.</t>
  </si>
  <si>
    <t>Óvoda bértámogatés 8/12</t>
  </si>
  <si>
    <t>Óvoda bértámogatés 4/12</t>
  </si>
  <si>
    <t>Óvoda működési tám 8/12</t>
  </si>
  <si>
    <t>Óvoda működési tám 4/12</t>
  </si>
  <si>
    <t>Köznevelési feladatok összesen:</t>
  </si>
  <si>
    <t>Hozzájárulás a pénzbeli szoc.ell.</t>
  </si>
  <si>
    <t>Egyes szoc.alapellátások tám.</t>
  </si>
  <si>
    <t>Tanyagondnki szolgáltatás</t>
  </si>
  <si>
    <t>Kistelepülések szoc.felad.tám.</t>
  </si>
  <si>
    <t>Gyermekétkeztetés támogatása</t>
  </si>
  <si>
    <t>dolgozók bértámogatása</t>
  </si>
  <si>
    <t>Államkincstár által közöl támogatás össz.</t>
  </si>
  <si>
    <t>Üdülőhelyi feladatok</t>
  </si>
  <si>
    <t>Lakott külterületi feladatok</t>
  </si>
  <si>
    <t>Rendszeres szociális segély 90%</t>
  </si>
  <si>
    <t>Foglalkoztatást helyettesítő támogatás  80%</t>
  </si>
  <si>
    <t>Lakásfenntartási támogatás normatív 90 %</t>
  </si>
  <si>
    <t>Állami támogatás összesen:</t>
  </si>
  <si>
    <t>Adatok 
ezer Ft-ban</t>
  </si>
  <si>
    <t>Beruházás Áfa:</t>
  </si>
  <si>
    <t>Int.beruházás összesen:</t>
  </si>
  <si>
    <t>4.</t>
  </si>
  <si>
    <t>Áfa</t>
  </si>
  <si>
    <t>Önkormányzati feladatok</t>
  </si>
  <si>
    <t xml:space="preserve">Fejlesztésre átadott pénzeszköz </t>
  </si>
  <si>
    <t>Fejlesztésre átadott pénzestköz összesen</t>
  </si>
  <si>
    <t>Felújítás áfa</t>
  </si>
  <si>
    <t>Város és Községgazdálkodás</t>
  </si>
  <si>
    <t>Aligai u 37 ingatlanrész felújítása</t>
  </si>
  <si>
    <t>Nettó</t>
  </si>
  <si>
    <t>Ravatalozó felújítása</t>
  </si>
  <si>
    <t>Köztemető fenntartása</t>
  </si>
  <si>
    <t xml:space="preserve">GEVSZ Központ </t>
  </si>
  <si>
    <t>Nettó összesen:</t>
  </si>
  <si>
    <t xml:space="preserve">Intézményi beruházás összesen: </t>
  </si>
  <si>
    <t>Intézményi beruházás</t>
  </si>
  <si>
    <t>Iskola működtetése</t>
  </si>
  <si>
    <t>Önkormányzati bevételek 2015.</t>
  </si>
  <si>
    <t>Bevételek megoszlása 2015.</t>
  </si>
  <si>
    <t>Bevételek 2015.</t>
  </si>
  <si>
    <t>Kiadások 2015</t>
  </si>
  <si>
    <t>Kiadás 2015</t>
  </si>
  <si>
    <t>2015.évben tervezett felhalmozási kiadások</t>
  </si>
  <si>
    <t>Állami támogatás megoszlása 2015. évben</t>
  </si>
  <si>
    <t>beszámítás</t>
  </si>
  <si>
    <t>Egyéb önkormányzati fel. beszámítás után</t>
  </si>
  <si>
    <t>Lakott külterületi fel. beszámítás után</t>
  </si>
  <si>
    <t>Üdülőhelyi feladatok beszámítás után</t>
  </si>
  <si>
    <t>gyermekétkeztetés üzemeltetés tám.</t>
  </si>
  <si>
    <t>gyermekétkeztetés támogatás össz.</t>
  </si>
  <si>
    <t>Ft.</t>
  </si>
  <si>
    <t>Környezetvédelmi Alap</t>
  </si>
  <si>
    <t>Talajterhelési díj</t>
  </si>
  <si>
    <t>Promot főépitész támogatás</t>
  </si>
  <si>
    <t>Beruházások</t>
  </si>
  <si>
    <t>Iskola hőszigetelése</t>
  </si>
  <si>
    <t>Beruházás összesen:</t>
  </si>
  <si>
    <t>Beruházás Áfa</t>
  </si>
  <si>
    <t>Nettó beruházás összesen:</t>
  </si>
  <si>
    <t xml:space="preserve">Beruházás összesen: </t>
  </si>
  <si>
    <t>Gépjármű beszerzés</t>
  </si>
  <si>
    <t xml:space="preserve">Telekvásárlás (Kodály u.) </t>
  </si>
  <si>
    <t>Ingatlan vásárlás (Bisztró)</t>
  </si>
  <si>
    <t>Magyar u. szennyvízhez terület vásárlás</t>
  </si>
  <si>
    <t>Gagarin ltp. 4. lakások 2 db gázkazán vásárlás</t>
  </si>
  <si>
    <t xml:space="preserve">Lakosságnak lakásvásárlásra, felújításra adott kölcsön </t>
  </si>
  <si>
    <t>Felújítás</t>
  </si>
  <si>
    <t>Orvosi rendelő, védőnői szolg. nyílászázó cseréje</t>
  </si>
  <si>
    <t>Gagarin ltp 4. lakás felújítása</t>
  </si>
  <si>
    <t>Gagarin ltp 4. lakás ablakcsere</t>
  </si>
  <si>
    <t>Nettó felújítás</t>
  </si>
  <si>
    <t>Önkormányzati fejlsztési kiadások összeen:</t>
  </si>
  <si>
    <t>Gagarin ltp víz, szennyvíz tervezés</t>
  </si>
  <si>
    <t>Játszótér villamos mérőhely kialakítása</t>
  </si>
  <si>
    <t>Konténeres vizesblokk tervezés, kialakítása</t>
  </si>
  <si>
    <t>Útfelújítás (Hétvezér, Harmat, Zalán)</t>
  </si>
  <si>
    <t>Iskola U alak aszfalt felújítása</t>
  </si>
  <si>
    <t>Projektor vásárlás</t>
  </si>
  <si>
    <t>Intézményi beruházás áfa</t>
  </si>
  <si>
    <t>Szeletelőgép vásárlás</t>
  </si>
  <si>
    <t>Közétkeztetési részegység</t>
  </si>
  <si>
    <t>Telepüzemeltetési részegység</t>
  </si>
  <si>
    <t>Kistraktor (hótoláshoz)</t>
  </si>
  <si>
    <t>Fűnyíró vásárlás</t>
  </si>
  <si>
    <t>Damilos fűkasza vásárlás</t>
  </si>
  <si>
    <t>GEVSZ beruházás összesen:</t>
  </si>
  <si>
    <t>GEVSZ nettó beruházás összesen:</t>
  </si>
  <si>
    <t xml:space="preserve">GEVSZ felújítási kiadások </t>
  </si>
  <si>
    <t>GEVSZ nettó felújítás</t>
  </si>
  <si>
    <t xml:space="preserve">GEVSZ felújítás összesen: </t>
  </si>
  <si>
    <t>GEVSZ felhalmozási kiadások összesen:</t>
  </si>
  <si>
    <t>Intézményi berzházás áfa</t>
  </si>
  <si>
    <t>Önkormányzati felhalmozási kiadások összesen</t>
  </si>
  <si>
    <t xml:space="preserve">Önkormányzati felhalmozási kiadások </t>
  </si>
  <si>
    <t>Intézményi felújítás</t>
  </si>
  <si>
    <t>841402 Város és községgazd.</t>
  </si>
  <si>
    <t>KÖH hozzájárulás előző évi visszatérítése</t>
  </si>
  <si>
    <t>Támohatáért. bev. áht belül</t>
  </si>
  <si>
    <t>Tám.érté.bev. áht kívül</t>
  </si>
  <si>
    <t>OTP közreműk.díj</t>
  </si>
  <si>
    <t>Ingatlanvásárlás</t>
  </si>
  <si>
    <t>Munkáltatói szja</t>
  </si>
  <si>
    <t>Rehabilitációs hozzájárulás</t>
  </si>
  <si>
    <t>841358 Utazásszerv.</t>
  </si>
  <si>
    <t>890441-890444</t>
  </si>
  <si>
    <t>Számítógép vásárlás</t>
  </si>
  <si>
    <t>Család és nővédelem</t>
  </si>
  <si>
    <t>Óvoda bevételek</t>
  </si>
  <si>
    <t>Működési pénzmaradvány</t>
  </si>
  <si>
    <t>Önkormányzat működési bevétel  összesen:</t>
  </si>
  <si>
    <t>Önkormányzati bevétel  összesen:</t>
  </si>
  <si>
    <t>Napköziotthonos óvoda</t>
  </si>
  <si>
    <t>851011 Óvodai nevelés</t>
  </si>
  <si>
    <t>Felhalm. kölcsön törl.</t>
  </si>
  <si>
    <t>Felhalm. kölcsön törl. FP</t>
  </si>
  <si>
    <t>GEVSZ bevételek 2015</t>
  </si>
  <si>
    <t>AA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</si>
  <si>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</si>
  <si>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</si>
  <si>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</si>
  <si>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</si>
  <si>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</si>
  <si>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</si>
  <si>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</si>
  <si>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</si>
  <si>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</si>
  <si>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AS</t>
  </si>
  <si>
    <t>Telj. 06.30.</t>
  </si>
  <si>
    <t>Szennyvízcsatorna törlesztés</t>
  </si>
  <si>
    <t>Msz. komm. Adója</t>
  </si>
  <si>
    <t xml:space="preserve">Idegenforg adó tartózk. után  </t>
  </si>
  <si>
    <t>Iparűzési adó</t>
  </si>
  <si>
    <t>Gépjárműadó</t>
  </si>
  <si>
    <t>Turizmus fejlesztési támogatás</t>
  </si>
  <si>
    <t>OEP támogatás Védőnői sz.</t>
  </si>
  <si>
    <t>OEP támogatás Háziorvos</t>
  </si>
  <si>
    <t>Lekötött betét visszatérítés</t>
  </si>
  <si>
    <t>Óvoda összesen</t>
  </si>
  <si>
    <t>Földbérletidíj</t>
  </si>
  <si>
    <t>Eon áramdíj visszatérítés</t>
  </si>
  <si>
    <t>Egyéb bevétel (telekrendezés)</t>
  </si>
  <si>
    <t>Egyéb bevétel (vízdíj visszatérítés)</t>
  </si>
  <si>
    <t>Egyéb bevétel (fénymásolás)</t>
  </si>
  <si>
    <t>Nyári napközis tábor</t>
  </si>
  <si>
    <t>Müködési pénzmaradvány</t>
  </si>
  <si>
    <t>Vendég, Nyári tábor</t>
  </si>
  <si>
    <t>Egyéb bevétel (hulladék ért, bizt.térítés)</t>
  </si>
  <si>
    <t>Müködési bevételek összesen:</t>
  </si>
  <si>
    <t>Óvoda Finanszírozás</t>
  </si>
  <si>
    <t>GEVSZ finanszírozás</t>
  </si>
  <si>
    <t>949900 Családi ünnepek szervezetése</t>
  </si>
  <si>
    <t>önk.össz</t>
  </si>
  <si>
    <t>2015. I félév</t>
  </si>
  <si>
    <t>Tel.önk. szociális és gyermekjóléti fel. tám.</t>
  </si>
  <si>
    <t>Szoc.ágazat bérkiegészítés</t>
  </si>
  <si>
    <t>Szoc. és gyermekjóléti szolg. összesen:</t>
  </si>
  <si>
    <t>Dolgozók keresetkiegészítés</t>
  </si>
  <si>
    <t>Egyes jövedelempótl. Tám.</t>
  </si>
  <si>
    <t>Eredeti ei.</t>
  </si>
  <si>
    <t>telj.06.30</t>
  </si>
  <si>
    <t>%</t>
  </si>
  <si>
    <t>Szabad pénzeszköz lekötés</t>
  </si>
  <si>
    <t>Iskolai működtetése</t>
  </si>
  <si>
    <t>Imeteriális javak</t>
  </si>
  <si>
    <t>Mód.ei. 06.30</t>
  </si>
  <si>
    <t>I/1</t>
  </si>
  <si>
    <t>I/2</t>
  </si>
  <si>
    <t>HÉSZ módosítás</t>
  </si>
  <si>
    <t>Térfigyelő kamera rendszer tovább építése</t>
  </si>
  <si>
    <t xml:space="preserve">Gagarin ltp 6/6 gézkazán csere </t>
  </si>
  <si>
    <t>I/3</t>
  </si>
  <si>
    <t>Iskola nyílászáró cseréje+belső párkány</t>
  </si>
  <si>
    <t>Étkezés feltételeit javító pályázat önrész</t>
  </si>
  <si>
    <t>Belterületi utak felújítása közbeszerzés</t>
  </si>
  <si>
    <t>II.</t>
  </si>
  <si>
    <t>Új óvoda rész berendezése</t>
  </si>
  <si>
    <t>Intézményi beruházás összesen</t>
  </si>
  <si>
    <t>III.</t>
  </si>
  <si>
    <t>II/1</t>
  </si>
  <si>
    <t>Turisztikai Alapból nyútott támogatás</t>
  </si>
  <si>
    <t>II/2</t>
  </si>
  <si>
    <t>Intézményi beruházások</t>
  </si>
  <si>
    <t>számítógép, nyomtató vásárlása</t>
  </si>
  <si>
    <t>Szennyvíz gyüjtés, tisztítása</t>
  </si>
  <si>
    <t xml:space="preserve">Szivattyú vásárlás (József A. u) </t>
  </si>
  <si>
    <t>Játszótér víz, villany kiépítés</t>
  </si>
  <si>
    <t>Játszótér parkoló</t>
  </si>
  <si>
    <t>Tanyagondnoki gépjármű beszerzése  önerő</t>
  </si>
  <si>
    <t>Könyvtár/Közösségi színterek</t>
  </si>
  <si>
    <t>kulturális eszközök (csocsó)</t>
  </si>
  <si>
    <t>nyomtató vásárlás</t>
  </si>
  <si>
    <t>Csővázas aztalok</t>
  </si>
  <si>
    <t>Kamerarendszer kiépítése+monitor</t>
  </si>
  <si>
    <t>Bozóvágó, sövényvágó, fűkasza (ellopott pótlása)</t>
  </si>
  <si>
    <t>II/3</t>
  </si>
  <si>
    <t>2015. Eredet ei.</t>
  </si>
  <si>
    <t>Mód.ei. 06.30.</t>
  </si>
  <si>
    <t>Mód.ei. 09.30</t>
  </si>
  <si>
    <t>Telj. 09.30.</t>
  </si>
  <si>
    <t>Mód.ei 06.30</t>
  </si>
  <si>
    <t>Mód.ei. 09.30.</t>
  </si>
  <si>
    <t>2015. III.név</t>
  </si>
  <si>
    <t>Telj. 09.30</t>
  </si>
  <si>
    <t>Háziorv.ügyelet előző évi visszatér.</t>
  </si>
  <si>
    <t>Cicil szerv.visszafiz.(polgárőrség)</t>
  </si>
  <si>
    <t>Láncfűrész vásárlás 1 db 150+ áfa, 1 db 177+áfa</t>
  </si>
  <si>
    <t>Kisértékű eszk. Akkus csavarhúzó 38 e Ft+kompresszor 91 e Ft</t>
  </si>
  <si>
    <t>Vízkárelhárítási terv</t>
  </si>
  <si>
    <t>Belterületi utak felújítása+műsz.ell.</t>
  </si>
  <si>
    <t>Térfigy.kamera mikróhullámú összeköttetés</t>
  </si>
  <si>
    <t>Hozzájárulás Közös önkormányzati hiv.működéséhez</t>
  </si>
  <si>
    <t>Előző évi áll.tám.elszám+DRV+Kistérség</t>
  </si>
  <si>
    <t>Telekértékesítés, útértékesítés</t>
  </si>
  <si>
    <t>EOn terület értékesítés</t>
  </si>
  <si>
    <t>Perköltség+bérleti díj+EON perktg.</t>
  </si>
  <si>
    <t>Ellátottak pénzbeli juttatásai</t>
  </si>
  <si>
    <t>Támogértk.bevétel GM+MVH</t>
  </si>
  <si>
    <t>889928 Önkorm.által nyújtott tám.visszatérítés</t>
  </si>
  <si>
    <t>841901 Önkormányzat elszámolásai</t>
  </si>
  <si>
    <t>1.melléklet a 16/2015.(XII.01.) önkormányzati rendelethez</t>
  </si>
  <si>
    <t>2. melléklet a 16/2015.(XII.01.) önkormányzati rendelethez</t>
  </si>
  <si>
    <t>3. melléklet a 16/2015.(XII.01.) önkormányzati rendelethez</t>
  </si>
  <si>
    <t>4. melléklet a 16/2015.(XII.01.) önkormányzati rendelethez</t>
  </si>
  <si>
    <t>5. melléklet 16/2015.(XII.01.)  önkormányzati rendelethez</t>
  </si>
  <si>
    <t>6. melléklet a 16/2015.(XII.01.)  önkormányzati rendelethez</t>
  </si>
  <si>
    <t>7 melléklet a 16/2015.(XII.01.) önkormányzati rendelethez</t>
  </si>
  <si>
    <t>8. melléklet a 16/2015.(XII.01.) önkormányzati rendelethez</t>
  </si>
  <si>
    <t>Mód.ei 12.30</t>
  </si>
  <si>
    <t>Telj.  12.30</t>
  </si>
  <si>
    <t>Mód.ei. 12.31.</t>
  </si>
  <si>
    <t>Telj. 12.31.</t>
  </si>
  <si>
    <t xml:space="preserve">Telj.  12.31. </t>
  </si>
  <si>
    <t>Mód. ei. 12.31.</t>
  </si>
  <si>
    <t>Alapítvány (Pro-Mot, Behlen G.) rendezv.tám.</t>
  </si>
  <si>
    <t>bevétel ei 841154-en van</t>
  </si>
  <si>
    <t>előirányzat</t>
  </si>
  <si>
    <t>telj.</t>
  </si>
  <si>
    <t>alap</t>
  </si>
  <si>
    <t>áfa</t>
  </si>
  <si>
    <t>RM lábaasok</t>
  </si>
  <si>
    <t>Ételmintás hűtő</t>
  </si>
  <si>
    <t>Közfoglakozt. Tám.lombfúvó beszerzés</t>
  </si>
  <si>
    <t>int.beruh.áfa</t>
  </si>
  <si>
    <t>beruházás összesen:</t>
  </si>
  <si>
    <t>Tanyagondnoki szolg. porszívó vásárlás</t>
  </si>
  <si>
    <t>jár+1</t>
  </si>
  <si>
    <t>2015.IV.név</t>
  </si>
  <si>
    <t>Lakossági víz- és csatornatámogatás</t>
  </si>
  <si>
    <t xml:space="preserve">Gyermekszegénység elleni program </t>
  </si>
  <si>
    <t>Kiegészítő és kötött felhaszn.támogat.</t>
  </si>
  <si>
    <t>Áthúzódó bérkompenzáció</t>
  </si>
  <si>
    <t>Szociális ágazati, kiegészítő pótlék</t>
  </si>
  <si>
    <t>Kiegészítő és kötött felhaszn.támogat.összesen</t>
  </si>
  <si>
    <t>Felhalm.célú támog.MVH</t>
  </si>
  <si>
    <t>Kamerarendszer visszatérítés</t>
  </si>
  <si>
    <t>Áht.belüli megelőlegezés</t>
  </si>
  <si>
    <t>210+138</t>
  </si>
  <si>
    <t>Köztemeté +segély visszatérülés</t>
  </si>
  <si>
    <t>141+10</t>
  </si>
  <si>
    <t>Egyéb terület értékesítés(E.On)</t>
  </si>
  <si>
    <t>Céljutalom</t>
  </si>
  <si>
    <t>Ker.kieg+betegsz.</t>
  </si>
  <si>
    <t>Elvonás előző évi át.után</t>
  </si>
  <si>
    <t>CD lejátszó</t>
  </si>
  <si>
    <t>KEOP pályázat önrész Áfa</t>
  </si>
  <si>
    <t>Attila-köz telek kialakítás</t>
  </si>
  <si>
    <t>Bisztró tetőfelújítás</t>
  </si>
  <si>
    <t xml:space="preserve"> Balatonvilágos Község Önkormányzata 2015</t>
  </si>
  <si>
    <t>Közalkalmazott</t>
  </si>
  <si>
    <t>MT szerint foglalkoztatottt</t>
  </si>
  <si>
    <t>Állandó foglalkoztatottak összesen</t>
  </si>
  <si>
    <t>közmunkaprogr.fogl.</t>
  </si>
  <si>
    <t>2015. évi terv</t>
  </si>
  <si>
    <t>Háziorvosi szolgálat közalkalmazott</t>
  </si>
  <si>
    <t>Védőnői szolgálat, közalkalmazott</t>
  </si>
  <si>
    <t>Közösségi színterek műk.</t>
  </si>
  <si>
    <t xml:space="preserve">Közétkeztetés </t>
  </si>
  <si>
    <t>Településüzemeltetés</t>
  </si>
  <si>
    <t>GEVSZ Központ</t>
  </si>
  <si>
    <t>GEVSZ összesen:</t>
  </si>
  <si>
    <t>9. melléklet a …../2015.() önkormányzati rendelethez</t>
  </si>
  <si>
    <t>Rehabilitációs foglalk.</t>
  </si>
  <si>
    <t>Intézmények összesen: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</si>
</sst>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#"/>
    <numFmt numFmtId="166" formatCode="#"/>
    <numFmt numFmtId="167" formatCode="_-* #,##0\ _F_t_-;\-* #,##0\ _F_t_-;_-* &quot;-&quot;??\ _F_t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sz val="12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0"/>
    </font>
    <font>
      <sz val="10"/>
      <color indexed="8"/>
      <name val="Arial"/>
      <family val="2"/>
    </font>
    <font>
      <sz val="14"/>
      <name val="Times New Roman CE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Times New Roman CE"/>
      <family val="1"/>
    </font>
    <font>
      <sz val="11"/>
      <name val="Calibri"/>
      <family val="2"/>
    </font>
    <font>
      <sz val="10"/>
      <color indexed="60"/>
      <name val="Arial"/>
      <family val="2"/>
    </font>
    <font>
      <b/>
      <sz val="18"/>
      <name val="Times New Roman CE"/>
      <family val="0"/>
    </font>
    <font>
      <sz val="14"/>
      <name val="Arial"/>
      <family val="2"/>
    </font>
    <font>
      <b/>
      <sz val="16"/>
      <name val="Times New Roman CE"/>
      <family val="0"/>
    </font>
    <font>
      <sz val="12"/>
      <color indexed="10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0"/>
      <color indexed="60"/>
      <name val="Times New Roman CE"/>
      <family val="1"/>
    </font>
    <font>
      <sz val="12"/>
      <color indexed="30"/>
      <name val="Times New Roman CE"/>
      <family val="1"/>
    </font>
    <font>
      <b/>
      <sz val="12"/>
      <color indexed="30"/>
      <name val="Times New Roman CE"/>
      <family val="1"/>
    </font>
    <font>
      <b/>
      <sz val="10"/>
      <color indexed="10"/>
      <name val="Arial"/>
      <family val="2"/>
    </font>
    <font>
      <sz val="11"/>
      <color indexed="40"/>
      <name val="Calibri"/>
      <family val="2"/>
    </font>
    <font>
      <b/>
      <sz val="12"/>
      <color indexed="40"/>
      <name val="Arial"/>
      <family val="2"/>
    </font>
    <font>
      <b/>
      <sz val="12"/>
      <color indexed="10"/>
      <name val="Times New Roman CE"/>
      <family val="1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1"/>
    </font>
    <font>
      <sz val="12"/>
      <color rgb="FFFF0000"/>
      <name val="Times New Roman CE"/>
      <family val="1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sz val="10"/>
      <color rgb="FFC00000"/>
      <name val="Times New Roman CE"/>
      <family val="1"/>
    </font>
    <font>
      <sz val="12"/>
      <color rgb="FF0070C0"/>
      <name val="Times New Roman CE"/>
      <family val="1"/>
    </font>
    <font>
      <b/>
      <sz val="12"/>
      <color rgb="FF0070C0"/>
      <name val="Times New Roman CE"/>
      <family val="1"/>
    </font>
    <font>
      <b/>
      <sz val="10"/>
      <color rgb="FFFF0000"/>
      <name val="Arial"/>
      <family val="2"/>
    </font>
    <font>
      <sz val="11"/>
      <color rgb="FF00B0F0"/>
      <name val="Calibri"/>
      <family val="2"/>
    </font>
    <font>
      <b/>
      <sz val="12"/>
      <color rgb="FF00B0F0"/>
      <name val="Arial"/>
      <family val="2"/>
    </font>
    <font>
      <b/>
      <sz val="12"/>
      <color rgb="FFFF0000"/>
      <name val="Times New Roman CE"/>
      <family val="1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8" borderId="7" applyNumberFormat="0" applyFont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2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" fontId="10" fillId="0" borderId="10" xfId="54" applyNumberFormat="1" applyFont="1" applyFill="1" applyBorder="1" applyAlignment="1" applyProtection="1">
      <alignment/>
      <protection locked="0"/>
    </xf>
    <xf numFmtId="1" fontId="10" fillId="0" borderId="10" xfId="54" applyNumberFormat="1" applyFont="1" applyFill="1" applyBorder="1" applyAlignment="1" applyProtection="1">
      <alignment wrapText="1"/>
      <protection locked="0"/>
    </xf>
    <xf numFmtId="1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12" fillId="0" borderId="10" xfId="54" applyNumberFormat="1" applyFont="1" applyFill="1" applyBorder="1" applyAlignment="1" applyProtection="1">
      <alignment/>
      <protection locked="0"/>
    </xf>
    <xf numFmtId="1" fontId="12" fillId="0" borderId="10" xfId="54" applyNumberFormat="1" applyFont="1" applyFill="1" applyBorder="1" applyAlignment="1" applyProtection="1">
      <alignment wrapText="1"/>
      <protection locked="0"/>
    </xf>
    <xf numFmtId="1" fontId="7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15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5" fillId="0" borderId="10" xfId="0" applyNumberFormat="1" applyFont="1" applyBorder="1" applyAlignment="1">
      <alignment horizontal="center" wrapText="1"/>
    </xf>
    <xf numFmtId="3" fontId="15" fillId="0" borderId="11" xfId="0" applyNumberFormat="1" applyFont="1" applyBorder="1" applyAlignment="1">
      <alignment horizontal="center"/>
    </xf>
    <xf numFmtId="3" fontId="15" fillId="0" borderId="12" xfId="0" applyNumberFormat="1" applyFont="1" applyBorder="1" applyAlignment="1">
      <alignment horizontal="center"/>
    </xf>
    <xf numFmtId="3" fontId="15" fillId="0" borderId="14" xfId="0" applyNumberFormat="1" applyFont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wrapText="1"/>
    </xf>
    <xf numFmtId="3" fontId="1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0" fillId="0" borderId="0" xfId="55" applyFont="1" applyFill="1">
      <alignment/>
      <protection/>
    </xf>
    <xf numFmtId="0" fontId="12" fillId="0" borderId="0" xfId="55" applyFont="1" applyFill="1">
      <alignment/>
      <protection/>
    </xf>
    <xf numFmtId="0" fontId="9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17" fillId="0" borderId="10" xfId="55" applyNumberFormat="1" applyFont="1" applyFill="1" applyBorder="1">
      <alignment/>
      <protection/>
    </xf>
    <xf numFmtId="3" fontId="17" fillId="0" borderId="10" xfId="55" applyNumberFormat="1" applyFont="1" applyFill="1" applyBorder="1" applyAlignment="1">
      <alignment horizontal="center" vertical="center" wrapText="1"/>
      <protection/>
    </xf>
    <xf numFmtId="3" fontId="18" fillId="0" borderId="10" xfId="55" applyNumberFormat="1" applyFont="1" applyFill="1" applyBorder="1">
      <alignment/>
      <protection/>
    </xf>
    <xf numFmtId="3" fontId="18" fillId="0" borderId="10" xfId="55" applyNumberFormat="1" applyFont="1" applyFill="1" applyBorder="1" applyAlignment="1">
      <alignment horizontal="left" vertical="center" wrapText="1"/>
      <protection/>
    </xf>
    <xf numFmtId="3" fontId="17" fillId="0" borderId="10" xfId="55" applyNumberFormat="1" applyFont="1" applyFill="1" applyBorder="1" applyAlignment="1">
      <alignment horizontal="right"/>
      <protection/>
    </xf>
    <xf numFmtId="3" fontId="7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/>
    </xf>
    <xf numFmtId="3" fontId="17" fillId="0" borderId="10" xfId="55" applyNumberFormat="1" applyFont="1" applyFill="1" applyBorder="1" applyAlignment="1">
      <alignment/>
      <protection/>
    </xf>
    <xf numFmtId="3" fontId="18" fillId="0" borderId="10" xfId="55" applyNumberFormat="1" applyFont="1" applyFill="1" applyBorder="1" applyAlignment="1">
      <alignment wrapText="1"/>
      <protection/>
    </xf>
    <xf numFmtId="3" fontId="18" fillId="0" borderId="0" xfId="55" applyNumberFormat="1" applyFont="1" applyFill="1" applyBorder="1">
      <alignment/>
      <protection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16" fontId="5" fillId="0" borderId="10" xfId="0" applyNumberFormat="1" applyFont="1" applyBorder="1" applyAlignment="1">
      <alignment/>
    </xf>
    <xf numFmtId="0" fontId="12" fillId="0" borderId="0" xfId="55" applyFont="1" applyFill="1" applyAlignment="1">
      <alignment horizontal="center"/>
      <protection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3" fontId="18" fillId="0" borderId="11" xfId="55" applyNumberFormat="1" applyFont="1" applyFill="1" applyBorder="1">
      <alignment/>
      <protection/>
    </xf>
    <xf numFmtId="0" fontId="9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9" fillId="0" borderId="10" xfId="0" applyFont="1" applyBorder="1" applyAlignment="1">
      <alignment/>
    </xf>
    <xf numFmtId="1" fontId="20" fillId="0" borderId="10" xfId="0" applyNumberFormat="1" applyFont="1" applyBorder="1" applyAlignment="1">
      <alignment wrapText="1"/>
    </xf>
    <xf numFmtId="1" fontId="20" fillId="0" borderId="10" xfId="0" applyNumberFormat="1" applyFont="1" applyBorder="1" applyAlignment="1">
      <alignment/>
    </xf>
    <xf numFmtId="0" fontId="10" fillId="0" borderId="10" xfId="55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17" fillId="0" borderId="11" xfId="55" applyNumberFormat="1" applyFont="1" applyFill="1" applyBorder="1" applyAlignment="1">
      <alignment horizontal="center" vertical="center" wrapText="1"/>
      <protection/>
    </xf>
    <xf numFmtId="3" fontId="17" fillId="0" borderId="11" xfId="55" applyNumberFormat="1" applyFont="1" applyFill="1" applyBorder="1">
      <alignment/>
      <protection/>
    </xf>
    <xf numFmtId="3" fontId="9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3" fontId="12" fillId="0" borderId="10" xfId="0" applyNumberFormat="1" applyFont="1" applyFill="1" applyBorder="1" applyAlignment="1">
      <alignment vertical="center" wrapText="1"/>
    </xf>
    <xf numFmtId="9" fontId="0" fillId="0" borderId="10" xfId="0" applyNumberFormat="1" applyBorder="1" applyAlignment="1">
      <alignment/>
    </xf>
    <xf numFmtId="0" fontId="20" fillId="0" borderId="0" xfId="0" applyFont="1" applyAlignment="1">
      <alignment/>
    </xf>
    <xf numFmtId="3" fontId="18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1" fontId="20" fillId="0" borderId="0" xfId="0" applyNumberFormat="1" applyFont="1" applyAlignment="1">
      <alignment/>
    </xf>
    <xf numFmtId="1" fontId="20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1" fontId="20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1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68" fillId="0" borderId="10" xfId="0" applyNumberFormat="1" applyFont="1" applyBorder="1" applyAlignment="1">
      <alignment/>
    </xf>
    <xf numFmtId="0" fontId="9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3" fontId="69" fillId="0" borderId="0" xfId="0" applyNumberFormat="1" applyFont="1" applyAlignment="1">
      <alignment/>
    </xf>
    <xf numFmtId="3" fontId="69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3" fontId="12" fillId="0" borderId="12" xfId="0" applyNumberFormat="1" applyFont="1" applyBorder="1" applyAlignment="1">
      <alignment horizontal="center"/>
    </xf>
    <xf numFmtId="0" fontId="20" fillId="0" borderId="14" xfId="0" applyFont="1" applyBorder="1" applyAlignment="1">
      <alignment/>
    </xf>
    <xf numFmtId="3" fontId="15" fillId="0" borderId="15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15" fillId="0" borderId="0" xfId="0" applyNumberFormat="1" applyFont="1" applyBorder="1" applyAlignment="1">
      <alignment horizontal="center"/>
    </xf>
    <xf numFmtId="3" fontId="15" fillId="0" borderId="13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/>
    </xf>
    <xf numFmtId="3" fontId="16" fillId="0" borderId="10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17" fillId="0" borderId="10" xfId="0" applyFont="1" applyBorder="1" applyAlignment="1">
      <alignment/>
    </xf>
    <xf numFmtId="3" fontId="70" fillId="0" borderId="10" xfId="0" applyNumberFormat="1" applyFont="1" applyBorder="1" applyAlignment="1">
      <alignment/>
    </xf>
    <xf numFmtId="3" fontId="71" fillId="0" borderId="10" xfId="0" applyNumberFormat="1" applyFont="1" applyBorder="1" applyAlignment="1">
      <alignment/>
    </xf>
    <xf numFmtId="3" fontId="71" fillId="0" borderId="10" xfId="0" applyNumberFormat="1" applyFont="1" applyBorder="1" applyAlignment="1">
      <alignment horizontal="center"/>
    </xf>
    <xf numFmtId="3" fontId="70" fillId="0" borderId="10" xfId="0" applyNumberFormat="1" applyFont="1" applyBorder="1" applyAlignment="1">
      <alignment/>
    </xf>
    <xf numFmtId="0" fontId="72" fillId="0" borderId="10" xfId="0" applyFont="1" applyBorder="1" applyAlignment="1">
      <alignment/>
    </xf>
    <xf numFmtId="3" fontId="72" fillId="0" borderId="10" xfId="0" applyNumberFormat="1" applyFont="1" applyBorder="1" applyAlignment="1">
      <alignment/>
    </xf>
    <xf numFmtId="0" fontId="73" fillId="0" borderId="10" xfId="0" applyFont="1" applyBorder="1" applyAlignment="1">
      <alignment/>
    </xf>
    <xf numFmtId="3" fontId="74" fillId="0" borderId="11" xfId="0" applyNumberFormat="1" applyFont="1" applyBorder="1" applyAlignment="1">
      <alignment/>
    </xf>
    <xf numFmtId="3" fontId="74" fillId="0" borderId="10" xfId="0" applyNumberFormat="1" applyFont="1" applyBorder="1" applyAlignment="1">
      <alignment/>
    </xf>
    <xf numFmtId="3" fontId="73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18" fillId="0" borderId="10" xfId="0" applyFont="1" applyBorder="1" applyAlignment="1">
      <alignment/>
    </xf>
    <xf numFmtId="3" fontId="75" fillId="0" borderId="10" xfId="0" applyNumberFormat="1" applyFont="1" applyBorder="1" applyAlignment="1">
      <alignment vertical="center" wrapText="1"/>
    </xf>
    <xf numFmtId="0" fontId="76" fillId="0" borderId="0" xfId="0" applyFont="1" applyAlignment="1">
      <alignment/>
    </xf>
    <xf numFmtId="3" fontId="70" fillId="0" borderId="0" xfId="0" applyNumberFormat="1" applyFont="1" applyBorder="1" applyAlignment="1">
      <alignment/>
    </xf>
    <xf numFmtId="0" fontId="76" fillId="0" borderId="10" xfId="0" applyFont="1" applyBorder="1" applyAlignment="1">
      <alignment horizontal="center"/>
    </xf>
    <xf numFmtId="3" fontId="71" fillId="0" borderId="10" xfId="0" applyNumberFormat="1" applyFont="1" applyBorder="1" applyAlignment="1">
      <alignment vertical="center" wrapText="1"/>
    </xf>
    <xf numFmtId="3" fontId="70" fillId="0" borderId="10" xfId="0" applyNumberFormat="1" applyFont="1" applyBorder="1" applyAlignment="1">
      <alignment vertical="center" wrapText="1"/>
    </xf>
    <xf numFmtId="0" fontId="76" fillId="0" borderId="10" xfId="0" applyFont="1" applyBorder="1" applyAlignment="1">
      <alignment/>
    </xf>
    <xf numFmtId="3" fontId="76" fillId="0" borderId="10" xfId="0" applyNumberFormat="1" applyFont="1" applyBorder="1" applyAlignment="1">
      <alignment/>
    </xf>
    <xf numFmtId="3" fontId="77" fillId="0" borderId="10" xfId="0" applyNumberFormat="1" applyFont="1" applyBorder="1" applyAlignment="1">
      <alignment/>
    </xf>
    <xf numFmtId="3" fontId="70" fillId="0" borderId="10" xfId="0" applyNumberFormat="1" applyFont="1" applyBorder="1" applyAlignment="1">
      <alignment vertical="center"/>
    </xf>
    <xf numFmtId="3" fontId="71" fillId="0" borderId="10" xfId="0" applyNumberFormat="1" applyFont="1" applyBorder="1" applyAlignment="1">
      <alignment vertical="center"/>
    </xf>
    <xf numFmtId="0" fontId="6" fillId="0" borderId="11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0" fontId="68" fillId="0" borderId="10" xfId="0" applyFont="1" applyBorder="1" applyAlignment="1">
      <alignment horizontal="right"/>
    </xf>
    <xf numFmtId="0" fontId="72" fillId="0" borderId="10" xfId="0" applyFont="1" applyBorder="1" applyAlignment="1">
      <alignment horizontal="center"/>
    </xf>
    <xf numFmtId="0" fontId="72" fillId="0" borderId="10" xfId="0" applyFont="1" applyBorder="1" applyAlignment="1">
      <alignment wrapText="1"/>
    </xf>
    <xf numFmtId="1" fontId="72" fillId="0" borderId="10" xfId="0" applyNumberFormat="1" applyFont="1" applyBorder="1" applyAlignment="1">
      <alignment/>
    </xf>
    <xf numFmtId="3" fontId="10" fillId="0" borderId="10" xfId="0" applyNumberFormat="1" applyFont="1" applyBorder="1" applyAlignment="1" quotePrefix="1">
      <alignment/>
    </xf>
    <xf numFmtId="3" fontId="75" fillId="0" borderId="10" xfId="0" applyNumberFormat="1" applyFont="1" applyBorder="1" applyAlignment="1">
      <alignment/>
    </xf>
    <xf numFmtId="0" fontId="69" fillId="0" borderId="0" xfId="0" applyFont="1" applyAlignment="1">
      <alignment/>
    </xf>
    <xf numFmtId="0" fontId="78" fillId="0" borderId="0" xfId="0" applyFont="1" applyAlignment="1">
      <alignment/>
    </xf>
    <xf numFmtId="0" fontId="5" fillId="0" borderId="0" xfId="0" applyFont="1" applyAlignment="1">
      <alignment/>
    </xf>
    <xf numFmtId="3" fontId="23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1" xfId="0" applyNumberFormat="1" applyFont="1" applyBorder="1" applyAlignment="1">
      <alignment/>
    </xf>
    <xf numFmtId="0" fontId="24" fillId="0" borderId="10" xfId="0" applyFont="1" applyBorder="1" applyAlignment="1">
      <alignment/>
    </xf>
    <xf numFmtId="1" fontId="20" fillId="0" borderId="10" xfId="0" applyNumberFormat="1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3" fontId="79" fillId="0" borderId="10" xfId="0" applyNumberFormat="1" applyFont="1" applyBorder="1" applyAlignment="1">
      <alignment/>
    </xf>
    <xf numFmtId="3" fontId="79" fillId="0" borderId="10" xfId="0" applyNumberFormat="1" applyFont="1" applyBorder="1" applyAlignment="1">
      <alignment/>
    </xf>
    <xf numFmtId="3" fontId="59" fillId="0" borderId="10" xfId="0" applyNumberFormat="1" applyFont="1" applyBorder="1" applyAlignment="1">
      <alignment/>
    </xf>
    <xf numFmtId="3" fontId="8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3" fontId="8" fillId="0" borderId="11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3" fontId="11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71" fillId="0" borderId="12" xfId="0" applyNumberFormat="1" applyFont="1" applyBorder="1" applyAlignment="1">
      <alignment horizontal="center"/>
    </xf>
    <xf numFmtId="3" fontId="71" fillId="0" borderId="14" xfId="0" applyNumberFormat="1" applyFont="1" applyBorder="1" applyAlignment="1">
      <alignment horizontal="center"/>
    </xf>
    <xf numFmtId="0" fontId="12" fillId="0" borderId="0" xfId="55" applyFont="1" applyFill="1" applyAlignment="1">
      <alignment horizontal="center"/>
      <protection/>
    </xf>
    <xf numFmtId="3" fontId="9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3" fontId="12" fillId="0" borderId="11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/>
    </xf>
    <xf numFmtId="1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3" fontId="5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3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1" xfId="54"/>
    <cellStyle name="Normál_Munka5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VE\Dokumentumok\K&#246;lts&#233;gvet&#233;s%202012\V&#233;gleges%20ktgvet&#233;s%20rendelettl,%20el&#337;terjeszt&#233;ssel\2012\Test&#252;leti\El&#337;terjeszt&#233;s\2012%200227\1napirend%202012%20&#233;vi%20k&#246;lts&#233;gvet&#233;s\konc.tel&#252;z%20Konyha%20tam&#225;s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VE\Dokumentumok\K&#246;lts&#233;gvet&#233;s%202012\V&#233;gleges%20ktgvet&#233;s%20rendelettl,%20el&#337;terjeszt&#233;ssel\2012\Test&#252;leti\El&#337;terjeszt&#233;s\2012%200227\1napirend%202012%20&#233;vi%20k&#246;lts&#233;gvet&#233;s\Ktv%20konc%202012.I.kiad&#225;s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VE\Dokumentumok\K&#246;lts&#233;gvet&#233;s%202012\V&#233;gleges%20ktgvet&#233;s%20rendelettl,%20el&#337;terjeszt&#233;ssel\2012\Test&#252;leti\El&#337;terjeszt&#233;s\2012%200227\1napirend%202012%20&#233;vi%20k&#246;lts&#233;gvet&#233;s\2011.%20Tel&#252;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CK\0001\2015\Test&#252;leti\Rendeletek\13_2015%20&#246;nkorm&#225;nyzati%20rendelet%20mell&#233;kl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CK\0001\2015\Test&#252;leti\El&#337;terjeszt&#233;sek\2015%200921\1%202015%20I%20f&#233;l&#233;v%20p&#252;%20telj\PGB%20ut&#225;n0120\&#246;nkorm&#225;nyzat%20bev&#233;telek%202015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CK\0001\2015\Test&#252;leti\El&#337;terjeszt&#233;sek\2015%200921\1%202015%20I%20f&#233;l&#233;v%20p&#252;%20telj\PGB%20ut&#225;n0120\GEVSZ%20Kiad&#225;sok20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CK\0001\2015\Test&#252;leti\El&#337;terjeszt&#233;sek\2015%200921\1%202015%20I%20f&#233;l&#233;v%20p&#252;%20telj\PGB%20ut&#225;n0120\GEVSZ%20bev&#233;telek%202015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CK\0001\2015\Test&#252;leti\El&#337;terjeszt&#233;sek\2015%200921\1%202015%20I%20f&#233;l&#233;v%20p&#252;%20telj\PGB%20ut&#225;n0120\&#246;nkorm.kiad&#225;sok%20201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kiadás"/>
      <sheetName val="bevétel"/>
      <sheetName val="PH+int.n.k.szakfelad"/>
      <sheetName val="közműórák"/>
      <sheetName val="Közétk. bér"/>
      <sheetName val="nyersanyagnorma"/>
      <sheetName val="Közétkeztetés"/>
      <sheetName val="Összesítőközétk"/>
      <sheetName val="Ovi"/>
      <sheetName val="Iskolai étkeztetés"/>
      <sheetName val="Iskolai"/>
      <sheetName val="Mhelyi vend."/>
      <sheetName val="Szoc.étk."/>
      <sheetName val="Nyugdíjas"/>
      <sheetName val="vendégtábor"/>
      <sheetName val="Telüzössz"/>
      <sheetName val="kisegmg"/>
      <sheetName val="utak"/>
      <sheetName val="községgazd"/>
      <sheetName val="temető"/>
      <sheetName val="hulladék"/>
      <sheetName val="fürdő"/>
      <sheetName val="bér"/>
      <sheetName val="Munka1"/>
    </sheetNames>
    <sheetDataSet>
      <sheetData sheetId="17">
        <row r="55">
          <cell r="E55">
            <v>0</v>
          </cell>
        </row>
      </sheetData>
      <sheetData sheetId="19">
        <row r="9">
          <cell r="E9">
            <v>0</v>
          </cell>
        </row>
        <row r="10">
          <cell r="C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Összesített kiadás"/>
      <sheetName val="Szf.össz."/>
      <sheetName val="kiadás megoszlás"/>
      <sheetName val="ktgössz"/>
      <sheetName val="841402"/>
      <sheetName val="841403"/>
      <sheetName val="890301"/>
      <sheetName val="889942"/>
      <sheetName val="850001"/>
      <sheetName val="9499001"/>
      <sheetName val="842155"/>
      <sheetName val="Támogatás"/>
      <sheetName val="949900"/>
      <sheetName val="910123"/>
      <sheetName val="910502"/>
      <sheetName val="370000"/>
      <sheetName val="882121"/>
      <sheetName val="882122"/>
      <sheetName val="882123"/>
      <sheetName val="882202"/>
      <sheetName val="882124"/>
      <sheetName val="882111"/>
      <sheetName val="890441"/>
      <sheetName val="854234"/>
      <sheetName val="882117"/>
      <sheetName val="882115"/>
      <sheetName val="882112"/>
      <sheetName val="882113"/>
      <sheetName val="882129"/>
      <sheetName val="889924"/>
      <sheetName val="889928"/>
      <sheetName val="750000"/>
      <sheetName val="862301"/>
      <sheetName val="862102"/>
      <sheetName val="869041"/>
      <sheetName val="862231"/>
      <sheetName val="862101"/>
      <sheetName val="841126"/>
      <sheetName val="791200"/>
      <sheetName val="682002"/>
      <sheetName val="682001"/>
      <sheetName val="841118"/>
      <sheetName val="841112"/>
      <sheetName val="Munka13"/>
    </sheetNames>
    <sheetDataSet>
      <sheetData sheetId="32">
        <row r="7">
          <cell r="G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adás"/>
      <sheetName val="bevétel"/>
      <sheetName val="Telüzössz"/>
      <sheetName val="zöldterületgondozás"/>
      <sheetName val="utak"/>
      <sheetName val="Építményüzemeltetés"/>
      <sheetName val="temető"/>
      <sheetName val="hulladék"/>
      <sheetName val="fürdő"/>
      <sheetName val="bér"/>
    </sheetNames>
    <sheetDataSet>
      <sheetData sheetId="6">
        <row r="28">
          <cell r="F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nk.főössz."/>
      <sheetName val="1.össz.bevétel"/>
      <sheetName val="2.megosztott bev."/>
      <sheetName val="3.bev.részletes"/>
      <sheetName val="4.Állami tám."/>
      <sheetName val="5.K kiemelt ei."/>
      <sheetName val="6.K megosztás"/>
      <sheetName val="7.K.részletező"/>
      <sheetName val="8. fejlesztés"/>
      <sheetName val="9. létszám"/>
    </sheetNames>
    <sheetDataSet>
      <sheetData sheetId="1">
        <row r="41">
          <cell r="D41">
            <v>3492</v>
          </cell>
        </row>
      </sheetData>
      <sheetData sheetId="5">
        <row r="49">
          <cell r="D49">
            <v>0</v>
          </cell>
        </row>
      </sheetData>
      <sheetData sheetId="7">
        <row r="126">
          <cell r="R126">
            <v>5346</v>
          </cell>
        </row>
        <row r="127">
          <cell r="R127">
            <v>600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 bevétel"/>
      <sheetName val="841112"/>
      <sheetName val="Áll.tám."/>
      <sheetName val="869041"/>
      <sheetName val="841133"/>
      <sheetName val="841901"/>
      <sheetName val="889942"/>
      <sheetName val="841403"/>
      <sheetName val="841358"/>
      <sheetName val="telkek"/>
    </sheetNames>
    <sheetDataSet>
      <sheetData sheetId="0">
        <row r="19">
          <cell r="F19">
            <v>3492</v>
          </cell>
        </row>
      </sheetData>
      <sheetData sheetId="1">
        <row r="8">
          <cell r="F8">
            <v>15087</v>
          </cell>
        </row>
        <row r="9">
          <cell r="F9">
            <v>675</v>
          </cell>
        </row>
        <row r="12">
          <cell r="F12">
            <v>70339</v>
          </cell>
        </row>
        <row r="20">
          <cell r="F20">
            <v>3785</v>
          </cell>
        </row>
        <row r="21">
          <cell r="F21">
            <v>1424</v>
          </cell>
        </row>
      </sheetData>
      <sheetData sheetId="3">
        <row r="9">
          <cell r="G9">
            <v>2783</v>
          </cell>
        </row>
      </sheetData>
      <sheetData sheetId="4">
        <row r="6">
          <cell r="G6">
            <v>125000</v>
          </cell>
        </row>
        <row r="7">
          <cell r="G7">
            <v>6700</v>
          </cell>
        </row>
        <row r="8">
          <cell r="G8">
            <v>180</v>
          </cell>
        </row>
        <row r="9">
          <cell r="G9">
            <v>18000</v>
          </cell>
        </row>
        <row r="11">
          <cell r="G11">
            <v>25000</v>
          </cell>
        </row>
        <row r="12">
          <cell r="G12">
            <v>200</v>
          </cell>
        </row>
        <row r="13">
          <cell r="G13">
            <v>900</v>
          </cell>
        </row>
        <row r="16">
          <cell r="G16">
            <v>4200</v>
          </cell>
        </row>
      </sheetData>
      <sheetData sheetId="5">
        <row r="9">
          <cell r="H9">
            <v>4300</v>
          </cell>
        </row>
        <row r="12">
          <cell r="H12">
            <v>526</v>
          </cell>
        </row>
        <row r="20">
          <cell r="H20">
            <v>606.621</v>
          </cell>
        </row>
        <row r="25">
          <cell r="H25">
            <v>106190.76299999998</v>
          </cell>
        </row>
      </sheetData>
      <sheetData sheetId="6">
        <row r="6">
          <cell r="H6">
            <v>467</v>
          </cell>
        </row>
      </sheetData>
      <sheetData sheetId="7">
        <row r="9">
          <cell r="G9">
            <v>2640</v>
          </cell>
        </row>
      </sheetData>
      <sheetData sheetId="8">
        <row r="7">
          <cell r="H7">
            <v>3937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zf.össz."/>
      <sheetName val="Munka2"/>
      <sheetName val="851011"/>
      <sheetName val="370000"/>
      <sheetName val="381103"/>
      <sheetName val="522000"/>
      <sheetName val="562912"/>
      <sheetName val="562913"/>
      <sheetName val="562916"/>
      <sheetName val="562917"/>
      <sheetName val="680001"/>
      <sheetName val="680002"/>
      <sheetName val="750000"/>
      <sheetName val="841358"/>
      <sheetName val="811000"/>
      <sheetName val="813000"/>
      <sheetName val="841154"/>
      <sheetName val="841402"/>
      <sheetName val="841403"/>
      <sheetName val="842155"/>
      <sheetName val="852011"/>
      <sheetName val="862101"/>
      <sheetName val="862102"/>
      <sheetName val="862231"/>
      <sheetName val="862301"/>
      <sheetName val="869041"/>
      <sheetName val="889921"/>
      <sheetName val="889924"/>
      <sheetName val="889928"/>
      <sheetName val="890301"/>
      <sheetName val="támogatás"/>
      <sheetName val="890442"/>
      <sheetName val="890444"/>
      <sheetName val="910123"/>
      <sheetName val="910502"/>
      <sheetName val="rendezv"/>
      <sheetName val="932911"/>
      <sheetName val="940000"/>
      <sheetName val="960302"/>
      <sheetName val="Munka1"/>
      <sheetName val="Munka3"/>
    </sheetNames>
    <sheetDataSet>
      <sheetData sheetId="2">
        <row r="76">
          <cell r="H76">
            <v>462</v>
          </cell>
        </row>
      </sheetData>
      <sheetData sheetId="18">
        <row r="36">
          <cell r="G36">
            <v>2500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 bevétel"/>
      <sheetName val="682001"/>
      <sheetName val="682002"/>
      <sheetName val="370000"/>
      <sheetName val="910502"/>
      <sheetName val="841403"/>
      <sheetName val="940000"/>
      <sheetName val="841154"/>
      <sheetName val="Munka1"/>
    </sheetNames>
    <sheetDataSet>
      <sheetData sheetId="0">
        <row r="13">
          <cell r="H13">
            <v>2900</v>
          </cell>
        </row>
        <row r="14">
          <cell r="H14">
            <v>7100</v>
          </cell>
        </row>
        <row r="15">
          <cell r="H15">
            <v>1500</v>
          </cell>
        </row>
        <row r="16">
          <cell r="H16">
            <v>164</v>
          </cell>
        </row>
        <row r="18">
          <cell r="H18">
            <v>465</v>
          </cell>
        </row>
        <row r="20">
          <cell r="H20">
            <v>7209</v>
          </cell>
        </row>
        <row r="24">
          <cell r="H24">
            <v>4318</v>
          </cell>
        </row>
        <row r="26">
          <cell r="H26">
            <v>550</v>
          </cell>
        </row>
        <row r="27">
          <cell r="H27">
            <v>10177</v>
          </cell>
        </row>
        <row r="32">
          <cell r="H32">
            <v>2376</v>
          </cell>
        </row>
        <row r="33">
          <cell r="H33">
            <v>6813.83448</v>
          </cell>
        </row>
        <row r="34">
          <cell r="H34">
            <v>4565.58015</v>
          </cell>
        </row>
        <row r="35">
          <cell r="H35">
            <v>1985.1624</v>
          </cell>
        </row>
        <row r="36">
          <cell r="H36">
            <v>6390.88765</v>
          </cell>
        </row>
        <row r="38">
          <cell r="H38">
            <v>3175</v>
          </cell>
        </row>
        <row r="39">
          <cell r="H39">
            <v>200</v>
          </cell>
        </row>
        <row r="40">
          <cell r="H40">
            <v>4675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Szf.össz."/>
      <sheetName val="841112"/>
      <sheetName val="841907"/>
      <sheetName val="680001"/>
      <sheetName val="841403"/>
      <sheetName val="854234"/>
      <sheetName val="882111"/>
      <sheetName val="882113"/>
      <sheetName val="882117"/>
      <sheetName val="882122"/>
      <sheetName val="882123"/>
      <sheetName val="882124"/>
      <sheetName val="882129"/>
      <sheetName val="882202"/>
      <sheetName val="882203"/>
      <sheetName val="889942"/>
      <sheetName val="Munka1"/>
    </sheetNames>
    <sheetDataSet>
      <sheetData sheetId="2">
        <row r="4">
          <cell r="I4">
            <v>540</v>
          </cell>
        </row>
      </sheetData>
      <sheetData sheetId="4">
        <row r="15">
          <cell r="H15">
            <v>120</v>
          </cell>
        </row>
      </sheetData>
      <sheetData sheetId="5">
        <row r="15">
          <cell r="H15">
            <v>394</v>
          </cell>
        </row>
      </sheetData>
      <sheetData sheetId="16">
        <row r="13">
          <cell r="G13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97"/>
  <sheetViews>
    <sheetView view="pageBreakPreview" zoomScale="80" zoomScaleSheetLayoutView="80" zoomScalePageLayoutView="0" workbookViewId="0" topLeftCell="A67">
      <selection activeCell="G90" sqref="G90"/>
    </sheetView>
  </sheetViews>
  <sheetFormatPr defaultColWidth="9.140625" defaultRowHeight="15"/>
  <cols>
    <col min="1" max="1" width="4.57421875" style="1" customWidth="1"/>
    <col min="2" max="2" width="20.140625" style="1" customWidth="1"/>
    <col min="3" max="3" width="32.140625" style="1" customWidth="1"/>
    <col min="4" max="5" width="9.140625" style="1" customWidth="1"/>
    <col min="6" max="6" width="9.140625" style="2" customWidth="1"/>
    <col min="7" max="7" width="9.140625" style="178" customWidth="1"/>
    <col min="8" max="16384" width="9.140625" style="1" customWidth="1"/>
  </cols>
  <sheetData>
    <row r="1" ht="12.75">
      <c r="B1" s="1" t="s">
        <v>640</v>
      </c>
    </row>
    <row r="2" ht="12.75">
      <c r="C2" s="117"/>
    </row>
    <row r="5" spans="1:3" ht="12.75">
      <c r="A5" s="113"/>
      <c r="B5" s="233" t="s">
        <v>458</v>
      </c>
      <c r="C5" s="234"/>
    </row>
    <row r="6" spans="2:9" s="114" customFormat="1" ht="12.75">
      <c r="B6" s="114" t="s">
        <v>30</v>
      </c>
      <c r="C6" s="114" t="s">
        <v>31</v>
      </c>
      <c r="D6" s="114" t="s">
        <v>32</v>
      </c>
      <c r="E6" s="114" t="s">
        <v>33</v>
      </c>
      <c r="F6" s="114" t="s">
        <v>34</v>
      </c>
      <c r="G6" s="203"/>
      <c r="H6" s="114" t="s">
        <v>155</v>
      </c>
      <c r="I6" s="114" t="s">
        <v>63</v>
      </c>
    </row>
    <row r="7" spans="1:10" ht="25.5">
      <c r="A7" s="1">
        <v>1</v>
      </c>
      <c r="B7" s="3" t="s">
        <v>0</v>
      </c>
      <c r="C7" s="3"/>
      <c r="D7" s="144" t="s">
        <v>616</v>
      </c>
      <c r="E7" s="145" t="s">
        <v>617</v>
      </c>
      <c r="F7" s="145" t="s">
        <v>618</v>
      </c>
      <c r="G7" s="204" t="s">
        <v>648</v>
      </c>
      <c r="H7" s="145" t="s">
        <v>548</v>
      </c>
      <c r="I7" s="145" t="s">
        <v>619</v>
      </c>
      <c r="J7" s="145" t="s">
        <v>649</v>
      </c>
    </row>
    <row r="8" spans="1:10" ht="12.75">
      <c r="A8" s="1">
        <v>2</v>
      </c>
      <c r="J8" s="2"/>
    </row>
    <row r="9" spans="1:10" ht="12.75">
      <c r="A9" s="1">
        <v>3</v>
      </c>
      <c r="C9" s="1" t="s">
        <v>674</v>
      </c>
      <c r="F9" s="1">
        <v>7990</v>
      </c>
      <c r="G9" s="178">
        <v>7990</v>
      </c>
      <c r="J9" s="1">
        <v>7990</v>
      </c>
    </row>
    <row r="10" spans="1:11" ht="12.75">
      <c r="A10" s="1">
        <v>4</v>
      </c>
      <c r="B10" s="1">
        <v>841901</v>
      </c>
      <c r="C10" s="1" t="s">
        <v>633</v>
      </c>
      <c r="D10" s="4">
        <f>'[5]841901'!$H$9</f>
        <v>4300</v>
      </c>
      <c r="E10" s="4">
        <f>'[5]841901'!$H$9</f>
        <v>4300</v>
      </c>
      <c r="F10" s="4">
        <v>6460</v>
      </c>
      <c r="G10" s="179">
        <v>7134</v>
      </c>
      <c r="H10" s="1">
        <f>4050+339+1257+305-1</f>
        <v>5950</v>
      </c>
      <c r="I10" s="1">
        <f>305+6829</f>
        <v>7134</v>
      </c>
      <c r="J10" s="1">
        <v>7134</v>
      </c>
      <c r="K10" s="1">
        <v>1401</v>
      </c>
    </row>
    <row r="11" spans="1:10" ht="12.75">
      <c r="A11" s="1">
        <v>5</v>
      </c>
      <c r="B11" s="1">
        <v>889942</v>
      </c>
      <c r="C11" s="1" t="s">
        <v>534</v>
      </c>
      <c r="D11" s="4">
        <f>'[5]841901'!$H$12</f>
        <v>526</v>
      </c>
      <c r="E11" s="4">
        <f>'[5]841901'!$H$12</f>
        <v>526</v>
      </c>
      <c r="F11" s="4">
        <f>'[5]841901'!$H$12</f>
        <v>526</v>
      </c>
      <c r="G11" s="179">
        <v>457</v>
      </c>
      <c r="H11" s="1">
        <f>260+44-17</f>
        <v>287</v>
      </c>
      <c r="I11" s="1">
        <v>407</v>
      </c>
      <c r="J11" s="1">
        <v>456</v>
      </c>
    </row>
    <row r="12" spans="1:10" ht="12.75">
      <c r="A12" s="1">
        <v>6</v>
      </c>
      <c r="B12" s="1">
        <v>1942</v>
      </c>
      <c r="C12" s="1" t="s">
        <v>535</v>
      </c>
      <c r="D12" s="4">
        <f>'[5]841112'!$F$8</f>
        <v>15087</v>
      </c>
      <c r="E12" s="4">
        <f>'[5]841112'!$F$8</f>
        <v>15087</v>
      </c>
      <c r="F12" s="4">
        <v>14048</v>
      </c>
      <c r="G12" s="4">
        <v>14048</v>
      </c>
      <c r="H12" s="1">
        <v>0</v>
      </c>
      <c r="I12" s="1">
        <v>14048</v>
      </c>
      <c r="J12" s="1">
        <v>14048</v>
      </c>
    </row>
    <row r="13" spans="1:10" ht="12.75">
      <c r="A13" s="1">
        <v>7</v>
      </c>
      <c r="C13" s="1" t="s">
        <v>634</v>
      </c>
      <c r="D13" s="4"/>
      <c r="E13" s="4"/>
      <c r="F13" s="4">
        <v>6825</v>
      </c>
      <c r="G13" s="179">
        <v>6825</v>
      </c>
      <c r="I13" s="1">
        <v>6825</v>
      </c>
      <c r="J13" s="1">
        <v>6825</v>
      </c>
    </row>
    <row r="14" spans="1:10" ht="12.75">
      <c r="A14" s="1">
        <v>8</v>
      </c>
      <c r="B14" s="1">
        <v>841901</v>
      </c>
      <c r="C14" s="1" t="s">
        <v>1</v>
      </c>
      <c r="D14" s="4">
        <f>'[5]889942'!$H$6</f>
        <v>467</v>
      </c>
      <c r="E14" s="4">
        <f>'[5]889942'!$H$6</f>
        <v>467</v>
      </c>
      <c r="F14" s="4">
        <f>'[5]889942'!$H$6</f>
        <v>467</v>
      </c>
      <c r="G14" s="179">
        <v>609</v>
      </c>
      <c r="H14" s="1">
        <v>288</v>
      </c>
      <c r="I14" s="1">
        <v>425</v>
      </c>
      <c r="J14" s="1">
        <v>609</v>
      </c>
    </row>
    <row r="15" spans="1:10" ht="12.75">
      <c r="A15" s="1">
        <v>9</v>
      </c>
      <c r="C15" s="1" t="s">
        <v>549</v>
      </c>
      <c r="D15" s="4"/>
      <c r="E15" s="4"/>
      <c r="F15" s="4">
        <v>1072</v>
      </c>
      <c r="G15" s="179">
        <v>1506</v>
      </c>
      <c r="H15" s="1">
        <v>1072</v>
      </c>
      <c r="I15" s="1">
        <v>1116</v>
      </c>
      <c r="J15" s="1">
        <v>1506</v>
      </c>
    </row>
    <row r="16" spans="1:3" ht="12.75">
      <c r="A16" s="1">
        <v>10</v>
      </c>
      <c r="B16" s="1">
        <v>841126</v>
      </c>
      <c r="C16" s="1" t="s">
        <v>2</v>
      </c>
    </row>
    <row r="17" spans="1:7" ht="12.75">
      <c r="A17" s="1">
        <v>11</v>
      </c>
      <c r="C17" s="1" t="s">
        <v>3</v>
      </c>
      <c r="D17" s="1">
        <f>'[5]841112'!$F$20</f>
        <v>3785</v>
      </c>
      <c r="E17" s="1">
        <f>'[5]841112'!$F$20</f>
        <v>3785</v>
      </c>
      <c r="F17" s="1">
        <f>'[5]841112'!$F$20</f>
        <v>3785</v>
      </c>
      <c r="G17" s="178">
        <v>3875</v>
      </c>
    </row>
    <row r="18" spans="1:7" ht="12.75">
      <c r="A18" s="1">
        <v>12</v>
      </c>
      <c r="C18" s="1" t="s">
        <v>472</v>
      </c>
      <c r="D18" s="1">
        <f>'[5]841112'!$F$21</f>
        <v>1424</v>
      </c>
      <c r="E18" s="1">
        <f>'[5]841112'!$F$21</f>
        <v>1424</v>
      </c>
      <c r="F18" s="1">
        <f>'[5]841112'!$F$21</f>
        <v>1424</v>
      </c>
      <c r="G18" s="178">
        <v>1424</v>
      </c>
    </row>
    <row r="19" spans="1:10" ht="12.75">
      <c r="A19" s="1">
        <v>13</v>
      </c>
      <c r="B19" s="5"/>
      <c r="C19" s="5" t="s">
        <v>4</v>
      </c>
      <c r="D19" s="4">
        <f>SUM(D10:D18)</f>
        <v>25589</v>
      </c>
      <c r="E19" s="4">
        <f>SUM(E10:E18)</f>
        <v>25589</v>
      </c>
      <c r="F19" s="4">
        <f>SUM(F9:F18)</f>
        <v>42597</v>
      </c>
      <c r="G19" s="179">
        <f>SUM(G9:G18)</f>
        <v>43868</v>
      </c>
      <c r="H19" s="4">
        <f>SUM(H10:H18)</f>
        <v>7597</v>
      </c>
      <c r="I19" s="4">
        <f>SUM(I10:I18)</f>
        <v>29955</v>
      </c>
      <c r="J19" s="4">
        <f>SUM(J9:J18)</f>
        <v>38568</v>
      </c>
    </row>
    <row r="20" spans="1:8" ht="12.75">
      <c r="A20" s="1">
        <v>14</v>
      </c>
      <c r="B20" s="5"/>
      <c r="C20" s="5"/>
      <c r="H20" s="2"/>
    </row>
    <row r="21" spans="1:8" ht="12.75">
      <c r="A21" s="1">
        <v>15</v>
      </c>
      <c r="B21" s="3" t="s">
        <v>5</v>
      </c>
      <c r="C21" s="3"/>
      <c r="H21" s="2"/>
    </row>
    <row r="22" spans="1:8" ht="12.75">
      <c r="A22" s="1">
        <v>16</v>
      </c>
      <c r="H22" s="2"/>
    </row>
    <row r="23" spans="1:10" ht="12.75">
      <c r="A23" s="1">
        <v>17</v>
      </c>
      <c r="B23" s="1">
        <v>841901</v>
      </c>
      <c r="C23" s="1" t="s">
        <v>6</v>
      </c>
      <c r="D23" s="4">
        <f>'[5]841901'!$H$25-'[5]841901'!$H$20</f>
        <v>105584.14199999998</v>
      </c>
      <c r="E23" s="4">
        <v>107281</v>
      </c>
      <c r="F23" s="4">
        <v>108507</v>
      </c>
      <c r="G23" s="179">
        <v>123390</v>
      </c>
      <c r="H23" s="1">
        <f>57047-H24</f>
        <v>56130</v>
      </c>
      <c r="I23" s="1">
        <v>83072</v>
      </c>
      <c r="J23" s="1">
        <v>123390</v>
      </c>
    </row>
    <row r="24" spans="1:8" ht="12.75">
      <c r="A24" s="1">
        <v>18</v>
      </c>
      <c r="C24" s="1" t="s">
        <v>7</v>
      </c>
      <c r="D24" s="4">
        <f>'[5]841901'!$H$20</f>
        <v>606.621</v>
      </c>
      <c r="E24" s="4">
        <f>'[5]841901'!$H$20</f>
        <v>606.621</v>
      </c>
      <c r="F24" s="4"/>
      <c r="G24" s="179"/>
      <c r="H24" s="1">
        <v>917</v>
      </c>
    </row>
    <row r="25" spans="1:10" ht="12.75">
      <c r="A25" s="1">
        <v>19</v>
      </c>
      <c r="B25" s="1">
        <v>841901</v>
      </c>
      <c r="C25" s="1" t="s">
        <v>676</v>
      </c>
      <c r="H25" s="2"/>
      <c r="J25" s="1">
        <v>4440</v>
      </c>
    </row>
    <row r="26" spans="1:10" ht="12.75">
      <c r="A26" s="1">
        <v>20</v>
      </c>
      <c r="B26" s="1">
        <v>841133</v>
      </c>
      <c r="C26" s="1" t="s">
        <v>8</v>
      </c>
      <c r="D26" s="4">
        <f>'[5]841133'!$G$6</f>
        <v>125000</v>
      </c>
      <c r="E26" s="4">
        <f>'[5]841133'!$G$6</f>
        <v>125000</v>
      </c>
      <c r="F26" s="4">
        <f>'[5]841133'!$G$6</f>
        <v>125000</v>
      </c>
      <c r="G26" s="179">
        <v>133532</v>
      </c>
      <c r="H26" s="1">
        <v>73589</v>
      </c>
      <c r="I26" s="1">
        <v>108329</v>
      </c>
      <c r="J26" s="1">
        <v>133532</v>
      </c>
    </row>
    <row r="27" spans="1:10" ht="12.75">
      <c r="A27" s="1">
        <v>21</v>
      </c>
      <c r="C27" s="1" t="s">
        <v>9</v>
      </c>
      <c r="D27" s="4">
        <f>'[5]841133'!$G$7</f>
        <v>6700</v>
      </c>
      <c r="E27" s="4">
        <f>'[5]841133'!$G$7</f>
        <v>6700</v>
      </c>
      <c r="F27" s="4">
        <f>'[5]841133'!$G$7</f>
        <v>6700</v>
      </c>
      <c r="G27" s="179">
        <v>6035</v>
      </c>
      <c r="H27" s="1">
        <v>3712</v>
      </c>
      <c r="I27" s="1">
        <v>5468</v>
      </c>
      <c r="J27" s="1">
        <v>6034</v>
      </c>
    </row>
    <row r="28" spans="1:10" ht="12.75">
      <c r="A28" s="1">
        <v>22</v>
      </c>
      <c r="C28" s="1" t="s">
        <v>550</v>
      </c>
      <c r="D28" s="4">
        <f>'[5]841133'!$G$8</f>
        <v>180</v>
      </c>
      <c r="E28" s="4">
        <f>'[5]841133'!$G$8</f>
        <v>180</v>
      </c>
      <c r="F28" s="4">
        <f>'[5]841133'!$G$8</f>
        <v>180</v>
      </c>
      <c r="G28" s="179">
        <v>180</v>
      </c>
      <c r="H28" s="1">
        <v>96</v>
      </c>
      <c r="I28" s="1">
        <v>155</v>
      </c>
      <c r="J28" s="1">
        <v>179</v>
      </c>
    </row>
    <row r="29" spans="1:10" ht="12.75">
      <c r="A29" s="1">
        <v>23</v>
      </c>
      <c r="C29" s="1" t="s">
        <v>551</v>
      </c>
      <c r="D29" s="4">
        <f>'[5]841133'!$G$9</f>
        <v>18000</v>
      </c>
      <c r="E29" s="4">
        <f>'[5]841133'!$G$9</f>
        <v>18000</v>
      </c>
      <c r="F29" s="4">
        <f>'[5]841133'!$G$9</f>
        <v>18000</v>
      </c>
      <c r="G29" s="179">
        <v>22851</v>
      </c>
      <c r="H29" s="1">
        <v>1149</v>
      </c>
      <c r="I29" s="1">
        <v>19654</v>
      </c>
      <c r="J29" s="1">
        <v>22851</v>
      </c>
    </row>
    <row r="30" spans="1:10" ht="12.75">
      <c r="A30" s="1">
        <v>24</v>
      </c>
      <c r="C30" s="1" t="s">
        <v>10</v>
      </c>
      <c r="D30" s="4">
        <v>0</v>
      </c>
      <c r="E30" s="4">
        <v>0</v>
      </c>
      <c r="F30" s="4">
        <v>0</v>
      </c>
      <c r="G30" s="179">
        <v>11</v>
      </c>
      <c r="H30" s="1">
        <v>11</v>
      </c>
      <c r="I30" s="1">
        <v>11</v>
      </c>
      <c r="J30" s="1">
        <v>11</v>
      </c>
    </row>
    <row r="31" spans="1:10" ht="12.75">
      <c r="A31" s="1">
        <v>25</v>
      </c>
      <c r="C31" s="1" t="s">
        <v>552</v>
      </c>
      <c r="D31" s="4">
        <f>'[5]841133'!$G$11</f>
        <v>25000</v>
      </c>
      <c r="E31" s="4">
        <f>'[5]841133'!$G$11</f>
        <v>25000</v>
      </c>
      <c r="F31" s="4">
        <f>'[5]841133'!$G$11</f>
        <v>25000</v>
      </c>
      <c r="G31" s="179">
        <v>43053</v>
      </c>
      <c r="H31" s="1">
        <v>15201</v>
      </c>
      <c r="I31" s="1">
        <v>29390</v>
      </c>
      <c r="J31" s="1">
        <v>43053</v>
      </c>
    </row>
    <row r="32" spans="1:10" ht="12.75">
      <c r="A32" s="1">
        <v>26</v>
      </c>
      <c r="C32" s="1" t="s">
        <v>473</v>
      </c>
      <c r="D32" s="4">
        <f>'[5]841133'!$G$12</f>
        <v>200</v>
      </c>
      <c r="E32" s="4">
        <f>'[5]841133'!$G$12</f>
        <v>200</v>
      </c>
      <c r="F32" s="4">
        <f>'[5]841133'!$G$12</f>
        <v>200</v>
      </c>
      <c r="G32" s="179">
        <v>264</v>
      </c>
      <c r="H32" s="1">
        <v>157</v>
      </c>
      <c r="I32" s="1">
        <v>222</v>
      </c>
      <c r="J32" s="1">
        <v>264</v>
      </c>
    </row>
    <row r="33" spans="1:10" ht="12.75">
      <c r="A33" s="1">
        <v>27</v>
      </c>
      <c r="C33" s="1" t="s">
        <v>11</v>
      </c>
      <c r="D33" s="4">
        <f>'[5]841133'!$G$13</f>
        <v>900</v>
      </c>
      <c r="E33" s="4">
        <f>'[5]841133'!$G$13</f>
        <v>900</v>
      </c>
      <c r="F33" s="4">
        <f>'[5]841133'!$G$13</f>
        <v>900</v>
      </c>
      <c r="G33" s="179">
        <v>1175</v>
      </c>
      <c r="H33" s="1">
        <v>526</v>
      </c>
      <c r="I33" s="1">
        <v>762</v>
      </c>
      <c r="J33" s="1">
        <v>1175</v>
      </c>
    </row>
    <row r="34" spans="1:11" ht="12.75">
      <c r="A34" s="1">
        <v>28</v>
      </c>
      <c r="C34" s="1" t="s">
        <v>553</v>
      </c>
      <c r="D34" s="4">
        <f>'[5]841133'!$G$16</f>
        <v>4200</v>
      </c>
      <c r="E34" s="4">
        <f>'[5]841133'!$G$16</f>
        <v>4200</v>
      </c>
      <c r="F34" s="4">
        <f>'[5]841133'!$G$16</f>
        <v>4200</v>
      </c>
      <c r="G34" s="179">
        <v>3928</v>
      </c>
      <c r="H34" s="1">
        <v>2503</v>
      </c>
      <c r="I34" s="1">
        <v>2791</v>
      </c>
      <c r="J34" s="1">
        <v>3928</v>
      </c>
      <c r="K34" s="1">
        <f>SUM(J26:J34)</f>
        <v>211027</v>
      </c>
    </row>
    <row r="35" spans="1:10" ht="12.75">
      <c r="A35" s="1">
        <v>29</v>
      </c>
      <c r="B35" s="1">
        <v>841112</v>
      </c>
      <c r="C35" s="1" t="s">
        <v>12</v>
      </c>
      <c r="D35" s="1">
        <f>'[5]841112'!$F$9</f>
        <v>675</v>
      </c>
      <c r="E35" s="1">
        <f>'[5]841112'!$F$9</f>
        <v>675</v>
      </c>
      <c r="F35" s="1">
        <f>'[5]841112'!$F$9</f>
        <v>675</v>
      </c>
      <c r="G35" s="1">
        <v>593</v>
      </c>
      <c r="H35" s="1">
        <v>415</v>
      </c>
      <c r="I35" s="1">
        <v>501</v>
      </c>
      <c r="J35" s="1">
        <v>593</v>
      </c>
    </row>
    <row r="36" spans="1:10" ht="12.75">
      <c r="A36" s="1">
        <v>30</v>
      </c>
      <c r="C36" s="1" t="s">
        <v>654</v>
      </c>
      <c r="F36" s="1"/>
      <c r="G36" s="178">
        <v>1300</v>
      </c>
      <c r="I36" s="1">
        <v>800</v>
      </c>
      <c r="J36" s="1">
        <v>1300</v>
      </c>
    </row>
    <row r="37" spans="1:10" ht="12.75">
      <c r="A37" s="1">
        <v>31</v>
      </c>
      <c r="B37" s="1">
        <v>841358</v>
      </c>
      <c r="C37" s="1" t="s">
        <v>554</v>
      </c>
      <c r="D37" s="4">
        <f>'[5]841358'!$H$7</f>
        <v>3937</v>
      </c>
      <c r="E37" s="4">
        <f>'[5]841358'!$H$7</f>
        <v>3937</v>
      </c>
      <c r="F37" s="4">
        <f>'[5]841358'!$H$7</f>
        <v>3937</v>
      </c>
      <c r="G37" s="179">
        <v>3937</v>
      </c>
      <c r="H37" s="1">
        <v>3937</v>
      </c>
      <c r="I37" s="1">
        <v>3937</v>
      </c>
      <c r="J37" s="1">
        <v>3937</v>
      </c>
    </row>
    <row r="38" spans="1:10" s="2" customFormat="1" ht="12.75">
      <c r="A38" s="2">
        <v>32</v>
      </c>
      <c r="B38" s="202">
        <v>869041</v>
      </c>
      <c r="C38" s="2" t="s">
        <v>555</v>
      </c>
      <c r="D38" s="146">
        <f>'[5]869041'!$G$9</f>
        <v>2783</v>
      </c>
      <c r="E38" s="146">
        <f>'[5]869041'!$G$9</f>
        <v>2783</v>
      </c>
      <c r="F38" s="146">
        <f>'[5]869041'!$G$9</f>
        <v>2783</v>
      </c>
      <c r="G38" s="179">
        <v>11693</v>
      </c>
      <c r="H38" s="2">
        <v>1557</v>
      </c>
      <c r="I38" s="2">
        <v>2335</v>
      </c>
      <c r="J38" s="2">
        <v>11693</v>
      </c>
    </row>
    <row r="39" spans="1:9" s="2" customFormat="1" ht="12.75">
      <c r="A39" s="2">
        <v>33</v>
      </c>
      <c r="B39" s="202">
        <v>862101</v>
      </c>
      <c r="C39" s="2" t="s">
        <v>556</v>
      </c>
      <c r="D39" s="146"/>
      <c r="E39" s="146"/>
      <c r="F39" s="146">
        <v>8500</v>
      </c>
      <c r="G39" s="179"/>
      <c r="H39" s="2">
        <v>3012</v>
      </c>
      <c r="I39" s="2">
        <v>5794</v>
      </c>
    </row>
    <row r="40" spans="1:10" ht="12.75">
      <c r="A40" s="1">
        <v>34</v>
      </c>
      <c r="B40" s="1">
        <v>841403</v>
      </c>
      <c r="C40" s="1" t="s">
        <v>474</v>
      </c>
      <c r="D40" s="1">
        <f>'[5]841403'!$G$9</f>
        <v>2640</v>
      </c>
      <c r="E40" s="1">
        <f>'[5]841403'!$G$9</f>
        <v>2640</v>
      </c>
      <c r="F40" s="1">
        <f>'[5]841403'!$G$9</f>
        <v>2640</v>
      </c>
      <c r="H40" s="2"/>
      <c r="J40" s="1">
        <v>0</v>
      </c>
    </row>
    <row r="41" spans="1:10" ht="12.75">
      <c r="A41" s="1">
        <v>35</v>
      </c>
      <c r="C41" s="1" t="s">
        <v>675</v>
      </c>
      <c r="F41" s="1"/>
      <c r="G41" s="178">
        <v>2652</v>
      </c>
      <c r="H41" s="2"/>
      <c r="J41" s="1">
        <v>2652</v>
      </c>
    </row>
    <row r="42" spans="1:12" ht="12.75">
      <c r="A42" s="1">
        <v>36</v>
      </c>
      <c r="C42" s="1" t="s">
        <v>635</v>
      </c>
      <c r="E42" s="1">
        <v>210</v>
      </c>
      <c r="F42" s="1">
        <f>210+138</f>
        <v>348</v>
      </c>
      <c r="G42" s="1">
        <v>348</v>
      </c>
      <c r="H42" s="1">
        <v>210</v>
      </c>
      <c r="I42" s="1">
        <f>210+138</f>
        <v>348</v>
      </c>
      <c r="J42" s="1">
        <v>348</v>
      </c>
      <c r="L42" s="1" t="s">
        <v>677</v>
      </c>
    </row>
    <row r="43" spans="3:12" ht="12.75">
      <c r="C43" s="1" t="s">
        <v>678</v>
      </c>
      <c r="F43" s="1"/>
      <c r="G43" s="1">
        <v>151</v>
      </c>
      <c r="J43" s="1">
        <f>141+10</f>
        <v>151</v>
      </c>
      <c r="L43" s="1" t="s">
        <v>679</v>
      </c>
    </row>
    <row r="44" spans="1:8" ht="12.75">
      <c r="A44" s="1">
        <v>37</v>
      </c>
      <c r="C44" s="1" t="s">
        <v>557</v>
      </c>
      <c r="E44" s="1">
        <v>85000</v>
      </c>
      <c r="F44" s="1">
        <v>85000</v>
      </c>
      <c r="G44" s="1">
        <v>85000</v>
      </c>
      <c r="H44" s="1">
        <v>85000</v>
      </c>
    </row>
    <row r="45" spans="1:10" ht="12.75">
      <c r="A45" s="1">
        <v>38</v>
      </c>
      <c r="B45" s="1">
        <v>841112</v>
      </c>
      <c r="C45" s="1" t="s">
        <v>517</v>
      </c>
      <c r="D45" s="1">
        <f>'[5]Összesített bevétel'!$F$19</f>
        <v>3492</v>
      </c>
      <c r="E45" s="1">
        <f>'[5]Összesített bevétel'!$F$19</f>
        <v>3492</v>
      </c>
      <c r="F45" s="1">
        <f>'[5]Összesített bevétel'!$F$19</f>
        <v>3492</v>
      </c>
      <c r="G45" s="1">
        <v>3492</v>
      </c>
      <c r="H45" s="1">
        <v>3492</v>
      </c>
      <c r="I45" s="1">
        <v>3492</v>
      </c>
      <c r="J45" s="1">
        <v>3492</v>
      </c>
    </row>
    <row r="46" spans="1:10" ht="12.75">
      <c r="A46" s="1">
        <v>39</v>
      </c>
      <c r="B46" s="1">
        <v>841126</v>
      </c>
      <c r="C46" s="1" t="s">
        <v>529</v>
      </c>
      <c r="D46" s="1">
        <f>'[5]841112'!$F$12</f>
        <v>70339</v>
      </c>
      <c r="E46" s="1">
        <v>52515</v>
      </c>
      <c r="F46" s="1">
        <v>52515</v>
      </c>
      <c r="G46" s="1">
        <v>52515</v>
      </c>
      <c r="H46" s="1">
        <v>57724</v>
      </c>
      <c r="I46" s="1">
        <v>57724</v>
      </c>
      <c r="J46" s="1">
        <v>57724</v>
      </c>
    </row>
    <row r="47" spans="1:10" ht="12.75">
      <c r="A47" s="1">
        <v>40</v>
      </c>
      <c r="B47" s="5" t="s">
        <v>13</v>
      </c>
      <c r="C47" s="5" t="s">
        <v>4</v>
      </c>
      <c r="D47" s="4">
        <f aca="true" t="shared" si="0" ref="D47:J47">SUM(D23:D46)</f>
        <v>370236.763</v>
      </c>
      <c r="E47" s="4">
        <f t="shared" si="0"/>
        <v>439319.621</v>
      </c>
      <c r="F47" s="4">
        <f t="shared" si="0"/>
        <v>448577</v>
      </c>
      <c r="G47" s="179">
        <f>SUM(G23:G46)</f>
        <v>496100</v>
      </c>
      <c r="H47" s="4">
        <f t="shared" si="0"/>
        <v>309338</v>
      </c>
      <c r="I47" s="4">
        <f t="shared" si="0"/>
        <v>324785</v>
      </c>
      <c r="J47" s="4">
        <f t="shared" si="0"/>
        <v>420747</v>
      </c>
    </row>
    <row r="48" spans="1:6" ht="12.75">
      <c r="A48" s="1">
        <v>41</v>
      </c>
      <c r="F48" s="1"/>
    </row>
    <row r="49" spans="1:12" ht="12.75">
      <c r="A49" s="1">
        <v>42</v>
      </c>
      <c r="B49" s="5" t="s">
        <v>14</v>
      </c>
      <c r="C49" s="5"/>
      <c r="D49" s="4">
        <f aca="true" t="shared" si="1" ref="D49:J49">SUM(D47+D19)</f>
        <v>395825.763</v>
      </c>
      <c r="E49" s="4">
        <f t="shared" si="1"/>
        <v>464908.621</v>
      </c>
      <c r="F49" s="4">
        <f t="shared" si="1"/>
        <v>491174</v>
      </c>
      <c r="G49" s="179">
        <f t="shared" si="1"/>
        <v>539968</v>
      </c>
      <c r="H49" s="4">
        <f t="shared" si="1"/>
        <v>316935</v>
      </c>
      <c r="I49" s="4">
        <f t="shared" si="1"/>
        <v>354740</v>
      </c>
      <c r="J49" s="4">
        <f t="shared" si="1"/>
        <v>459315</v>
      </c>
      <c r="K49" s="1">
        <v>459315</v>
      </c>
      <c r="L49" s="4">
        <f>K49-J49</f>
        <v>0</v>
      </c>
    </row>
    <row r="50" spans="1:9" ht="12.75">
      <c r="A50" s="1">
        <v>43</v>
      </c>
      <c r="I50" s="4"/>
    </row>
    <row r="51" spans="1:10" ht="12.75">
      <c r="A51" s="1">
        <v>44</v>
      </c>
      <c r="B51" s="1" t="s">
        <v>528</v>
      </c>
      <c r="C51" s="1" t="s">
        <v>529</v>
      </c>
      <c r="D51" s="1">
        <f>'[6]851011'!$H$76</f>
        <v>462</v>
      </c>
      <c r="E51" s="1">
        <v>1549</v>
      </c>
      <c r="F51" s="1">
        <v>1549</v>
      </c>
      <c r="G51" s="178">
        <v>1549</v>
      </c>
      <c r="H51" s="1">
        <v>1549</v>
      </c>
      <c r="I51" s="1">
        <v>1549</v>
      </c>
      <c r="J51" s="1">
        <v>1549</v>
      </c>
    </row>
    <row r="52" spans="1:10" ht="12.75">
      <c r="A52" s="1">
        <v>45</v>
      </c>
      <c r="C52" s="1" t="s">
        <v>122</v>
      </c>
      <c r="F52" s="1">
        <v>1</v>
      </c>
      <c r="G52" s="178">
        <v>3</v>
      </c>
      <c r="H52" s="1">
        <v>1</v>
      </c>
      <c r="I52" s="1">
        <v>2</v>
      </c>
      <c r="J52" s="1">
        <v>3</v>
      </c>
    </row>
    <row r="53" spans="1:10" ht="12.75">
      <c r="A53" s="1">
        <v>46</v>
      </c>
      <c r="C53" s="1" t="s">
        <v>558</v>
      </c>
      <c r="D53" s="1">
        <f aca="true" t="shared" si="2" ref="D53:J53">SUM(D51:D52)</f>
        <v>462</v>
      </c>
      <c r="E53" s="1">
        <f t="shared" si="2"/>
        <v>1549</v>
      </c>
      <c r="F53" s="1">
        <f t="shared" si="2"/>
        <v>1550</v>
      </c>
      <c r="G53" s="178">
        <f t="shared" si="2"/>
        <v>1552</v>
      </c>
      <c r="H53" s="1">
        <f t="shared" si="2"/>
        <v>1550</v>
      </c>
      <c r="I53" s="1">
        <f t="shared" si="2"/>
        <v>1551</v>
      </c>
      <c r="J53" s="1">
        <f t="shared" si="2"/>
        <v>1552</v>
      </c>
    </row>
    <row r="54" spans="1:3" ht="12.75">
      <c r="A54" s="1">
        <v>47</v>
      </c>
      <c r="B54" s="6" t="s">
        <v>536</v>
      </c>
      <c r="C54" s="7"/>
    </row>
    <row r="55" ht="12.75">
      <c r="A55" s="1">
        <v>48</v>
      </c>
    </row>
    <row r="56" spans="1:3" ht="12.75">
      <c r="A56" s="1">
        <v>49</v>
      </c>
      <c r="B56" s="3" t="s">
        <v>5</v>
      </c>
      <c r="C56" s="3"/>
    </row>
    <row r="57" spans="1:10" ht="12.75">
      <c r="A57" s="1">
        <v>50</v>
      </c>
      <c r="J57" s="2"/>
    </row>
    <row r="58" spans="1:13" ht="12.75">
      <c r="A58" s="1">
        <v>51</v>
      </c>
      <c r="B58" s="1">
        <v>682001</v>
      </c>
      <c r="C58" s="1" t="s">
        <v>15</v>
      </c>
      <c r="D58" s="4">
        <f>'[7]Összesített bevétel'!$H$13</f>
        <v>2900</v>
      </c>
      <c r="E58" s="4">
        <f>'[7]Összesített bevétel'!$H$13</f>
        <v>2900</v>
      </c>
      <c r="F58" s="4">
        <f>'[7]Összesített bevétel'!$H$13</f>
        <v>2900</v>
      </c>
      <c r="G58" s="179">
        <v>3262</v>
      </c>
      <c r="H58" s="1">
        <v>1632</v>
      </c>
      <c r="I58" s="1">
        <v>2417</v>
      </c>
      <c r="J58" s="1">
        <v>3262</v>
      </c>
      <c r="M58" s="4">
        <f>J58-G58</f>
        <v>0</v>
      </c>
    </row>
    <row r="59" spans="1:13" ht="12.75">
      <c r="A59" s="1">
        <v>52</v>
      </c>
      <c r="B59" s="1">
        <v>680002</v>
      </c>
      <c r="C59" s="1" t="s">
        <v>16</v>
      </c>
      <c r="D59" s="4">
        <f>'[7]Összesített bevétel'!$H$14</f>
        <v>7100</v>
      </c>
      <c r="E59" s="4">
        <f>'[7]Összesített bevétel'!$H$14</f>
        <v>7100</v>
      </c>
      <c r="F59" s="4">
        <f>'[7]Összesített bevétel'!$H$14</f>
        <v>7100</v>
      </c>
      <c r="G59" s="179">
        <v>7647</v>
      </c>
      <c r="H59" s="1">
        <v>4145</v>
      </c>
      <c r="I59" s="1">
        <v>5676</v>
      </c>
      <c r="J59" s="1">
        <v>7647</v>
      </c>
      <c r="M59" s="4">
        <f aca="true" t="shared" si="3" ref="M59:M86">J59-G59</f>
        <v>0</v>
      </c>
    </row>
    <row r="60" spans="1:13" s="2" customFormat="1" ht="12.75">
      <c r="A60" s="1">
        <v>53</v>
      </c>
      <c r="B60" s="1">
        <v>680002</v>
      </c>
      <c r="C60" s="1" t="s">
        <v>559</v>
      </c>
      <c r="D60" s="4">
        <f>'[7]Összesített bevétel'!$H$16</f>
        <v>164</v>
      </c>
      <c r="E60" s="4">
        <f>'[7]Összesített bevétel'!$H$16</f>
        <v>164</v>
      </c>
      <c r="F60" s="4">
        <f>'[7]Összesített bevétel'!$H$16</f>
        <v>164</v>
      </c>
      <c r="G60" s="179">
        <v>517</v>
      </c>
      <c r="H60" s="1">
        <v>0</v>
      </c>
      <c r="I60" s="1">
        <v>199</v>
      </c>
      <c r="J60" s="1">
        <v>517</v>
      </c>
      <c r="M60" s="4">
        <f t="shared" si="3"/>
        <v>0</v>
      </c>
    </row>
    <row r="61" spans="1:13" ht="12.75">
      <c r="A61" s="1">
        <v>54</v>
      </c>
      <c r="B61" s="1">
        <v>682002</v>
      </c>
      <c r="C61" s="1" t="s">
        <v>17</v>
      </c>
      <c r="D61" s="4">
        <f>'[7]Összesített bevétel'!$H$24</f>
        <v>4318</v>
      </c>
      <c r="E61" s="4">
        <f>'[7]Összesített bevétel'!$H$24</f>
        <v>4318</v>
      </c>
      <c r="F61" s="4">
        <f>'[7]Összesített bevétel'!$H$24</f>
        <v>4318</v>
      </c>
      <c r="G61" s="179">
        <v>4805</v>
      </c>
      <c r="H61" s="1">
        <v>1898</v>
      </c>
      <c r="I61" s="1">
        <v>3581</v>
      </c>
      <c r="J61" s="1">
        <v>4805</v>
      </c>
      <c r="M61" s="4">
        <f t="shared" si="3"/>
        <v>0</v>
      </c>
    </row>
    <row r="62" spans="1:13" ht="12.75">
      <c r="A62" s="1">
        <v>55</v>
      </c>
      <c r="B62" s="1">
        <v>682002</v>
      </c>
      <c r="C62" s="1" t="s">
        <v>18</v>
      </c>
      <c r="D62" s="4">
        <f>'[7]Összesített bevétel'!$H$15</f>
        <v>1500</v>
      </c>
      <c r="E62" s="4">
        <f>'[7]Összesített bevétel'!$H$15</f>
        <v>1500</v>
      </c>
      <c r="F62" s="4">
        <f>'[7]Összesített bevétel'!$H$15</f>
        <v>1500</v>
      </c>
      <c r="G62" s="179">
        <v>1500</v>
      </c>
      <c r="H62" s="1">
        <v>1500</v>
      </c>
      <c r="I62" s="1">
        <v>1500</v>
      </c>
      <c r="J62" s="1">
        <v>1500</v>
      </c>
      <c r="M62" s="4">
        <f t="shared" si="3"/>
        <v>0</v>
      </c>
    </row>
    <row r="63" spans="1:13" ht="12.75">
      <c r="A63" s="1">
        <v>56</v>
      </c>
      <c r="B63" s="1">
        <v>910502</v>
      </c>
      <c r="C63" s="1" t="s">
        <v>19</v>
      </c>
      <c r="D63" s="4">
        <f>'[7]Összesített bevétel'!$H$18</f>
        <v>465</v>
      </c>
      <c r="E63" s="4">
        <v>465</v>
      </c>
      <c r="F63" s="4">
        <v>465</v>
      </c>
      <c r="G63" s="179">
        <v>454</v>
      </c>
      <c r="H63" s="1">
        <v>105</v>
      </c>
      <c r="I63" s="1">
        <v>369</v>
      </c>
      <c r="J63" s="1">
        <v>454</v>
      </c>
      <c r="M63" s="4">
        <f t="shared" si="3"/>
        <v>0</v>
      </c>
    </row>
    <row r="64" spans="1:13" ht="12.75">
      <c r="A64" s="1">
        <v>57</v>
      </c>
      <c r="B64" s="1">
        <v>370000</v>
      </c>
      <c r="C64" s="1" t="s">
        <v>20</v>
      </c>
      <c r="D64" s="4">
        <f>'[7]Összesített bevétel'!$H$20</f>
        <v>7209</v>
      </c>
      <c r="E64" s="4">
        <f>'[7]Összesített bevétel'!$H$20</f>
        <v>7209</v>
      </c>
      <c r="F64" s="4">
        <f>'[7]Összesített bevétel'!$H$20</f>
        <v>7209</v>
      </c>
      <c r="G64" s="179">
        <v>7145</v>
      </c>
      <c r="H64" s="1">
        <v>1786</v>
      </c>
      <c r="I64" s="1">
        <v>5359</v>
      </c>
      <c r="J64" s="1">
        <v>7145</v>
      </c>
      <c r="M64" s="4">
        <f t="shared" si="3"/>
        <v>0</v>
      </c>
    </row>
    <row r="65" spans="1:13" ht="12.75">
      <c r="A65" s="1">
        <v>58</v>
      </c>
      <c r="B65" s="1">
        <v>940000</v>
      </c>
      <c r="C65" s="1" t="s">
        <v>21</v>
      </c>
      <c r="D65" s="4">
        <f>'[7]Összesített bevétel'!$H$26</f>
        <v>550</v>
      </c>
      <c r="E65" s="4">
        <v>550</v>
      </c>
      <c r="F65" s="4">
        <v>550</v>
      </c>
      <c r="G65" s="179">
        <v>850</v>
      </c>
      <c r="H65" s="1">
        <v>400</v>
      </c>
      <c r="I65" s="1">
        <v>850</v>
      </c>
      <c r="J65" s="1">
        <v>850</v>
      </c>
      <c r="M65" s="4">
        <f t="shared" si="3"/>
        <v>0</v>
      </c>
    </row>
    <row r="66" spans="1:13" s="178" customFormat="1" ht="12.75">
      <c r="A66" s="178">
        <v>59</v>
      </c>
      <c r="B66" s="178">
        <v>841402</v>
      </c>
      <c r="C66" s="178" t="s">
        <v>560</v>
      </c>
      <c r="D66" s="4"/>
      <c r="E66" s="4"/>
      <c r="F66" s="4">
        <v>6119</v>
      </c>
      <c r="G66" s="179">
        <v>6119</v>
      </c>
      <c r="H66" s="1">
        <v>6119</v>
      </c>
      <c r="I66" s="1">
        <v>6119</v>
      </c>
      <c r="J66" s="1">
        <v>6119</v>
      </c>
      <c r="K66" s="178" t="s">
        <v>655</v>
      </c>
      <c r="M66" s="4">
        <f t="shared" si="3"/>
        <v>0</v>
      </c>
    </row>
    <row r="67" spans="1:13" ht="12.75">
      <c r="A67" s="1">
        <v>60</v>
      </c>
      <c r="B67" s="1">
        <v>841403</v>
      </c>
      <c r="C67" s="1" t="s">
        <v>561</v>
      </c>
      <c r="D67" s="4"/>
      <c r="E67" s="4"/>
      <c r="F67" s="4"/>
      <c r="G67" s="179">
        <v>938</v>
      </c>
      <c r="H67" s="1">
        <v>159</v>
      </c>
      <c r="I67" s="1">
        <v>159</v>
      </c>
      <c r="J67" s="1">
        <v>938</v>
      </c>
      <c r="M67" s="4">
        <f t="shared" si="3"/>
        <v>0</v>
      </c>
    </row>
    <row r="68" spans="1:13" ht="12.75">
      <c r="A68" s="1">
        <v>61</v>
      </c>
      <c r="B68" s="1">
        <v>930932</v>
      </c>
      <c r="C68" s="1" t="s">
        <v>562</v>
      </c>
      <c r="D68" s="4"/>
      <c r="E68" s="4"/>
      <c r="F68" s="4">
        <v>201</v>
      </c>
      <c r="G68" s="179">
        <v>201</v>
      </c>
      <c r="H68" s="1">
        <v>201</v>
      </c>
      <c r="I68" s="1">
        <v>201</v>
      </c>
      <c r="J68" s="1">
        <v>201</v>
      </c>
      <c r="M68" s="4">
        <f t="shared" si="3"/>
        <v>0</v>
      </c>
    </row>
    <row r="69" spans="1:13" ht="12.75">
      <c r="A69" s="1">
        <v>62</v>
      </c>
      <c r="B69" s="1">
        <v>841154</v>
      </c>
      <c r="C69" s="1" t="s">
        <v>563</v>
      </c>
      <c r="D69" s="4"/>
      <c r="E69" s="4"/>
      <c r="F69" s="4"/>
      <c r="G69" s="179">
        <v>91</v>
      </c>
      <c r="H69" s="1">
        <v>52</v>
      </c>
      <c r="I69" s="1">
        <v>77</v>
      </c>
      <c r="J69" s="1">
        <v>91</v>
      </c>
      <c r="M69" s="4">
        <f t="shared" si="3"/>
        <v>0</v>
      </c>
    </row>
    <row r="70" spans="1:13" ht="12.75">
      <c r="A70" s="1">
        <v>63</v>
      </c>
      <c r="B70" s="1">
        <v>852011</v>
      </c>
      <c r="C70" s="1" t="s">
        <v>564</v>
      </c>
      <c r="D70" s="4"/>
      <c r="E70" s="4"/>
      <c r="F70" s="4">
        <v>130</v>
      </c>
      <c r="G70" s="179">
        <v>130</v>
      </c>
      <c r="H70" s="1">
        <v>130</v>
      </c>
      <c r="I70" s="1">
        <v>130</v>
      </c>
      <c r="J70" s="1">
        <v>130</v>
      </c>
      <c r="M70" s="4">
        <f t="shared" si="3"/>
        <v>0</v>
      </c>
    </row>
    <row r="71" spans="1:13" ht="12.75">
      <c r="A71" s="1">
        <v>64</v>
      </c>
      <c r="B71" s="1">
        <v>841154</v>
      </c>
      <c r="C71" s="1" t="s">
        <v>565</v>
      </c>
      <c r="D71" s="4">
        <f>'[7]Összesített bevétel'!$H$27</f>
        <v>10177</v>
      </c>
      <c r="E71" s="1">
        <v>10484</v>
      </c>
      <c r="F71" s="1">
        <v>10484</v>
      </c>
      <c r="G71" s="178">
        <v>10484</v>
      </c>
      <c r="H71" s="1">
        <v>10484</v>
      </c>
      <c r="I71" s="1">
        <v>10484</v>
      </c>
      <c r="J71" s="1">
        <v>10484</v>
      </c>
      <c r="M71" s="4">
        <f t="shared" si="3"/>
        <v>0</v>
      </c>
    </row>
    <row r="72" spans="1:13" ht="12.75">
      <c r="A72" s="1">
        <v>65</v>
      </c>
      <c r="B72" s="1">
        <v>862102</v>
      </c>
      <c r="C72" s="1" t="s">
        <v>624</v>
      </c>
      <c r="F72" s="1"/>
      <c r="G72" s="178">
        <v>166</v>
      </c>
      <c r="I72" s="1">
        <v>166</v>
      </c>
      <c r="J72" s="1">
        <v>166</v>
      </c>
      <c r="M72" s="4">
        <f t="shared" si="3"/>
        <v>0</v>
      </c>
    </row>
    <row r="73" spans="1:13" ht="12.75">
      <c r="A73" s="1">
        <v>66</v>
      </c>
      <c r="B73" s="8">
        <v>890301</v>
      </c>
      <c r="C73" s="1" t="s">
        <v>625</v>
      </c>
      <c r="F73" s="1"/>
      <c r="G73" s="178">
        <v>50</v>
      </c>
      <c r="I73" s="1">
        <v>50</v>
      </c>
      <c r="J73" s="1">
        <v>50</v>
      </c>
      <c r="M73" s="4">
        <f t="shared" si="3"/>
        <v>0</v>
      </c>
    </row>
    <row r="74" spans="1:13" ht="12.75">
      <c r="A74" s="1">
        <v>67</v>
      </c>
      <c r="B74" s="5"/>
      <c r="C74" s="5"/>
      <c r="F74" s="1"/>
      <c r="M74" s="4">
        <f t="shared" si="3"/>
        <v>0</v>
      </c>
    </row>
    <row r="75" spans="1:13" ht="12.75">
      <c r="A75" s="1">
        <v>68</v>
      </c>
      <c r="B75" s="5"/>
      <c r="C75" s="5"/>
      <c r="F75" s="1"/>
      <c r="M75" s="4">
        <f t="shared" si="3"/>
        <v>0</v>
      </c>
    </row>
    <row r="76" spans="1:13" ht="12.75">
      <c r="A76" s="1">
        <v>69</v>
      </c>
      <c r="B76" s="1">
        <v>562912</v>
      </c>
      <c r="C76" s="1" t="s">
        <v>22</v>
      </c>
      <c r="D76" s="9">
        <f>'[7]Összesített bevétel'!$H$32</f>
        <v>2376</v>
      </c>
      <c r="E76" s="9">
        <f>'[7]Összesített bevétel'!$H$32</f>
        <v>2376</v>
      </c>
      <c r="F76" s="9">
        <f>'[7]Összesített bevétel'!$H$32</f>
        <v>2376</v>
      </c>
      <c r="G76" s="205">
        <v>1935</v>
      </c>
      <c r="H76" s="1">
        <v>1229</v>
      </c>
      <c r="I76" s="1">
        <v>1534</v>
      </c>
      <c r="J76" s="1">
        <v>1935</v>
      </c>
      <c r="K76" s="1">
        <v>-34</v>
      </c>
      <c r="M76" s="4">
        <f t="shared" si="3"/>
        <v>0</v>
      </c>
    </row>
    <row r="77" spans="1:13" ht="12.75">
      <c r="A77" s="1">
        <v>70</v>
      </c>
      <c r="B77" s="1">
        <v>562913</v>
      </c>
      <c r="C77" s="1" t="s">
        <v>23</v>
      </c>
      <c r="D77" s="4">
        <f>'[7]Összesített bevétel'!$H$33</f>
        <v>6813.83448</v>
      </c>
      <c r="E77" s="4">
        <f>'[7]Összesített bevétel'!$H$33</f>
        <v>6813.83448</v>
      </c>
      <c r="F77" s="4">
        <v>6814</v>
      </c>
      <c r="G77" s="179">
        <v>6756</v>
      </c>
      <c r="H77" s="1">
        <v>3730</v>
      </c>
      <c r="I77" s="1">
        <v>4472</v>
      </c>
      <c r="J77" s="1">
        <v>6756</v>
      </c>
      <c r="K77" s="1">
        <f>SUM(J76:J77)</f>
        <v>8691</v>
      </c>
      <c r="M77" s="4">
        <f t="shared" si="3"/>
        <v>0</v>
      </c>
    </row>
    <row r="78" spans="1:13" ht="12.75">
      <c r="A78" s="1">
        <v>71</v>
      </c>
      <c r="B78" s="1">
        <v>562917</v>
      </c>
      <c r="C78" s="1" t="s">
        <v>24</v>
      </c>
      <c r="D78" s="9">
        <f>'[7]Összesített bevétel'!$H$34</f>
        <v>4565.58015</v>
      </c>
      <c r="E78" s="9">
        <f>'[7]Összesített bevétel'!$H$34</f>
        <v>4565.58015</v>
      </c>
      <c r="F78" s="9">
        <f>'[7]Összesített bevétel'!$H$34</f>
        <v>4565.58015</v>
      </c>
      <c r="G78" s="205">
        <v>3907</v>
      </c>
      <c r="H78" s="1">
        <v>1433</v>
      </c>
      <c r="I78" s="1">
        <v>2839</v>
      </c>
      <c r="J78" s="1">
        <v>3907</v>
      </c>
      <c r="K78" s="1">
        <v>34</v>
      </c>
      <c r="M78" s="4">
        <f t="shared" si="3"/>
        <v>0</v>
      </c>
    </row>
    <row r="79" spans="1:13" ht="12.75">
      <c r="A79" s="1">
        <v>72</v>
      </c>
      <c r="B79" s="1">
        <v>889928</v>
      </c>
      <c r="C79" s="1" t="s">
        <v>25</v>
      </c>
      <c r="D79" s="9">
        <f>'[7]Összesített bevétel'!$H$35</f>
        <v>1985.1624</v>
      </c>
      <c r="E79" s="9">
        <v>1985</v>
      </c>
      <c r="F79" s="9">
        <v>1985</v>
      </c>
      <c r="G79" s="205">
        <v>2306</v>
      </c>
      <c r="H79" s="1">
        <v>1085</v>
      </c>
      <c r="I79" s="1">
        <v>1623</v>
      </c>
      <c r="J79" s="1">
        <f>2305+1</f>
        <v>2306</v>
      </c>
      <c r="M79" s="4">
        <f t="shared" si="3"/>
        <v>0</v>
      </c>
    </row>
    <row r="80" spans="1:13" ht="12.75">
      <c r="A80" s="1">
        <v>73</v>
      </c>
      <c r="B80" s="1">
        <v>562916</v>
      </c>
      <c r="C80" s="1" t="s">
        <v>566</v>
      </c>
      <c r="D80" s="9">
        <f>'[7]Összesített bevétel'!$H$36</f>
        <v>6390.88765</v>
      </c>
      <c r="E80" s="9">
        <f>'[7]Összesített bevétel'!$H$36</f>
        <v>6390.88765</v>
      </c>
      <c r="F80" s="9">
        <f>'[7]Összesített bevétel'!$H$36</f>
        <v>6390.88765</v>
      </c>
      <c r="G80" s="205">
        <v>7175</v>
      </c>
      <c r="H80" s="1">
        <v>4456</v>
      </c>
      <c r="I80" s="1">
        <v>6405</v>
      </c>
      <c r="J80" s="1">
        <f>7176-1</f>
        <v>7175</v>
      </c>
      <c r="M80" s="4">
        <f t="shared" si="3"/>
        <v>0</v>
      </c>
    </row>
    <row r="81" spans="1:13" ht="12.75">
      <c r="A81" s="1">
        <v>74</v>
      </c>
      <c r="B81" s="1">
        <v>381103</v>
      </c>
      <c r="C81" s="1" t="s">
        <v>26</v>
      </c>
      <c r="D81" s="4">
        <f>'[7]Összesített bevétel'!$H$38</f>
        <v>3175</v>
      </c>
      <c r="E81" s="4">
        <f>'[7]Összesített bevétel'!$H$38</f>
        <v>3175</v>
      </c>
      <c r="F81" s="4">
        <f>'[7]Összesített bevétel'!$H$38</f>
        <v>3175</v>
      </c>
      <c r="G81" s="179">
        <v>5467</v>
      </c>
      <c r="H81" s="1">
        <v>2775</v>
      </c>
      <c r="I81" s="1">
        <v>4043</v>
      </c>
      <c r="J81" s="1">
        <v>5467</v>
      </c>
      <c r="M81" s="4">
        <f t="shared" si="3"/>
        <v>0</v>
      </c>
    </row>
    <row r="82" spans="1:13" ht="12.75">
      <c r="A82" s="1">
        <v>75</v>
      </c>
      <c r="B82" s="1">
        <v>813000</v>
      </c>
      <c r="C82" s="1" t="s">
        <v>567</v>
      </c>
      <c r="D82" s="4"/>
      <c r="E82" s="4"/>
      <c r="F82" s="4"/>
      <c r="G82" s="179">
        <v>43</v>
      </c>
      <c r="H82" s="1">
        <v>38</v>
      </c>
      <c r="I82" s="1">
        <v>38</v>
      </c>
      <c r="J82" s="1">
        <v>43</v>
      </c>
      <c r="M82" s="4">
        <f t="shared" si="3"/>
        <v>0</v>
      </c>
    </row>
    <row r="83" spans="1:13" ht="12.75">
      <c r="A83" s="1">
        <v>76</v>
      </c>
      <c r="B83" s="1">
        <v>960302</v>
      </c>
      <c r="C83" s="1" t="s">
        <v>27</v>
      </c>
      <c r="D83" s="4">
        <f>'[7]Összesített bevétel'!$H$39</f>
        <v>200</v>
      </c>
      <c r="E83" s="4">
        <v>200</v>
      </c>
      <c r="F83" s="4">
        <v>200</v>
      </c>
      <c r="G83" s="179">
        <v>185</v>
      </c>
      <c r="H83" s="1">
        <v>50</v>
      </c>
      <c r="I83" s="1">
        <v>140</v>
      </c>
      <c r="J83" s="1">
        <v>185</v>
      </c>
      <c r="M83" s="4">
        <f t="shared" si="3"/>
        <v>0</v>
      </c>
    </row>
    <row r="84" spans="1:13" ht="12.75">
      <c r="A84" s="1">
        <v>77</v>
      </c>
      <c r="B84" s="1">
        <v>890442</v>
      </c>
      <c r="C84" s="1" t="s">
        <v>28</v>
      </c>
      <c r="D84" s="4">
        <f>'[7]Összesített bevétel'!$H$40</f>
        <v>4675</v>
      </c>
      <c r="E84" s="4">
        <v>4675</v>
      </c>
      <c r="F84" s="4">
        <v>4675</v>
      </c>
      <c r="G84" s="179">
        <v>9124</v>
      </c>
      <c r="H84" s="1">
        <v>2680</v>
      </c>
      <c r="I84" s="1">
        <v>4016</v>
      </c>
      <c r="J84" s="1">
        <v>9124</v>
      </c>
      <c r="M84" s="4">
        <f t="shared" si="3"/>
        <v>0</v>
      </c>
    </row>
    <row r="85" spans="1:13" ht="12.75">
      <c r="A85" s="1">
        <v>78</v>
      </c>
      <c r="F85" s="1"/>
      <c r="M85" s="4">
        <f t="shared" si="3"/>
        <v>0</v>
      </c>
    </row>
    <row r="86" spans="1:14" ht="12.75">
      <c r="A86" s="1">
        <v>79</v>
      </c>
      <c r="B86" s="5" t="s">
        <v>568</v>
      </c>
      <c r="C86" s="5"/>
      <c r="D86" s="4">
        <f aca="true" t="shared" si="4" ref="D86:J86">SUM(D58:D85)</f>
        <v>64564.46468</v>
      </c>
      <c r="E86" s="4">
        <f t="shared" si="4"/>
        <v>64871.302279999996</v>
      </c>
      <c r="F86" s="4">
        <f t="shared" si="4"/>
        <v>71321.4678</v>
      </c>
      <c r="G86" s="4">
        <f t="shared" si="4"/>
        <v>81257</v>
      </c>
      <c r="H86" s="4">
        <f t="shared" si="4"/>
        <v>46087</v>
      </c>
      <c r="I86" s="4">
        <f t="shared" si="4"/>
        <v>62447</v>
      </c>
      <c r="J86" s="4">
        <f t="shared" si="4"/>
        <v>81257</v>
      </c>
      <c r="L86" s="4">
        <f>J86-J71</f>
        <v>70773</v>
      </c>
      <c r="M86" s="4">
        <f t="shared" si="3"/>
        <v>0</v>
      </c>
      <c r="N86" s="4">
        <f>SUM(M58:M84)</f>
        <v>0</v>
      </c>
    </row>
    <row r="87" spans="1:6" ht="12.75">
      <c r="A87" s="1">
        <v>80</v>
      </c>
      <c r="F87" s="1"/>
    </row>
    <row r="88" spans="1:10" ht="12.75">
      <c r="A88" s="1">
        <v>81</v>
      </c>
      <c r="B88" s="1" t="s">
        <v>530</v>
      </c>
      <c r="D88" s="4">
        <f>D86+D51+D47</f>
        <v>435263.22767999995</v>
      </c>
      <c r="E88" s="4">
        <f aca="true" t="shared" si="5" ref="E88:J88">E86+E53+E47</f>
        <v>505739.92328</v>
      </c>
      <c r="F88" s="4">
        <f t="shared" si="5"/>
        <v>521448.4678</v>
      </c>
      <c r="G88" s="4">
        <f t="shared" si="5"/>
        <v>578909</v>
      </c>
      <c r="H88" s="4">
        <f t="shared" si="5"/>
        <v>356975</v>
      </c>
      <c r="I88" s="4">
        <f t="shared" si="5"/>
        <v>388783</v>
      </c>
      <c r="J88" s="4">
        <f t="shared" si="5"/>
        <v>503556</v>
      </c>
    </row>
    <row r="89" spans="1:6" ht="12.75">
      <c r="A89" s="1">
        <v>82</v>
      </c>
      <c r="F89" s="1"/>
    </row>
    <row r="90" spans="1:10" ht="12.75">
      <c r="A90" s="1">
        <v>83</v>
      </c>
      <c r="B90" s="1" t="s">
        <v>531</v>
      </c>
      <c r="D90" s="4">
        <f aca="true" t="shared" si="6" ref="D90:J90">D88+D19</f>
        <v>460852.22767999995</v>
      </c>
      <c r="E90" s="4">
        <f t="shared" si="6"/>
        <v>531328.92328</v>
      </c>
      <c r="F90" s="4">
        <f t="shared" si="6"/>
        <v>564045.4678</v>
      </c>
      <c r="G90" s="4">
        <f t="shared" si="6"/>
        <v>622777</v>
      </c>
      <c r="H90" s="4">
        <f t="shared" si="6"/>
        <v>364572</v>
      </c>
      <c r="I90" s="4">
        <f t="shared" si="6"/>
        <v>418738</v>
      </c>
      <c r="J90" s="4">
        <f t="shared" si="6"/>
        <v>542124</v>
      </c>
    </row>
    <row r="91" spans="1:6" ht="12.75">
      <c r="A91" s="1">
        <v>84</v>
      </c>
      <c r="F91" s="1"/>
    </row>
    <row r="92" spans="1:10" ht="12.75">
      <c r="A92" s="1">
        <v>85</v>
      </c>
      <c r="C92" s="1" t="s">
        <v>569</v>
      </c>
      <c r="D92" s="1">
        <v>26386</v>
      </c>
      <c r="E92" s="1">
        <v>28525</v>
      </c>
      <c r="F92" s="1">
        <v>27962</v>
      </c>
      <c r="G92" s="1">
        <v>33406</v>
      </c>
      <c r="H92" s="1">
        <v>14080</v>
      </c>
      <c r="I92" s="1">
        <v>21275</v>
      </c>
      <c r="J92" s="1">
        <v>33406</v>
      </c>
    </row>
    <row r="93" spans="1:10" ht="12.75">
      <c r="A93" s="1">
        <v>86</v>
      </c>
      <c r="C93" s="1" t="s">
        <v>570</v>
      </c>
      <c r="D93" s="1">
        <v>241604</v>
      </c>
      <c r="E93" s="1">
        <v>217423</v>
      </c>
      <c r="F93" s="1">
        <v>208545</v>
      </c>
      <c r="G93" s="1">
        <v>191922</v>
      </c>
      <c r="H93" s="1">
        <v>94636</v>
      </c>
      <c r="I93" s="1">
        <v>127268</v>
      </c>
      <c r="J93" s="1">
        <v>191922</v>
      </c>
    </row>
    <row r="94" spans="1:11" ht="12.75">
      <c r="A94" s="1">
        <v>87</v>
      </c>
      <c r="C94" s="1" t="s">
        <v>4</v>
      </c>
      <c r="D94" s="1">
        <f aca="true" t="shared" si="7" ref="D94:K94">SUM(D92:D93)</f>
        <v>267990</v>
      </c>
      <c r="E94" s="1">
        <f t="shared" si="7"/>
        <v>245948</v>
      </c>
      <c r="F94" s="1">
        <f t="shared" si="7"/>
        <v>236507</v>
      </c>
      <c r="G94" s="1">
        <f t="shared" si="7"/>
        <v>225328</v>
      </c>
      <c r="H94" s="1">
        <f t="shared" si="7"/>
        <v>108716</v>
      </c>
      <c r="I94" s="1">
        <f t="shared" si="7"/>
        <v>148543</v>
      </c>
      <c r="J94" s="1">
        <f t="shared" si="7"/>
        <v>225328</v>
      </c>
      <c r="K94" s="1">
        <f t="shared" si="7"/>
        <v>0</v>
      </c>
    </row>
    <row r="96" ht="12.75">
      <c r="J96" s="1">
        <v>81257</v>
      </c>
    </row>
    <row r="97" ht="12.75">
      <c r="J97" s="4">
        <f>J96-J86</f>
        <v>0</v>
      </c>
    </row>
  </sheetData>
  <sheetProtection/>
  <mergeCells count="1">
    <mergeCell ref="B5:C5"/>
  </mergeCells>
  <printOptions/>
  <pageMargins left="0.7" right="0.7" top="0.75" bottom="0.75" header="0.3" footer="0.3"/>
  <pageSetup horizontalDpi="200" verticalDpi="200" orientation="portrait" paperSize="9" scale="72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0"/>
  <sheetViews>
    <sheetView view="pageBreakPreview" zoomScale="60" zoomScalePageLayoutView="0" workbookViewId="0" topLeftCell="A1">
      <selection activeCell="C8" sqref="C8"/>
    </sheetView>
  </sheetViews>
  <sheetFormatPr defaultColWidth="9.140625" defaultRowHeight="15"/>
  <cols>
    <col min="1" max="1" width="9.140625" style="11" customWidth="1"/>
    <col min="2" max="2" width="53.421875" style="0" customWidth="1"/>
    <col min="3" max="3" width="14.421875" style="10" customWidth="1"/>
    <col min="4" max="4" width="14.7109375" style="10" customWidth="1"/>
    <col min="5" max="5" width="13.57421875" style="10" customWidth="1"/>
    <col min="6" max="6" width="17.00390625" style="10" customWidth="1"/>
  </cols>
  <sheetData>
    <row r="1" spans="1:3" ht="15">
      <c r="A1" s="235" t="s">
        <v>641</v>
      </c>
      <c r="B1" s="235"/>
      <c r="C1" s="115"/>
    </row>
    <row r="3" ht="15">
      <c r="B3" t="s">
        <v>459</v>
      </c>
    </row>
    <row r="5" spans="1:6" s="11" customFormat="1" ht="15">
      <c r="A5" s="12"/>
      <c r="B5" s="12" t="s">
        <v>30</v>
      </c>
      <c r="C5" s="12" t="s">
        <v>31</v>
      </c>
      <c r="D5" s="12" t="s">
        <v>32</v>
      </c>
      <c r="E5" s="12" t="s">
        <v>33</v>
      </c>
      <c r="F5" s="12" t="s">
        <v>34</v>
      </c>
    </row>
    <row r="6" spans="1:6" ht="30">
      <c r="A6" s="12">
        <v>1</v>
      </c>
      <c r="B6" s="13" t="s">
        <v>35</v>
      </c>
      <c r="C6" s="14" t="s">
        <v>36</v>
      </c>
      <c r="D6" s="14" t="s">
        <v>37</v>
      </c>
      <c r="E6" s="14" t="s">
        <v>38</v>
      </c>
      <c r="F6" s="15" t="s">
        <v>39</v>
      </c>
    </row>
    <row r="7" spans="1:6" ht="15">
      <c r="A7" s="12">
        <v>2</v>
      </c>
      <c r="B7" s="13" t="s">
        <v>40</v>
      </c>
      <c r="C7" s="16"/>
      <c r="D7" s="16"/>
      <c r="E7" s="16"/>
      <c r="F7" s="15"/>
    </row>
    <row r="8" spans="1:6" ht="27.75" customHeight="1">
      <c r="A8" s="12">
        <v>3</v>
      </c>
      <c r="B8" s="13" t="s">
        <v>41</v>
      </c>
      <c r="C8" s="17">
        <f>'3.bev.részletes'!C70</f>
        <v>165308</v>
      </c>
      <c r="D8" s="16"/>
      <c r="E8" s="16"/>
      <c r="F8" s="15">
        <f>SUM(C8:E8)</f>
        <v>165308</v>
      </c>
    </row>
    <row r="9" spans="1:6" ht="15.75">
      <c r="A9" s="12">
        <v>4</v>
      </c>
      <c r="B9" s="18" t="s">
        <v>42</v>
      </c>
      <c r="C9" s="19">
        <f>'3.bev.részletes'!D70</f>
        <v>211029</v>
      </c>
      <c r="D9" s="15"/>
      <c r="E9" s="15"/>
      <c r="F9" s="15">
        <f aca="true" t="shared" si="0" ref="F9:F36">SUM(C9:E9)</f>
        <v>211029</v>
      </c>
    </row>
    <row r="10" spans="1:6" ht="15.75">
      <c r="A10" s="12">
        <v>5</v>
      </c>
      <c r="B10" s="18" t="s">
        <v>43</v>
      </c>
      <c r="C10" s="19">
        <f>'3.bev.részletes'!G70</f>
        <v>137806</v>
      </c>
      <c r="D10" s="15"/>
      <c r="E10" s="15"/>
      <c r="F10" s="20">
        <f t="shared" si="0"/>
        <v>137806</v>
      </c>
    </row>
    <row r="11" spans="1:6" ht="15.75">
      <c r="A11" s="12">
        <v>6</v>
      </c>
      <c r="B11" s="18" t="s">
        <v>516</v>
      </c>
      <c r="C11" s="19">
        <f>'3.bev.részletes'!F70</f>
        <v>7990</v>
      </c>
      <c r="D11" s="15"/>
      <c r="E11" s="15"/>
      <c r="F11" s="20">
        <f t="shared" si="0"/>
        <v>7990</v>
      </c>
    </row>
    <row r="12" spans="1:6" ht="15.75">
      <c r="A12" s="12">
        <v>7</v>
      </c>
      <c r="B12" s="18" t="s">
        <v>44</v>
      </c>
      <c r="C12" s="19">
        <f>'3.bev.részletes'!E70</f>
        <v>3937</v>
      </c>
      <c r="D12" s="15"/>
      <c r="E12" s="15"/>
      <c r="F12" s="20">
        <f t="shared" si="0"/>
        <v>3937</v>
      </c>
    </row>
    <row r="13" spans="1:6" ht="15.75">
      <c r="A13" s="12">
        <v>8</v>
      </c>
      <c r="B13" s="18" t="s">
        <v>45</v>
      </c>
      <c r="C13" s="19">
        <f>'3.bev.részletes'!I70</f>
        <v>11693</v>
      </c>
      <c r="D13" s="15"/>
      <c r="E13" s="15"/>
      <c r="F13" s="20">
        <f t="shared" si="0"/>
        <v>11693</v>
      </c>
    </row>
    <row r="14" spans="1:6" ht="15.75">
      <c r="A14" s="12">
        <v>9</v>
      </c>
      <c r="B14" s="18" t="s">
        <v>638</v>
      </c>
      <c r="C14" s="19">
        <f>'3.bev.részletes'!H70</f>
        <v>2115</v>
      </c>
      <c r="D14" s="15"/>
      <c r="E14" s="15"/>
      <c r="F14" s="20">
        <f t="shared" si="0"/>
        <v>2115</v>
      </c>
    </row>
    <row r="15" spans="1:6" ht="15.75">
      <c r="A15" s="12">
        <v>10</v>
      </c>
      <c r="B15" s="18" t="s">
        <v>46</v>
      </c>
      <c r="C15" s="19">
        <f>SUM(C8:C14)</f>
        <v>539878</v>
      </c>
      <c r="D15" s="19">
        <f>SUM(D8:D14)</f>
        <v>0</v>
      </c>
      <c r="E15" s="19">
        <f>SUM(E8:E14)</f>
        <v>0</v>
      </c>
      <c r="F15" s="19">
        <f>SUM(F8:F14)</f>
        <v>539878</v>
      </c>
    </row>
    <row r="16" spans="1:6" ht="15.75">
      <c r="A16" s="12">
        <v>11</v>
      </c>
      <c r="B16" s="18"/>
      <c r="C16" s="19"/>
      <c r="D16" s="19"/>
      <c r="E16" s="19"/>
      <c r="F16" s="19"/>
    </row>
    <row r="17" spans="1:6" ht="15.75">
      <c r="A17" s="12">
        <v>12</v>
      </c>
      <c r="B17" s="18" t="s">
        <v>532</v>
      </c>
      <c r="C17" s="19">
        <f>'3.bev.részletes'!K70</f>
        <v>1552</v>
      </c>
      <c r="D17" s="19"/>
      <c r="E17" s="19"/>
      <c r="F17" s="15">
        <f t="shared" si="0"/>
        <v>1552</v>
      </c>
    </row>
    <row r="18" spans="1:6" ht="15.75">
      <c r="A18" s="12">
        <v>13</v>
      </c>
      <c r="B18" s="18"/>
      <c r="C18" s="19"/>
      <c r="D18" s="15"/>
      <c r="E18" s="15"/>
      <c r="F18" s="15">
        <f t="shared" si="0"/>
        <v>0</v>
      </c>
    </row>
    <row r="19" spans="1:6" ht="18.75">
      <c r="A19" s="12">
        <v>14</v>
      </c>
      <c r="B19" s="106" t="s">
        <v>47</v>
      </c>
      <c r="C19" s="118"/>
      <c r="D19" s="118"/>
      <c r="E19" s="118"/>
      <c r="F19" s="119">
        <f t="shared" si="0"/>
        <v>0</v>
      </c>
    </row>
    <row r="20" spans="1:6" ht="20.25" customHeight="1">
      <c r="A20" s="12">
        <v>15</v>
      </c>
      <c r="B20" s="108" t="s">
        <v>48</v>
      </c>
      <c r="C20" s="118">
        <f>'3.bev.részletes'!L70</f>
        <v>7145</v>
      </c>
      <c r="D20" s="118"/>
      <c r="E20" s="118"/>
      <c r="F20" s="119">
        <f t="shared" si="0"/>
        <v>7145</v>
      </c>
    </row>
    <row r="21" spans="1:6" ht="20.25" customHeight="1">
      <c r="A21" s="12">
        <v>16</v>
      </c>
      <c r="B21" s="108" t="s">
        <v>49</v>
      </c>
      <c r="C21" s="118">
        <f>'3.bev.részletes'!M70</f>
        <v>5496</v>
      </c>
      <c r="D21" s="118"/>
      <c r="E21" s="118"/>
      <c r="F21" s="119">
        <f t="shared" si="0"/>
        <v>5496</v>
      </c>
    </row>
    <row r="22" spans="1:6" ht="15">
      <c r="A22" s="12">
        <v>17</v>
      </c>
      <c r="B22" s="119" t="s">
        <v>50</v>
      </c>
      <c r="C22" s="119">
        <f>'3.bev.részletes'!N70</f>
        <v>1935</v>
      </c>
      <c r="D22" s="119"/>
      <c r="E22" s="119"/>
      <c r="F22" s="119">
        <f t="shared" si="0"/>
        <v>1935</v>
      </c>
    </row>
    <row r="23" spans="1:6" ht="15">
      <c r="A23" s="12">
        <v>18</v>
      </c>
      <c r="B23" s="119" t="s">
        <v>51</v>
      </c>
      <c r="C23" s="119">
        <f>'3.bev.részletes'!O70</f>
        <v>6756</v>
      </c>
      <c r="D23" s="119"/>
      <c r="E23" s="119"/>
      <c r="F23" s="119">
        <f t="shared" si="0"/>
        <v>6756</v>
      </c>
    </row>
    <row r="24" spans="1:6" ht="15">
      <c r="A24" s="12">
        <v>19</v>
      </c>
      <c r="B24" s="119" t="s">
        <v>52</v>
      </c>
      <c r="C24" s="119"/>
      <c r="D24" s="119">
        <f>'3.bev.részletes'!Q70</f>
        <v>7176</v>
      </c>
      <c r="E24" s="119"/>
      <c r="F24" s="119">
        <f t="shared" si="0"/>
        <v>7176</v>
      </c>
    </row>
    <row r="25" spans="1:6" ht="15">
      <c r="A25" s="12">
        <v>20</v>
      </c>
      <c r="B25" s="119" t="s">
        <v>53</v>
      </c>
      <c r="C25" s="119"/>
      <c r="D25" s="119">
        <f>'3.bev.részletes'!P70</f>
        <v>3907</v>
      </c>
      <c r="E25" s="119"/>
      <c r="F25" s="119">
        <f t="shared" si="0"/>
        <v>3907</v>
      </c>
    </row>
    <row r="26" spans="1:6" ht="15.75">
      <c r="A26" s="12">
        <v>21</v>
      </c>
      <c r="B26" s="108" t="s">
        <v>54</v>
      </c>
      <c r="C26" s="119">
        <f>'3.bev.részletes'!R70</f>
        <v>3262</v>
      </c>
      <c r="D26" s="119"/>
      <c r="E26" s="119"/>
      <c r="F26" s="119">
        <f t="shared" si="0"/>
        <v>3262</v>
      </c>
    </row>
    <row r="27" spans="1:6" ht="15.75">
      <c r="A27" s="12">
        <v>22</v>
      </c>
      <c r="B27" s="108" t="s">
        <v>55</v>
      </c>
      <c r="C27" s="119">
        <f>'3.bev.részletes'!S70-D27</f>
        <v>10209</v>
      </c>
      <c r="D27" s="119">
        <v>4318</v>
      </c>
      <c r="E27" s="119"/>
      <c r="F27" s="119">
        <f t="shared" si="0"/>
        <v>14527</v>
      </c>
    </row>
    <row r="28" spans="1:6" ht="15.75">
      <c r="A28" s="12">
        <v>23</v>
      </c>
      <c r="B28" s="108" t="s">
        <v>57</v>
      </c>
      <c r="C28" s="119">
        <f>'3.bev.részletes'!T70</f>
        <v>18134</v>
      </c>
      <c r="D28" s="119"/>
      <c r="E28" s="119"/>
      <c r="F28" s="119">
        <f t="shared" si="0"/>
        <v>18134</v>
      </c>
    </row>
    <row r="29" spans="1:6" ht="15">
      <c r="A29" s="12">
        <v>24</v>
      </c>
      <c r="B29" s="119" t="s">
        <v>58</v>
      </c>
      <c r="C29" s="119">
        <f>'3.bev.részletes'!U70</f>
        <v>2306</v>
      </c>
      <c r="D29" s="119"/>
      <c r="E29" s="119"/>
      <c r="F29" s="119">
        <f t="shared" si="0"/>
        <v>2306</v>
      </c>
    </row>
    <row r="30" spans="1:6" ht="15">
      <c r="A30" s="12">
        <v>25</v>
      </c>
      <c r="B30" s="119" t="s">
        <v>59</v>
      </c>
      <c r="C30" s="119">
        <f>'3.bev.részletes'!V70+'3.bev.részletes'!W70</f>
        <v>9124</v>
      </c>
      <c r="D30" s="119"/>
      <c r="E30" s="119"/>
      <c r="F30" s="119">
        <f t="shared" si="0"/>
        <v>9124</v>
      </c>
    </row>
    <row r="31" spans="1:6" ht="15">
      <c r="A31" s="12">
        <v>26</v>
      </c>
      <c r="B31" s="119" t="s">
        <v>60</v>
      </c>
      <c r="C31" s="119"/>
      <c r="D31" s="119">
        <f>'3.bev.részletes'!X70</f>
        <v>454</v>
      </c>
      <c r="E31" s="119"/>
      <c r="F31" s="119">
        <f t="shared" si="0"/>
        <v>454</v>
      </c>
    </row>
    <row r="32" spans="1:6" ht="15">
      <c r="A32" s="12">
        <v>27</v>
      </c>
      <c r="B32" s="119" t="s">
        <v>571</v>
      </c>
      <c r="C32" s="119"/>
      <c r="D32" s="119">
        <f>'3.bev.részletes'!Y70</f>
        <v>850</v>
      </c>
      <c r="E32" s="119"/>
      <c r="F32" s="119">
        <f t="shared" si="0"/>
        <v>850</v>
      </c>
    </row>
    <row r="33" spans="1:6" ht="15.75">
      <c r="A33" s="12">
        <v>28</v>
      </c>
      <c r="B33" s="109" t="s">
        <v>61</v>
      </c>
      <c r="C33" s="119">
        <f>'3.bev.részletes'!Z70</f>
        <v>185</v>
      </c>
      <c r="D33" s="119"/>
      <c r="E33" s="119"/>
      <c r="F33" s="119">
        <f t="shared" si="0"/>
        <v>185</v>
      </c>
    </row>
    <row r="34" spans="1:6" ht="18.75">
      <c r="A34" s="12">
        <v>29</v>
      </c>
      <c r="B34" s="110" t="s">
        <v>62</v>
      </c>
      <c r="C34" s="106">
        <f>SUM(C20:C33)</f>
        <v>64552</v>
      </c>
      <c r="D34" s="106">
        <f>SUM(D20:D33)</f>
        <v>16705</v>
      </c>
      <c r="E34" s="106">
        <f>SUM(E20:E33)</f>
        <v>0</v>
      </c>
      <c r="F34" s="106">
        <f>SUM(F20:F33)</f>
        <v>81257</v>
      </c>
    </row>
    <row r="35" spans="1:6" ht="15">
      <c r="A35" s="12">
        <v>30</v>
      </c>
      <c r="B35" s="119"/>
      <c r="C35" s="119"/>
      <c r="D35" s="119"/>
      <c r="E35" s="119"/>
      <c r="F35" s="119">
        <f t="shared" si="0"/>
        <v>0</v>
      </c>
    </row>
    <row r="36" spans="1:6" ht="15">
      <c r="A36" s="12">
        <v>31</v>
      </c>
      <c r="B36" s="119"/>
      <c r="C36" s="119"/>
      <c r="D36" s="119"/>
      <c r="E36" s="119"/>
      <c r="F36" s="119">
        <f t="shared" si="0"/>
        <v>0</v>
      </c>
    </row>
    <row r="37" spans="1:6" ht="18.75">
      <c r="A37" s="12">
        <v>32</v>
      </c>
      <c r="B37" s="119" t="s">
        <v>29</v>
      </c>
      <c r="C37" s="106">
        <f>C34+C15+C17</f>
        <v>605982</v>
      </c>
      <c r="D37" s="106">
        <f>D34+D15+D17</f>
        <v>16705</v>
      </c>
      <c r="E37" s="106">
        <f>E34+E15+E17</f>
        <v>0</v>
      </c>
      <c r="F37" s="106">
        <f>F34+F15+F17</f>
        <v>622687</v>
      </c>
    </row>
    <row r="39" ht="15">
      <c r="C39" s="22"/>
    </row>
    <row r="40" ht="15">
      <c r="C40" s="22"/>
    </row>
  </sheetData>
  <sheetProtection/>
  <mergeCells count="1">
    <mergeCell ref="A1:B1"/>
  </mergeCells>
  <printOptions/>
  <pageMargins left="0.7" right="0.7" top="0.75" bottom="0.75" header="0.3" footer="0.3"/>
  <pageSetup horizontalDpi="200" verticalDpi="2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91"/>
  <sheetViews>
    <sheetView view="pageBreakPreview" zoomScale="70" zoomScaleNormal="80" zoomScaleSheetLayoutView="70" zoomScalePageLayoutView="0" workbookViewId="0" topLeftCell="A1">
      <pane xSplit="2" ySplit="6" topLeftCell="P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78" sqref="T78"/>
    </sheetView>
  </sheetViews>
  <sheetFormatPr defaultColWidth="9.140625" defaultRowHeight="15" customHeight="1"/>
  <cols>
    <col min="1" max="1" width="9.140625" style="27" customWidth="1"/>
    <col min="2" max="2" width="30.57421875" style="23" bestFit="1" customWidth="1"/>
    <col min="3" max="3" width="10.7109375" style="23" customWidth="1"/>
    <col min="4" max="9" width="8.7109375" style="24" customWidth="1"/>
    <col min="10" max="11" width="8.7109375" style="31" customWidth="1"/>
    <col min="12" max="18" width="8.28125" style="24" customWidth="1"/>
    <col min="19" max="19" width="8.7109375" style="24" bestFit="1" customWidth="1"/>
    <col min="20" max="23" width="8.8515625" style="24" customWidth="1"/>
    <col min="24" max="26" width="8.7109375" style="24" customWidth="1"/>
    <col min="27" max="27" width="9.140625" style="175" customWidth="1"/>
    <col min="28" max="28" width="14.8515625" style="24" bestFit="1" customWidth="1"/>
    <col min="29" max="29" width="10.00390625" style="23" customWidth="1"/>
    <col min="30" max="30" width="8.140625" style="23" bestFit="1" customWidth="1"/>
    <col min="31" max="16384" width="9.140625" style="23" customWidth="1"/>
  </cols>
  <sheetData>
    <row r="1" spans="1:17" ht="18.75">
      <c r="A1" s="236" t="s">
        <v>642</v>
      </c>
      <c r="B1" s="237"/>
      <c r="C1" s="237"/>
      <c r="D1" s="237"/>
      <c r="E1" s="237"/>
      <c r="F1" s="237"/>
      <c r="G1" s="237"/>
      <c r="H1" s="237"/>
      <c r="I1" s="237"/>
      <c r="J1" s="237"/>
      <c r="K1" s="156"/>
      <c r="L1" s="158"/>
      <c r="M1" s="158"/>
      <c r="N1" s="158"/>
      <c r="O1" s="158"/>
      <c r="P1" s="158"/>
      <c r="Q1" s="158"/>
    </row>
    <row r="2" spans="1:2" ht="15">
      <c r="A2" s="238" t="s">
        <v>460</v>
      </c>
      <c r="B2" s="239"/>
    </row>
    <row r="3" spans="1:2" ht="15">
      <c r="A3" s="26"/>
      <c r="B3" s="116"/>
    </row>
    <row r="4" spans="2:28" s="27" customFormat="1" ht="12.75">
      <c r="B4" s="27" t="s">
        <v>30</v>
      </c>
      <c r="C4" s="28" t="s">
        <v>31</v>
      </c>
      <c r="D4" s="154" t="s">
        <v>32</v>
      </c>
      <c r="E4" s="155" t="s">
        <v>33</v>
      </c>
      <c r="F4" s="154" t="s">
        <v>34</v>
      </c>
      <c r="G4" s="154" t="s">
        <v>155</v>
      </c>
      <c r="H4" s="155" t="s">
        <v>63</v>
      </c>
      <c r="I4" s="154" t="s">
        <v>64</v>
      </c>
      <c r="J4" s="154" t="s">
        <v>65</v>
      </c>
      <c r="K4" s="154" t="s">
        <v>66</v>
      </c>
      <c r="L4" s="155" t="s">
        <v>67</v>
      </c>
      <c r="M4" s="155" t="s">
        <v>68</v>
      </c>
      <c r="N4" s="155" t="s">
        <v>69</v>
      </c>
      <c r="O4" s="155" t="s">
        <v>70</v>
      </c>
      <c r="P4" s="155" t="s">
        <v>197</v>
      </c>
      <c r="Q4" s="154" t="s">
        <v>71</v>
      </c>
      <c r="R4" s="155" t="s">
        <v>198</v>
      </c>
      <c r="S4" s="155" t="s">
        <v>72</v>
      </c>
      <c r="T4" s="155" t="s">
        <v>73</v>
      </c>
      <c r="U4" s="155" t="s">
        <v>74</v>
      </c>
      <c r="V4" s="155" t="s">
        <v>75</v>
      </c>
      <c r="W4" s="155" t="s">
        <v>76</v>
      </c>
      <c r="X4" s="155" t="s">
        <v>77</v>
      </c>
      <c r="Y4" s="155" t="s">
        <v>78</v>
      </c>
      <c r="Z4" s="155" t="s">
        <v>79</v>
      </c>
      <c r="AA4" s="176" t="s">
        <v>80</v>
      </c>
      <c r="AB4" s="155" t="s">
        <v>537</v>
      </c>
    </row>
    <row r="5" spans="1:28" s="27" customFormat="1" ht="12.75">
      <c r="A5" s="27">
        <v>1</v>
      </c>
      <c r="C5" s="240" t="s">
        <v>40</v>
      </c>
      <c r="D5" s="241"/>
      <c r="E5" s="241"/>
      <c r="F5" s="241"/>
      <c r="G5" s="241"/>
      <c r="H5" s="241"/>
      <c r="I5" s="241"/>
      <c r="J5" s="242"/>
      <c r="K5" s="157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4"/>
      <c r="AB5" s="155"/>
    </row>
    <row r="6" spans="1:28" s="25" customFormat="1" ht="63.75">
      <c r="A6" s="28">
        <v>2</v>
      </c>
      <c r="B6" s="25" t="s">
        <v>81</v>
      </c>
      <c r="C6" s="29" t="s">
        <v>82</v>
      </c>
      <c r="D6" s="30" t="s">
        <v>83</v>
      </c>
      <c r="E6" s="30" t="s">
        <v>84</v>
      </c>
      <c r="F6" s="30" t="s">
        <v>56</v>
      </c>
      <c r="G6" s="30" t="s">
        <v>85</v>
      </c>
      <c r="H6" s="30" t="s">
        <v>86</v>
      </c>
      <c r="I6" s="30" t="s">
        <v>87</v>
      </c>
      <c r="J6" s="30" t="s">
        <v>88</v>
      </c>
      <c r="K6" s="30" t="s">
        <v>533</v>
      </c>
      <c r="L6" s="30" t="s">
        <v>89</v>
      </c>
      <c r="M6" s="30" t="s">
        <v>90</v>
      </c>
      <c r="N6" s="30" t="s">
        <v>91</v>
      </c>
      <c r="O6" s="30" t="s">
        <v>92</v>
      </c>
      <c r="P6" s="30" t="s">
        <v>93</v>
      </c>
      <c r="Q6" s="30" t="s">
        <v>94</v>
      </c>
      <c r="R6" s="30" t="s">
        <v>95</v>
      </c>
      <c r="S6" s="30" t="s">
        <v>96</v>
      </c>
      <c r="T6" s="30" t="s">
        <v>97</v>
      </c>
      <c r="U6" s="30" t="s">
        <v>58</v>
      </c>
      <c r="V6" s="30" t="s">
        <v>98</v>
      </c>
      <c r="W6" s="30" t="s">
        <v>99</v>
      </c>
      <c r="X6" s="30" t="s">
        <v>100</v>
      </c>
      <c r="Y6" s="30" t="s">
        <v>101</v>
      </c>
      <c r="Z6" s="30" t="s">
        <v>102</v>
      </c>
      <c r="AA6" s="30" t="s">
        <v>103</v>
      </c>
      <c r="AB6" s="30" t="s">
        <v>104</v>
      </c>
    </row>
    <row r="7" spans="1:28" ht="12.75">
      <c r="A7" s="27">
        <v>3</v>
      </c>
      <c r="B7" s="23" t="s">
        <v>105</v>
      </c>
      <c r="J7" s="31">
        <f>SUM(C7:I7)</f>
        <v>0</v>
      </c>
      <c r="N7" s="24">
        <v>1524</v>
      </c>
      <c r="O7" s="24">
        <v>5319</v>
      </c>
      <c r="U7" s="24">
        <v>1816</v>
      </c>
      <c r="AA7" s="31">
        <f>SUM(L7:Z7)</f>
        <v>8659</v>
      </c>
      <c r="AB7" s="24">
        <f aca="true" t="shared" si="0" ref="AB7:AB69">AA7+J7+K7</f>
        <v>8659</v>
      </c>
    </row>
    <row r="8" spans="1:28" ht="12.75">
      <c r="A8" s="27">
        <v>4</v>
      </c>
      <c r="B8" s="23" t="s">
        <v>106</v>
      </c>
      <c r="J8" s="31">
        <f aca="true" t="shared" si="1" ref="J8:J69">SUM(C8:I8)</f>
        <v>0</v>
      </c>
      <c r="P8" s="24">
        <v>3084</v>
      </c>
      <c r="AA8" s="31">
        <f aca="true" t="shared" si="2" ref="AA8:AA70">SUM(L8:Z8)</f>
        <v>3084</v>
      </c>
      <c r="AB8" s="24">
        <f t="shared" si="0"/>
        <v>3084</v>
      </c>
    </row>
    <row r="9" spans="1:28" ht="12.75">
      <c r="A9" s="28">
        <v>5</v>
      </c>
      <c r="B9" s="23" t="s">
        <v>107</v>
      </c>
      <c r="C9" s="23">
        <f>348+151</f>
        <v>499</v>
      </c>
      <c r="J9" s="31">
        <f t="shared" si="1"/>
        <v>499</v>
      </c>
      <c r="M9" s="24">
        <v>4334</v>
      </c>
      <c r="Q9" s="24">
        <v>5654</v>
      </c>
      <c r="T9" s="24">
        <f>6119+201+130+1200</f>
        <v>7650</v>
      </c>
      <c r="Z9" s="24">
        <v>185</v>
      </c>
      <c r="AA9" s="31">
        <f t="shared" si="2"/>
        <v>17823</v>
      </c>
      <c r="AB9" s="24">
        <f t="shared" si="0"/>
        <v>18322</v>
      </c>
    </row>
    <row r="10" spans="1:28" s="25" customFormat="1" ht="12.75">
      <c r="A10" s="27">
        <v>6</v>
      </c>
      <c r="B10" s="25" t="s">
        <v>108</v>
      </c>
      <c r="C10" s="25">
        <f>SUM(C7:C9)</f>
        <v>499</v>
      </c>
      <c r="D10" s="31">
        <f>SUM(D7:D9)</f>
        <v>0</v>
      </c>
      <c r="E10" s="31"/>
      <c r="F10" s="31"/>
      <c r="G10" s="31">
        <f>SUM(G7:G9)</f>
        <v>0</v>
      </c>
      <c r="H10" s="31">
        <f>SUM(H7:H9)</f>
        <v>0</v>
      </c>
      <c r="I10" s="31">
        <f>SUM(I7:I9)</f>
        <v>0</v>
      </c>
      <c r="J10" s="31">
        <f t="shared" si="1"/>
        <v>499</v>
      </c>
      <c r="K10" s="31"/>
      <c r="L10" s="31">
        <f aca="true" t="shared" si="3" ref="L10:X10">SUM(L7:L9)</f>
        <v>0</v>
      </c>
      <c r="M10" s="31">
        <f t="shared" si="3"/>
        <v>4334</v>
      </c>
      <c r="N10" s="31">
        <f t="shared" si="3"/>
        <v>1524</v>
      </c>
      <c r="O10" s="31">
        <f t="shared" si="3"/>
        <v>5319</v>
      </c>
      <c r="P10" s="31">
        <f t="shared" si="3"/>
        <v>3084</v>
      </c>
      <c r="Q10" s="31">
        <f t="shared" si="3"/>
        <v>5654</v>
      </c>
      <c r="R10" s="31">
        <f t="shared" si="3"/>
        <v>0</v>
      </c>
      <c r="S10" s="31">
        <f t="shared" si="3"/>
        <v>0</v>
      </c>
      <c r="T10" s="31">
        <f>SUM(T7:T9)</f>
        <v>7650</v>
      </c>
      <c r="U10" s="31">
        <f>SUM(U7:U9)</f>
        <v>1816</v>
      </c>
      <c r="V10" s="31">
        <f>SUM(V7:V9)</f>
        <v>0</v>
      </c>
      <c r="W10" s="31"/>
      <c r="X10" s="31">
        <f t="shared" si="3"/>
        <v>0</v>
      </c>
      <c r="Y10" s="31">
        <f>SUM(Y7:Y9)</f>
        <v>0</v>
      </c>
      <c r="Z10" s="31">
        <f>SUM(Z7:Z9)</f>
        <v>185</v>
      </c>
      <c r="AA10" s="31">
        <f t="shared" si="2"/>
        <v>29566</v>
      </c>
      <c r="AB10" s="24">
        <f t="shared" si="0"/>
        <v>30065</v>
      </c>
    </row>
    <row r="11" spans="1:28" ht="12.75">
      <c r="A11" s="27">
        <v>7</v>
      </c>
      <c r="B11" s="23" t="s">
        <v>109</v>
      </c>
      <c r="J11" s="31">
        <f t="shared" si="1"/>
        <v>0</v>
      </c>
      <c r="AA11" s="31">
        <f t="shared" si="2"/>
        <v>0</v>
      </c>
      <c r="AB11" s="24">
        <f t="shared" si="0"/>
        <v>0</v>
      </c>
    </row>
    <row r="12" spans="1:28" ht="12.75">
      <c r="A12" s="28">
        <v>8</v>
      </c>
      <c r="B12" s="23" t="s">
        <v>110</v>
      </c>
      <c r="J12" s="31">
        <f t="shared" si="1"/>
        <v>0</v>
      </c>
      <c r="S12" s="24">
        <v>3805</v>
      </c>
      <c r="AA12" s="31">
        <f t="shared" si="2"/>
        <v>3805</v>
      </c>
      <c r="AB12" s="24">
        <f t="shared" si="0"/>
        <v>3805</v>
      </c>
    </row>
    <row r="13" spans="1:28" s="25" customFormat="1" ht="12.75">
      <c r="A13" s="27">
        <v>9</v>
      </c>
      <c r="B13" s="25" t="s">
        <v>111</v>
      </c>
      <c r="C13" s="25">
        <f>SUM(C11:C12)</f>
        <v>0</v>
      </c>
      <c r="D13" s="31">
        <f>SUM(D11:D12)</f>
        <v>0</v>
      </c>
      <c r="E13" s="31"/>
      <c r="F13" s="31"/>
      <c r="G13" s="31">
        <f>SUM(G11:G12)</f>
        <v>0</v>
      </c>
      <c r="H13" s="31"/>
      <c r="I13" s="31"/>
      <c r="J13" s="31">
        <f t="shared" si="1"/>
        <v>0</v>
      </c>
      <c r="K13" s="31"/>
      <c r="L13" s="31">
        <f aca="true" t="shared" si="4" ref="L13:Q13">SUM(L11:L12)</f>
        <v>0</v>
      </c>
      <c r="M13" s="31">
        <f t="shared" si="4"/>
        <v>0</v>
      </c>
      <c r="N13" s="31">
        <f t="shared" si="4"/>
        <v>0</v>
      </c>
      <c r="O13" s="31">
        <f t="shared" si="4"/>
        <v>0</v>
      </c>
      <c r="P13" s="31">
        <f t="shared" si="4"/>
        <v>0</v>
      </c>
      <c r="Q13" s="31">
        <f t="shared" si="4"/>
        <v>0</v>
      </c>
      <c r="R13" s="31"/>
      <c r="S13" s="31">
        <f>SUM(S11:S12)</f>
        <v>3805</v>
      </c>
      <c r="T13" s="31">
        <f>SUM(T11:T12)</f>
        <v>0</v>
      </c>
      <c r="U13" s="31">
        <f>SUM(U11:U12)</f>
        <v>0</v>
      </c>
      <c r="V13" s="31">
        <f>SUM(V11:V12)</f>
        <v>0</v>
      </c>
      <c r="W13" s="31">
        <f>SUM(W11:W12)</f>
        <v>0</v>
      </c>
      <c r="X13" s="31"/>
      <c r="Y13" s="31">
        <f>SUM(Y11:Y12)</f>
        <v>0</v>
      </c>
      <c r="Z13" s="31">
        <f>SUM(Z11:Z12)</f>
        <v>0</v>
      </c>
      <c r="AA13" s="31">
        <f t="shared" si="2"/>
        <v>3805</v>
      </c>
      <c r="AB13" s="24">
        <f t="shared" si="0"/>
        <v>3805</v>
      </c>
    </row>
    <row r="14" spans="1:28" ht="12.75">
      <c r="A14" s="27">
        <v>10</v>
      </c>
      <c r="B14" s="23" t="s">
        <v>16</v>
      </c>
      <c r="J14" s="31">
        <f t="shared" si="1"/>
        <v>0</v>
      </c>
      <c r="L14" s="24">
        <v>5626</v>
      </c>
      <c r="S14" s="24">
        <v>9700</v>
      </c>
      <c r="X14" s="24">
        <v>454</v>
      </c>
      <c r="AA14" s="31">
        <f t="shared" si="2"/>
        <v>15780</v>
      </c>
      <c r="AB14" s="24">
        <f t="shared" si="0"/>
        <v>15780</v>
      </c>
    </row>
    <row r="15" spans="1:28" ht="12.75">
      <c r="A15" s="28">
        <v>11</v>
      </c>
      <c r="B15" s="23" t="s">
        <v>112</v>
      </c>
      <c r="J15" s="31">
        <f t="shared" si="1"/>
        <v>0</v>
      </c>
      <c r="AA15" s="31">
        <f t="shared" si="2"/>
        <v>0</v>
      </c>
      <c r="AB15" s="24">
        <f t="shared" si="0"/>
        <v>0</v>
      </c>
    </row>
    <row r="16" spans="1:28" ht="12.75">
      <c r="A16" s="27">
        <v>12</v>
      </c>
      <c r="B16" s="23" t="s">
        <v>113</v>
      </c>
      <c r="C16" s="23">
        <v>2652</v>
      </c>
      <c r="J16" s="31">
        <f t="shared" si="1"/>
        <v>2652</v>
      </c>
      <c r="R16" s="24">
        <v>3262</v>
      </c>
      <c r="Y16" s="24">
        <v>850</v>
      </c>
      <c r="AA16" s="31">
        <f t="shared" si="2"/>
        <v>4112</v>
      </c>
      <c r="AB16" s="24">
        <f t="shared" si="0"/>
        <v>6764</v>
      </c>
    </row>
    <row r="17" spans="1:28" s="25" customFormat="1" ht="12.75">
      <c r="A17" s="27">
        <v>13</v>
      </c>
      <c r="B17" s="25" t="s">
        <v>114</v>
      </c>
      <c r="C17" s="31">
        <f>SUM(C14:C16)</f>
        <v>2652</v>
      </c>
      <c r="D17" s="31">
        <f>SUM(D14:D16)</f>
        <v>0</v>
      </c>
      <c r="E17" s="31"/>
      <c r="F17" s="31"/>
      <c r="G17" s="31">
        <f>SUM(G14:G16)</f>
        <v>0</v>
      </c>
      <c r="H17" s="31"/>
      <c r="I17" s="31"/>
      <c r="J17" s="31">
        <f t="shared" si="1"/>
        <v>2652</v>
      </c>
      <c r="K17" s="31"/>
      <c r="L17" s="31">
        <f aca="true" t="shared" si="5" ref="L17:X17">SUM(L14:L16)</f>
        <v>5626</v>
      </c>
      <c r="M17" s="31">
        <f t="shared" si="5"/>
        <v>0</v>
      </c>
      <c r="N17" s="31">
        <f t="shared" si="5"/>
        <v>0</v>
      </c>
      <c r="O17" s="31">
        <f t="shared" si="5"/>
        <v>0</v>
      </c>
      <c r="P17" s="31">
        <f t="shared" si="5"/>
        <v>0</v>
      </c>
      <c r="Q17" s="31">
        <f t="shared" si="5"/>
        <v>0</v>
      </c>
      <c r="R17" s="31">
        <f t="shared" si="5"/>
        <v>3262</v>
      </c>
      <c r="S17" s="31">
        <f t="shared" si="5"/>
        <v>9700</v>
      </c>
      <c r="T17" s="31">
        <f>SUM(T14:T16)</f>
        <v>0</v>
      </c>
      <c r="U17" s="31">
        <f>SUM(U14:U16)</f>
        <v>0</v>
      </c>
      <c r="V17" s="31">
        <f>SUM(V14:V16)</f>
        <v>0</v>
      </c>
      <c r="W17" s="31">
        <f>SUM(W14:W16)</f>
        <v>0</v>
      </c>
      <c r="X17" s="31">
        <f t="shared" si="5"/>
        <v>454</v>
      </c>
      <c r="Y17" s="31">
        <f>SUM(Y14:Y16)</f>
        <v>850</v>
      </c>
      <c r="Z17" s="31">
        <f>SUM(Z14:Z16)</f>
        <v>0</v>
      </c>
      <c r="AA17" s="31">
        <f t="shared" si="2"/>
        <v>19892</v>
      </c>
      <c r="AB17" s="24">
        <f t="shared" si="0"/>
        <v>22544</v>
      </c>
    </row>
    <row r="18" spans="1:28" ht="12.75">
      <c r="A18" s="28">
        <v>14</v>
      </c>
      <c r="B18" s="23" t="s">
        <v>115</v>
      </c>
      <c r="J18" s="31">
        <f t="shared" si="1"/>
        <v>0</v>
      </c>
      <c r="AA18" s="31">
        <f t="shared" si="2"/>
        <v>0</v>
      </c>
      <c r="AB18" s="24">
        <f t="shared" si="0"/>
        <v>0</v>
      </c>
    </row>
    <row r="19" spans="1:28" ht="12.75">
      <c r="A19" s="27">
        <v>15</v>
      </c>
      <c r="B19" s="23" t="s">
        <v>116</v>
      </c>
      <c r="J19" s="31">
        <f t="shared" si="1"/>
        <v>0</v>
      </c>
      <c r="AA19" s="31">
        <f t="shared" si="2"/>
        <v>0</v>
      </c>
      <c r="AB19" s="24">
        <f t="shared" si="0"/>
        <v>0</v>
      </c>
    </row>
    <row r="20" spans="1:28" ht="12.75">
      <c r="A20" s="27">
        <v>16</v>
      </c>
      <c r="B20" s="23" t="s">
        <v>117</v>
      </c>
      <c r="J20" s="31">
        <f t="shared" si="1"/>
        <v>0</v>
      </c>
      <c r="L20" s="24">
        <v>1519</v>
      </c>
      <c r="M20" s="24">
        <v>1162</v>
      </c>
      <c r="N20" s="24">
        <v>411</v>
      </c>
      <c r="O20" s="24">
        <v>1437</v>
      </c>
      <c r="P20" s="24">
        <v>823</v>
      </c>
      <c r="Q20" s="24">
        <v>1522</v>
      </c>
      <c r="S20" s="24">
        <v>1022</v>
      </c>
      <c r="U20" s="24">
        <v>490</v>
      </c>
      <c r="AA20" s="31">
        <f t="shared" si="2"/>
        <v>8386</v>
      </c>
      <c r="AB20" s="24">
        <f t="shared" si="0"/>
        <v>8386</v>
      </c>
    </row>
    <row r="21" spans="1:28" ht="12.75">
      <c r="A21" s="28">
        <v>17</v>
      </c>
      <c r="B21" s="23" t="s">
        <v>118</v>
      </c>
      <c r="G21" s="24">
        <v>1401</v>
      </c>
      <c r="J21" s="31">
        <f t="shared" si="1"/>
        <v>1401</v>
      </c>
      <c r="AA21" s="31">
        <f t="shared" si="2"/>
        <v>0</v>
      </c>
      <c r="AB21" s="24">
        <f t="shared" si="0"/>
        <v>1401</v>
      </c>
    </row>
    <row r="22" spans="1:28" s="25" customFormat="1" ht="12.75">
      <c r="A22" s="27">
        <v>18</v>
      </c>
      <c r="B22" s="25" t="s">
        <v>119</v>
      </c>
      <c r="D22" s="31">
        <f>SUM(D18:D21)</f>
        <v>0</v>
      </c>
      <c r="E22" s="31"/>
      <c r="F22" s="31"/>
      <c r="G22" s="31">
        <f>SUM(G18:G21)</f>
        <v>1401</v>
      </c>
      <c r="H22" s="31">
        <f>SUM(H18:H21)</f>
        <v>0</v>
      </c>
      <c r="I22" s="31">
        <f>SUM(I18:I21)</f>
        <v>0</v>
      </c>
      <c r="J22" s="31">
        <f t="shared" si="1"/>
        <v>1401</v>
      </c>
      <c r="K22" s="31"/>
      <c r="L22" s="31">
        <f aca="true" t="shared" si="6" ref="L22:Q22">SUM(L18:L21)</f>
        <v>1519</v>
      </c>
      <c r="M22" s="31">
        <f t="shared" si="6"/>
        <v>1162</v>
      </c>
      <c r="N22" s="31">
        <f t="shared" si="6"/>
        <v>411</v>
      </c>
      <c r="O22" s="31">
        <f t="shared" si="6"/>
        <v>1437</v>
      </c>
      <c r="P22" s="31">
        <f t="shared" si="6"/>
        <v>823</v>
      </c>
      <c r="Q22" s="31">
        <f t="shared" si="6"/>
        <v>1522</v>
      </c>
      <c r="R22" s="31"/>
      <c r="S22" s="31">
        <f>SUM(S18:S21)</f>
        <v>1022</v>
      </c>
      <c r="T22" s="31">
        <f aca="true" t="shared" si="7" ref="T22:Z22">SUM(T18:T21)</f>
        <v>0</v>
      </c>
      <c r="U22" s="31">
        <f t="shared" si="7"/>
        <v>490</v>
      </c>
      <c r="V22" s="31">
        <f t="shared" si="7"/>
        <v>0</v>
      </c>
      <c r="W22" s="31">
        <f t="shared" si="7"/>
        <v>0</v>
      </c>
      <c r="X22" s="31">
        <f t="shared" si="7"/>
        <v>0</v>
      </c>
      <c r="Y22" s="31">
        <f t="shared" si="7"/>
        <v>0</v>
      </c>
      <c r="Z22" s="31">
        <f t="shared" si="7"/>
        <v>0</v>
      </c>
      <c r="AA22" s="31">
        <f t="shared" si="2"/>
        <v>8386</v>
      </c>
      <c r="AB22" s="24">
        <f t="shared" si="0"/>
        <v>9787</v>
      </c>
    </row>
    <row r="23" spans="1:28" ht="12.75">
      <c r="A23" s="27">
        <v>19</v>
      </c>
      <c r="B23" s="23" t="s">
        <v>120</v>
      </c>
      <c r="J23" s="31">
        <f t="shared" si="1"/>
        <v>0</v>
      </c>
      <c r="AA23" s="31">
        <f t="shared" si="2"/>
        <v>0</v>
      </c>
      <c r="AB23" s="24">
        <f t="shared" si="0"/>
        <v>0</v>
      </c>
    </row>
    <row r="24" spans="1:28" ht="12.75">
      <c r="A24" s="28">
        <v>20</v>
      </c>
      <c r="B24" s="23" t="s">
        <v>121</v>
      </c>
      <c r="C24" s="23">
        <v>593</v>
      </c>
      <c r="J24" s="31">
        <f t="shared" si="1"/>
        <v>593</v>
      </c>
      <c r="AA24" s="31">
        <f t="shared" si="2"/>
        <v>0</v>
      </c>
      <c r="AB24" s="24">
        <f t="shared" si="0"/>
        <v>593</v>
      </c>
    </row>
    <row r="25" spans="1:28" s="25" customFormat="1" ht="12.75">
      <c r="A25" s="27">
        <v>21</v>
      </c>
      <c r="B25" s="25" t="s">
        <v>122</v>
      </c>
      <c r="C25" s="25">
        <f>SUM(C23:C24)</f>
        <v>593</v>
      </c>
      <c r="D25" s="31">
        <f>SUM(D23:D24)</f>
        <v>0</v>
      </c>
      <c r="E25" s="31"/>
      <c r="F25" s="31"/>
      <c r="G25" s="31"/>
      <c r="H25" s="31"/>
      <c r="I25" s="31"/>
      <c r="J25" s="31">
        <f t="shared" si="1"/>
        <v>593</v>
      </c>
      <c r="K25" s="31">
        <v>3</v>
      </c>
      <c r="L25" s="31">
        <f aca="true" t="shared" si="8" ref="L25:S25">SUM(L23:L24)</f>
        <v>0</v>
      </c>
      <c r="M25" s="31">
        <f t="shared" si="8"/>
        <v>0</v>
      </c>
      <c r="N25" s="31">
        <f t="shared" si="8"/>
        <v>0</v>
      </c>
      <c r="O25" s="31">
        <f t="shared" si="8"/>
        <v>0</v>
      </c>
      <c r="P25" s="31">
        <f t="shared" si="8"/>
        <v>0</v>
      </c>
      <c r="Q25" s="31">
        <f t="shared" si="8"/>
        <v>0</v>
      </c>
      <c r="R25" s="31">
        <f t="shared" si="8"/>
        <v>0</v>
      </c>
      <c r="S25" s="31">
        <f t="shared" si="8"/>
        <v>0</v>
      </c>
      <c r="T25" s="31">
        <f>SUM(T23:T24)</f>
        <v>0</v>
      </c>
      <c r="U25" s="31">
        <f>SUM(U23:U24)</f>
        <v>0</v>
      </c>
      <c r="V25" s="31">
        <f>SUM(V23:V24)</f>
        <v>0</v>
      </c>
      <c r="W25" s="31">
        <f>SUM(W23:W24)</f>
        <v>0</v>
      </c>
      <c r="X25" s="31"/>
      <c r="Y25" s="31"/>
      <c r="Z25" s="31">
        <f>SUM(Z23:Z24)</f>
        <v>0</v>
      </c>
      <c r="AA25" s="31">
        <f t="shared" si="2"/>
        <v>0</v>
      </c>
      <c r="AB25" s="24">
        <f t="shared" si="0"/>
        <v>596</v>
      </c>
    </row>
    <row r="26" spans="1:28" s="25" customFormat="1" ht="12.75">
      <c r="A26" s="27">
        <v>22</v>
      </c>
      <c r="B26" s="25" t="s">
        <v>123</v>
      </c>
      <c r="C26" s="25">
        <f aca="true" t="shared" si="9" ref="C26:I26">SUM(C25,C22,C17,C13,C10)</f>
        <v>3744</v>
      </c>
      <c r="D26" s="31">
        <f t="shared" si="9"/>
        <v>0</v>
      </c>
      <c r="E26" s="31">
        <f t="shared" si="9"/>
        <v>0</v>
      </c>
      <c r="F26" s="31">
        <f t="shared" si="9"/>
        <v>0</v>
      </c>
      <c r="G26" s="31">
        <f t="shared" si="9"/>
        <v>1401</v>
      </c>
      <c r="H26" s="31">
        <f t="shared" si="9"/>
        <v>0</v>
      </c>
      <c r="I26" s="31">
        <f t="shared" si="9"/>
        <v>0</v>
      </c>
      <c r="J26" s="31">
        <f t="shared" si="1"/>
        <v>5145</v>
      </c>
      <c r="K26" s="31">
        <f>SUM(K25,K22,K17,K13,K10)</f>
        <v>3</v>
      </c>
      <c r="L26" s="31">
        <f>SUM(L25,L22,L17,L13,L10)</f>
        <v>7145</v>
      </c>
      <c r="M26" s="31">
        <f>SUM(M10,M13,M17,M22,M25)</f>
        <v>5496</v>
      </c>
      <c r="N26" s="31">
        <f>SUM(N10,N13,N17,N22,N25)</f>
        <v>1935</v>
      </c>
      <c r="O26" s="31">
        <f>SUM(O10,O13,O17,O22,O25)</f>
        <v>6756</v>
      </c>
      <c r="P26" s="31">
        <f>SUM(P10,P13,P17,P22,P25)</f>
        <v>3907</v>
      </c>
      <c r="Q26" s="31">
        <f>SUM(Q10,Q13,Q17,Q22,Q25)</f>
        <v>7176</v>
      </c>
      <c r="R26" s="31">
        <f aca="true" t="shared" si="10" ref="R26:Y26">SUM(R25,R22,R17,R13,R10)</f>
        <v>3262</v>
      </c>
      <c r="S26" s="31">
        <f t="shared" si="10"/>
        <v>14527</v>
      </c>
      <c r="T26" s="31">
        <f t="shared" si="10"/>
        <v>7650</v>
      </c>
      <c r="U26" s="31">
        <f t="shared" si="10"/>
        <v>2306</v>
      </c>
      <c r="V26" s="31">
        <f t="shared" si="10"/>
        <v>0</v>
      </c>
      <c r="W26" s="31">
        <f t="shared" si="10"/>
        <v>0</v>
      </c>
      <c r="X26" s="31">
        <f t="shared" si="10"/>
        <v>454</v>
      </c>
      <c r="Y26" s="31">
        <f t="shared" si="10"/>
        <v>850</v>
      </c>
      <c r="Z26" s="31">
        <f>SUM(Z10,Z13,Z17,Z22,Z25)</f>
        <v>185</v>
      </c>
      <c r="AA26" s="31">
        <f t="shared" si="2"/>
        <v>61649</v>
      </c>
      <c r="AB26" s="24">
        <f t="shared" si="0"/>
        <v>66797</v>
      </c>
    </row>
    <row r="27" spans="1:28" s="25" customFormat="1" ht="12.75">
      <c r="A27" s="28">
        <v>23</v>
      </c>
      <c r="D27" s="31"/>
      <c r="E27" s="31"/>
      <c r="F27" s="31"/>
      <c r="G27" s="31"/>
      <c r="H27" s="31"/>
      <c r="I27" s="31"/>
      <c r="J27" s="31">
        <f t="shared" si="1"/>
        <v>0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>
        <f t="shared" si="2"/>
        <v>0</v>
      </c>
      <c r="AB27" s="24">
        <f t="shared" si="0"/>
        <v>0</v>
      </c>
    </row>
    <row r="28" spans="1:28" s="25" customFormat="1" ht="12.75">
      <c r="A28" s="27">
        <v>24</v>
      </c>
      <c r="D28" s="31"/>
      <c r="E28" s="31"/>
      <c r="F28" s="31"/>
      <c r="G28" s="31"/>
      <c r="H28" s="31"/>
      <c r="I28" s="31"/>
      <c r="J28" s="31">
        <f t="shared" si="1"/>
        <v>0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>
        <f t="shared" si="2"/>
        <v>0</v>
      </c>
      <c r="AB28" s="24">
        <f t="shared" si="0"/>
        <v>0</v>
      </c>
    </row>
    <row r="29" spans="1:28" s="25" customFormat="1" ht="12.75">
      <c r="A29" s="27">
        <v>25</v>
      </c>
      <c r="D29" s="31"/>
      <c r="E29" s="31"/>
      <c r="F29" s="31"/>
      <c r="G29" s="31"/>
      <c r="H29" s="31"/>
      <c r="I29" s="31"/>
      <c r="J29" s="31">
        <f t="shared" si="1"/>
        <v>0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>
        <f t="shared" si="2"/>
        <v>0</v>
      </c>
      <c r="AB29" s="24">
        <f t="shared" si="0"/>
        <v>0</v>
      </c>
    </row>
    <row r="30" spans="1:28" s="25" customFormat="1" ht="12.75">
      <c r="A30" s="28">
        <v>26</v>
      </c>
      <c r="B30" s="25" t="s">
        <v>81</v>
      </c>
      <c r="C30" s="25">
        <v>841112</v>
      </c>
      <c r="D30" s="31">
        <v>841133</v>
      </c>
      <c r="E30" s="31">
        <v>841358</v>
      </c>
      <c r="F30" s="31">
        <v>841403</v>
      </c>
      <c r="G30" s="31">
        <v>841901</v>
      </c>
      <c r="H30" s="31">
        <v>889942</v>
      </c>
      <c r="I30" s="31">
        <v>869041</v>
      </c>
      <c r="J30" s="31" t="s">
        <v>572</v>
      </c>
      <c r="K30" s="31">
        <v>852011</v>
      </c>
      <c r="L30" s="31">
        <v>370000</v>
      </c>
      <c r="M30" s="31">
        <v>902113</v>
      </c>
      <c r="N30" s="31">
        <v>552312</v>
      </c>
      <c r="O30" s="31">
        <v>552323</v>
      </c>
      <c r="P30" s="31">
        <v>552411</v>
      </c>
      <c r="Q30" s="31">
        <v>751950</v>
      </c>
      <c r="R30" s="31">
        <v>682001</v>
      </c>
      <c r="S30" s="31">
        <v>682002</v>
      </c>
      <c r="T30" s="31">
        <v>869041</v>
      </c>
      <c r="U30" s="31">
        <v>889921</v>
      </c>
      <c r="V30" s="31">
        <v>890442</v>
      </c>
      <c r="W30" s="31">
        <v>890444</v>
      </c>
      <c r="X30" s="31">
        <v>910502</v>
      </c>
      <c r="Y30" s="31">
        <v>849900</v>
      </c>
      <c r="Z30" s="31">
        <v>751867</v>
      </c>
      <c r="AA30" s="31"/>
      <c r="AB30" s="24"/>
    </row>
    <row r="31" spans="1:28" s="25" customFormat="1" ht="12.75">
      <c r="A31" s="27">
        <v>27</v>
      </c>
      <c r="B31" s="25" t="s">
        <v>124</v>
      </c>
      <c r="D31" s="31"/>
      <c r="E31" s="31"/>
      <c r="F31" s="31"/>
      <c r="G31" s="31">
        <v>457</v>
      </c>
      <c r="H31" s="31"/>
      <c r="I31" s="31"/>
      <c r="J31" s="31">
        <f t="shared" si="1"/>
        <v>457</v>
      </c>
      <c r="K31" s="31"/>
      <c r="L31" s="31"/>
      <c r="M31" s="31">
        <f>SUM(M27:M28)</f>
        <v>0</v>
      </c>
      <c r="N31" s="31">
        <f>SUM(N27:N28)</f>
        <v>0</v>
      </c>
      <c r="O31" s="31">
        <f>SUM(O27:O28)</f>
        <v>0</v>
      </c>
      <c r="P31" s="31">
        <f>SUM(P27:P28)</f>
        <v>0</v>
      </c>
      <c r="Q31" s="31">
        <f>SUM(Q27:Q28)</f>
        <v>0</v>
      </c>
      <c r="R31" s="31"/>
      <c r="S31" s="31"/>
      <c r="T31" s="31"/>
      <c r="U31" s="31"/>
      <c r="V31" s="31"/>
      <c r="W31" s="31"/>
      <c r="X31" s="31"/>
      <c r="Y31" s="31"/>
      <c r="Z31" s="31">
        <f>SUM(Z27:Z28)</f>
        <v>0</v>
      </c>
      <c r="AA31" s="31">
        <f t="shared" si="2"/>
        <v>0</v>
      </c>
      <c r="AB31" s="24">
        <f t="shared" si="0"/>
        <v>457</v>
      </c>
    </row>
    <row r="32" spans="1:28" ht="12.75">
      <c r="A32" s="27">
        <v>28</v>
      </c>
      <c r="B32" s="23" t="s">
        <v>125</v>
      </c>
      <c r="J32" s="31">
        <f t="shared" si="1"/>
        <v>0</v>
      </c>
      <c r="AA32" s="31">
        <f t="shared" si="2"/>
        <v>0</v>
      </c>
      <c r="AB32" s="24">
        <f t="shared" si="0"/>
        <v>0</v>
      </c>
    </row>
    <row r="33" spans="1:28" ht="12.75">
      <c r="A33" s="28">
        <v>29</v>
      </c>
      <c r="B33" s="23" t="s">
        <v>680</v>
      </c>
      <c r="G33" s="24">
        <v>6825</v>
      </c>
      <c r="J33" s="31">
        <f t="shared" si="1"/>
        <v>6825</v>
      </c>
      <c r="AA33" s="31">
        <f t="shared" si="2"/>
        <v>0</v>
      </c>
      <c r="AB33" s="24">
        <f t="shared" si="0"/>
        <v>6825</v>
      </c>
    </row>
    <row r="34" spans="1:28" ht="12.75">
      <c r="A34" s="27">
        <v>30</v>
      </c>
      <c r="B34" s="23" t="s">
        <v>126</v>
      </c>
      <c r="G34" s="24">
        <v>5733</v>
      </c>
      <c r="J34" s="31">
        <f t="shared" si="1"/>
        <v>5733</v>
      </c>
      <c r="AA34" s="31">
        <f t="shared" si="2"/>
        <v>0</v>
      </c>
      <c r="AB34" s="24">
        <f t="shared" si="0"/>
        <v>5733</v>
      </c>
    </row>
    <row r="35" spans="1:28" s="25" customFormat="1" ht="12.75">
      <c r="A35" s="27">
        <v>31</v>
      </c>
      <c r="B35" s="25" t="s">
        <v>127</v>
      </c>
      <c r="D35" s="31">
        <f>+D32+D33+D34</f>
        <v>0</v>
      </c>
      <c r="E35" s="31"/>
      <c r="F35" s="31"/>
      <c r="G35" s="31">
        <f>+G32+G33+G34</f>
        <v>12558</v>
      </c>
      <c r="H35" s="31">
        <f>+H32+H33+H34</f>
        <v>0</v>
      </c>
      <c r="I35" s="31">
        <f>+I32+I33+I34</f>
        <v>0</v>
      </c>
      <c r="J35" s="31">
        <f t="shared" si="1"/>
        <v>12558</v>
      </c>
      <c r="K35" s="31"/>
      <c r="L35" s="31">
        <f>+L32+L33+L34</f>
        <v>0</v>
      </c>
      <c r="M35" s="31">
        <f>SUM(M32:M33)</f>
        <v>0</v>
      </c>
      <c r="N35" s="31">
        <f>SUM(N32:N33)</f>
        <v>0</v>
      </c>
      <c r="O35" s="31">
        <f>SUM(O32:O33)</f>
        <v>0</v>
      </c>
      <c r="P35" s="31">
        <f>SUM(P32:P33)</f>
        <v>0</v>
      </c>
      <c r="Q35" s="31">
        <f>SUM(Q32:Q33)</f>
        <v>0</v>
      </c>
      <c r="R35" s="31">
        <f>+R32+R33+R34</f>
        <v>0</v>
      </c>
      <c r="S35" s="31">
        <f>+S32+S33+S34</f>
        <v>0</v>
      </c>
      <c r="T35" s="31">
        <f>+T32+T33+T34</f>
        <v>0</v>
      </c>
      <c r="U35" s="31">
        <f>+U32+U33+U34</f>
        <v>0</v>
      </c>
      <c r="V35" s="31">
        <f>+V32+V33+V34</f>
        <v>0</v>
      </c>
      <c r="W35" s="31"/>
      <c r="X35" s="31">
        <f>+X32+X33+X34</f>
        <v>0</v>
      </c>
      <c r="Y35" s="31">
        <f>+Y32+Y33+Y34</f>
        <v>0</v>
      </c>
      <c r="Z35" s="31">
        <f>SUM(Z32:Z33)</f>
        <v>0</v>
      </c>
      <c r="AA35" s="31">
        <f t="shared" si="2"/>
        <v>0</v>
      </c>
      <c r="AB35" s="24">
        <f t="shared" si="0"/>
        <v>12558</v>
      </c>
    </row>
    <row r="36" spans="1:28" ht="12.75">
      <c r="A36" s="28">
        <v>32</v>
      </c>
      <c r="B36" s="23" t="s">
        <v>128</v>
      </c>
      <c r="J36" s="31">
        <f t="shared" si="1"/>
        <v>0</v>
      </c>
      <c r="AA36" s="31">
        <f t="shared" si="2"/>
        <v>0</v>
      </c>
      <c r="AB36" s="24">
        <f t="shared" si="0"/>
        <v>0</v>
      </c>
    </row>
    <row r="37" spans="1:28" ht="12.75">
      <c r="A37" s="27">
        <v>33</v>
      </c>
      <c r="B37" s="23" t="s">
        <v>129</v>
      </c>
      <c r="C37" s="23">
        <v>14048</v>
      </c>
      <c r="J37" s="31">
        <f t="shared" si="1"/>
        <v>14048</v>
      </c>
      <c r="AA37" s="31">
        <f t="shared" si="2"/>
        <v>0</v>
      </c>
      <c r="AB37" s="24">
        <f t="shared" si="0"/>
        <v>14048</v>
      </c>
    </row>
    <row r="38" spans="1:28" s="25" customFormat="1" ht="12.75">
      <c r="A38" s="27">
        <v>34</v>
      </c>
      <c r="B38" s="25" t="s">
        <v>130</v>
      </c>
      <c r="C38" s="25">
        <f>SUM(C36:C37)</f>
        <v>14048</v>
      </c>
      <c r="D38" s="31">
        <f>SUM(D36:D37)</f>
        <v>0</v>
      </c>
      <c r="E38" s="31"/>
      <c r="F38" s="31"/>
      <c r="G38" s="31"/>
      <c r="H38" s="31"/>
      <c r="I38" s="31"/>
      <c r="J38" s="31">
        <f t="shared" si="1"/>
        <v>14048</v>
      </c>
      <c r="K38" s="31"/>
      <c r="L38" s="31">
        <f aca="true" t="shared" si="11" ref="L38:Q38">SUM(L36:L37)</f>
        <v>0</v>
      </c>
      <c r="M38" s="31">
        <f t="shared" si="11"/>
        <v>0</v>
      </c>
      <c r="N38" s="31">
        <f t="shared" si="11"/>
        <v>0</v>
      </c>
      <c r="O38" s="31">
        <f t="shared" si="11"/>
        <v>0</v>
      </c>
      <c r="P38" s="31">
        <f t="shared" si="11"/>
        <v>0</v>
      </c>
      <c r="Q38" s="31">
        <f t="shared" si="11"/>
        <v>0</v>
      </c>
      <c r="R38" s="31">
        <f>SUM(R36:R37)</f>
        <v>0</v>
      </c>
      <c r="S38" s="31">
        <f>SUM(S36:S37)</f>
        <v>0</v>
      </c>
      <c r="T38" s="31">
        <f>SUM(T36:T37)</f>
        <v>0</v>
      </c>
      <c r="U38" s="31"/>
      <c r="V38" s="31">
        <f>SUM(V36:V37)</f>
        <v>0</v>
      </c>
      <c r="W38" s="31"/>
      <c r="X38" s="31"/>
      <c r="Y38" s="31"/>
      <c r="Z38" s="31">
        <f>SUM(Z36:Z37)</f>
        <v>0</v>
      </c>
      <c r="AA38" s="31">
        <f t="shared" si="2"/>
        <v>0</v>
      </c>
      <c r="AB38" s="24">
        <f t="shared" si="0"/>
        <v>14048</v>
      </c>
    </row>
    <row r="39" spans="1:28" s="25" customFormat="1" ht="12.75">
      <c r="A39" s="28">
        <v>35</v>
      </c>
      <c r="B39" s="25" t="s">
        <v>131</v>
      </c>
      <c r="C39" s="25">
        <f aca="true" t="shared" si="12" ref="C39:I39">SUM(C38,C35)</f>
        <v>14048</v>
      </c>
      <c r="D39" s="31">
        <f t="shared" si="12"/>
        <v>0</v>
      </c>
      <c r="E39" s="31">
        <f t="shared" si="12"/>
        <v>0</v>
      </c>
      <c r="F39" s="31">
        <f t="shared" si="12"/>
        <v>0</v>
      </c>
      <c r="G39" s="31">
        <f t="shared" si="12"/>
        <v>12558</v>
      </c>
      <c r="H39" s="31">
        <f t="shared" si="12"/>
        <v>0</v>
      </c>
      <c r="I39" s="31">
        <f t="shared" si="12"/>
        <v>0</v>
      </c>
      <c r="J39" s="31">
        <f t="shared" si="1"/>
        <v>26606</v>
      </c>
      <c r="K39" s="31"/>
      <c r="L39" s="31">
        <f>SUM(L38,L35)</f>
        <v>0</v>
      </c>
      <c r="M39" s="31">
        <f>SUM(M31,M35,M38)</f>
        <v>0</v>
      </c>
      <c r="N39" s="31">
        <f>SUM(N31,N35,N38)</f>
        <v>0</v>
      </c>
      <c r="O39" s="31">
        <f>SUM(O31,O35,O38)</f>
        <v>0</v>
      </c>
      <c r="P39" s="31">
        <f>SUM(P31,P35,P38)</f>
        <v>0</v>
      </c>
      <c r="Q39" s="31">
        <f>SUM(Q31,Q35,Q38)</f>
        <v>0</v>
      </c>
      <c r="R39" s="31">
        <f>SUM(R38,R35)</f>
        <v>0</v>
      </c>
      <c r="S39" s="31">
        <f>SUM(S38,S35)</f>
        <v>0</v>
      </c>
      <c r="T39" s="31">
        <f aca="true" t="shared" si="13" ref="T39:Y39">SUM(T38,T35)</f>
        <v>0</v>
      </c>
      <c r="U39" s="31">
        <f t="shared" si="13"/>
        <v>0</v>
      </c>
      <c r="V39" s="31">
        <f t="shared" si="13"/>
        <v>0</v>
      </c>
      <c r="W39" s="31">
        <f t="shared" si="13"/>
        <v>0</v>
      </c>
      <c r="X39" s="31">
        <f t="shared" si="13"/>
        <v>0</v>
      </c>
      <c r="Y39" s="31">
        <f t="shared" si="13"/>
        <v>0</v>
      </c>
      <c r="Z39" s="31">
        <f>SUM(Z31,Z35,Z38)</f>
        <v>0</v>
      </c>
      <c r="AA39" s="31">
        <f t="shared" si="2"/>
        <v>0</v>
      </c>
      <c r="AB39" s="24">
        <f t="shared" si="0"/>
        <v>26606</v>
      </c>
    </row>
    <row r="40" spans="1:28" ht="12.75">
      <c r="A40" s="27">
        <v>36</v>
      </c>
      <c r="J40" s="31">
        <f t="shared" si="1"/>
        <v>0</v>
      </c>
      <c r="AA40" s="31">
        <f t="shared" si="2"/>
        <v>0</v>
      </c>
      <c r="AB40" s="24">
        <f t="shared" si="0"/>
        <v>0</v>
      </c>
    </row>
    <row r="41" spans="1:28" ht="12.75">
      <c r="A41" s="27">
        <v>37</v>
      </c>
      <c r="B41" s="23" t="s">
        <v>132</v>
      </c>
      <c r="J41" s="31">
        <f t="shared" si="1"/>
        <v>0</v>
      </c>
      <c r="AA41" s="31">
        <f t="shared" si="2"/>
        <v>0</v>
      </c>
      <c r="AB41" s="24">
        <f t="shared" si="0"/>
        <v>0</v>
      </c>
    </row>
    <row r="42" spans="1:28" ht="12.75">
      <c r="A42" s="28">
        <v>38</v>
      </c>
      <c r="B42" s="23" t="s">
        <v>133</v>
      </c>
      <c r="J42" s="31">
        <f t="shared" si="1"/>
        <v>0</v>
      </c>
      <c r="AA42" s="31">
        <f t="shared" si="2"/>
        <v>0</v>
      </c>
      <c r="AB42" s="24">
        <f t="shared" si="0"/>
        <v>0</v>
      </c>
    </row>
    <row r="43" spans="1:28" ht="12.75">
      <c r="A43" s="27">
        <v>39</v>
      </c>
      <c r="B43" s="23" t="s">
        <v>134</v>
      </c>
      <c r="J43" s="31">
        <f t="shared" si="1"/>
        <v>0</v>
      </c>
      <c r="V43" s="24">
        <v>8404</v>
      </c>
      <c r="W43" s="24">
        <v>720</v>
      </c>
      <c r="AA43" s="31">
        <f t="shared" si="2"/>
        <v>9124</v>
      </c>
      <c r="AB43" s="24">
        <f t="shared" si="0"/>
        <v>9124</v>
      </c>
    </row>
    <row r="44" spans="1:28" ht="12.75">
      <c r="A44" s="27">
        <v>40</v>
      </c>
      <c r="B44" s="23" t="s">
        <v>135</v>
      </c>
      <c r="I44" s="24">
        <v>11693</v>
      </c>
      <c r="J44" s="31">
        <f t="shared" si="1"/>
        <v>11693</v>
      </c>
      <c r="AA44" s="31">
        <f t="shared" si="2"/>
        <v>0</v>
      </c>
      <c r="AB44" s="24">
        <f t="shared" si="0"/>
        <v>11693</v>
      </c>
    </row>
    <row r="45" spans="1:28" ht="12.75">
      <c r="A45" s="28">
        <v>41</v>
      </c>
      <c r="B45" s="23" t="s">
        <v>518</v>
      </c>
      <c r="C45" s="23">
        <f>'[4]1.össz.bevétel'!D41</f>
        <v>3492</v>
      </c>
      <c r="J45" s="31">
        <f t="shared" si="1"/>
        <v>3492</v>
      </c>
      <c r="AA45" s="31">
        <f t="shared" si="2"/>
        <v>0</v>
      </c>
      <c r="AB45" s="24">
        <f t="shared" si="0"/>
        <v>3492</v>
      </c>
    </row>
    <row r="46" spans="1:28" ht="12.75">
      <c r="A46" s="27">
        <v>42</v>
      </c>
      <c r="B46" s="23" t="s">
        <v>519</v>
      </c>
      <c r="C46" s="23">
        <v>1300</v>
      </c>
      <c r="J46" s="31">
        <f t="shared" si="1"/>
        <v>1300</v>
      </c>
      <c r="AA46" s="31">
        <f t="shared" si="2"/>
        <v>0</v>
      </c>
      <c r="AB46" s="24">
        <f t="shared" si="0"/>
        <v>1300</v>
      </c>
    </row>
    <row r="47" spans="1:28" ht="12.75">
      <c r="A47" s="27">
        <v>43</v>
      </c>
      <c r="B47" s="23" t="s">
        <v>637</v>
      </c>
      <c r="E47" s="24">
        <v>3937</v>
      </c>
      <c r="F47" s="24">
        <v>7990</v>
      </c>
      <c r="J47" s="31">
        <f t="shared" si="1"/>
        <v>11927</v>
      </c>
      <c r="AA47" s="31">
        <f t="shared" si="2"/>
        <v>0</v>
      </c>
      <c r="AB47" s="24">
        <f t="shared" si="0"/>
        <v>11927</v>
      </c>
    </row>
    <row r="48" spans="1:28" ht="12.75">
      <c r="A48" s="28">
        <v>44</v>
      </c>
      <c r="B48" s="23" t="s">
        <v>136</v>
      </c>
      <c r="H48" s="24">
        <v>609</v>
      </c>
      <c r="J48" s="31">
        <f t="shared" si="1"/>
        <v>609</v>
      </c>
      <c r="AA48" s="31">
        <f t="shared" si="2"/>
        <v>0</v>
      </c>
      <c r="AB48" s="24">
        <f t="shared" si="0"/>
        <v>609</v>
      </c>
    </row>
    <row r="49" spans="1:28" ht="12.75">
      <c r="A49" s="27">
        <v>45</v>
      </c>
      <c r="B49" s="23" t="s">
        <v>137</v>
      </c>
      <c r="H49" s="24">
        <v>1506</v>
      </c>
      <c r="J49" s="31">
        <f t="shared" si="1"/>
        <v>1506</v>
      </c>
      <c r="AA49" s="31">
        <f t="shared" si="2"/>
        <v>0</v>
      </c>
      <c r="AB49" s="24">
        <f t="shared" si="0"/>
        <v>1506</v>
      </c>
    </row>
    <row r="50" spans="1:28" ht="12.75">
      <c r="A50" s="27">
        <v>46</v>
      </c>
      <c r="B50" s="23" t="s">
        <v>138</v>
      </c>
      <c r="J50" s="31">
        <f t="shared" si="1"/>
        <v>0</v>
      </c>
      <c r="AA50" s="31">
        <f t="shared" si="2"/>
        <v>0</v>
      </c>
      <c r="AB50" s="24">
        <f t="shared" si="0"/>
        <v>0</v>
      </c>
    </row>
    <row r="51" spans="1:28" s="25" customFormat="1" ht="12.75">
      <c r="A51" s="28">
        <v>47</v>
      </c>
      <c r="B51" s="25" t="s">
        <v>139</v>
      </c>
      <c r="C51" s="25">
        <f aca="true" t="shared" si="14" ref="C51:I51">SUM(C41:C50)</f>
        <v>4792</v>
      </c>
      <c r="D51" s="31">
        <f t="shared" si="14"/>
        <v>0</v>
      </c>
      <c r="E51" s="31">
        <f t="shared" si="14"/>
        <v>3937</v>
      </c>
      <c r="F51" s="31">
        <f t="shared" si="14"/>
        <v>7990</v>
      </c>
      <c r="G51" s="31">
        <f t="shared" si="14"/>
        <v>0</v>
      </c>
      <c r="H51" s="31">
        <f t="shared" si="14"/>
        <v>2115</v>
      </c>
      <c r="I51" s="31">
        <f t="shared" si="14"/>
        <v>11693</v>
      </c>
      <c r="J51" s="31">
        <f t="shared" si="1"/>
        <v>30527</v>
      </c>
      <c r="K51" s="31"/>
      <c r="L51" s="31">
        <f>SUM(L41:L50)</f>
        <v>0</v>
      </c>
      <c r="M51" s="31">
        <f>SUM(M40:M50)</f>
        <v>0</v>
      </c>
      <c r="N51" s="31">
        <f>SUM(N40:N50)</f>
        <v>0</v>
      </c>
      <c r="O51" s="31">
        <f>SUM(O40:O50)</f>
        <v>0</v>
      </c>
      <c r="P51" s="31">
        <f>SUM(P40:P50)</f>
        <v>0</v>
      </c>
      <c r="Q51" s="31">
        <f>SUM(Q40:Q50)</f>
        <v>0</v>
      </c>
      <c r="R51" s="31">
        <f aca="true" t="shared" si="15" ref="R51:Y51">SUM(R41:R50)</f>
        <v>0</v>
      </c>
      <c r="S51" s="31">
        <f t="shared" si="15"/>
        <v>0</v>
      </c>
      <c r="T51" s="31">
        <f t="shared" si="15"/>
        <v>0</v>
      </c>
      <c r="U51" s="31">
        <f t="shared" si="15"/>
        <v>0</v>
      </c>
      <c r="V51" s="31">
        <f t="shared" si="15"/>
        <v>8404</v>
      </c>
      <c r="W51" s="31">
        <f t="shared" si="15"/>
        <v>720</v>
      </c>
      <c r="X51" s="31">
        <f t="shared" si="15"/>
        <v>0</v>
      </c>
      <c r="Y51" s="31">
        <f t="shared" si="15"/>
        <v>0</v>
      </c>
      <c r="Z51" s="31">
        <f>SUM(Z40:Z50)</f>
        <v>0</v>
      </c>
      <c r="AA51" s="31">
        <f t="shared" si="2"/>
        <v>9124</v>
      </c>
      <c r="AB51" s="24">
        <f t="shared" si="0"/>
        <v>39651</v>
      </c>
    </row>
    <row r="52" spans="1:28" s="25" customFormat="1" ht="12.75">
      <c r="A52" s="27">
        <v>48</v>
      </c>
      <c r="B52" s="25" t="s">
        <v>140</v>
      </c>
      <c r="C52" s="25">
        <v>52515</v>
      </c>
      <c r="D52" s="31"/>
      <c r="E52" s="31"/>
      <c r="F52" s="31"/>
      <c r="G52" s="31"/>
      <c r="H52" s="31"/>
      <c r="I52" s="31"/>
      <c r="J52" s="31">
        <f t="shared" si="1"/>
        <v>52515</v>
      </c>
      <c r="K52" s="31">
        <v>1549</v>
      </c>
      <c r="L52" s="31"/>
      <c r="M52" s="31"/>
      <c r="N52" s="31"/>
      <c r="O52" s="31"/>
      <c r="P52" s="31"/>
      <c r="Q52" s="31"/>
      <c r="R52" s="31"/>
      <c r="S52" s="31"/>
      <c r="T52" s="31">
        <v>10484</v>
      </c>
      <c r="U52" s="31"/>
      <c r="V52" s="31"/>
      <c r="W52" s="31"/>
      <c r="X52" s="31"/>
      <c r="Y52" s="31"/>
      <c r="Z52" s="31"/>
      <c r="AA52" s="31">
        <f t="shared" si="2"/>
        <v>10484</v>
      </c>
      <c r="AB52" s="24">
        <f t="shared" si="0"/>
        <v>64548</v>
      </c>
    </row>
    <row r="53" spans="1:28" ht="12.75">
      <c r="A53" s="27">
        <v>49</v>
      </c>
      <c r="B53" s="23" t="s">
        <v>2</v>
      </c>
      <c r="C53" s="23">
        <v>5209</v>
      </c>
      <c r="J53" s="31">
        <f t="shared" si="1"/>
        <v>5209</v>
      </c>
      <c r="AA53" s="31">
        <f t="shared" si="2"/>
        <v>0</v>
      </c>
      <c r="AB53" s="24">
        <f t="shared" si="0"/>
        <v>5209</v>
      </c>
    </row>
    <row r="54" spans="1:28" ht="12.75">
      <c r="A54" s="28">
        <v>50</v>
      </c>
      <c r="B54" s="23" t="s">
        <v>141</v>
      </c>
      <c r="D54" s="24">
        <v>207101</v>
      </c>
      <c r="J54" s="31">
        <f t="shared" si="1"/>
        <v>207101</v>
      </c>
      <c r="AA54" s="31">
        <f t="shared" si="2"/>
        <v>0</v>
      </c>
      <c r="AB54" s="24">
        <f t="shared" si="0"/>
        <v>207101</v>
      </c>
    </row>
    <row r="55" spans="1:28" ht="12.75">
      <c r="A55" s="27">
        <v>51</v>
      </c>
      <c r="B55" s="23" t="s">
        <v>142</v>
      </c>
      <c r="D55" s="24">
        <v>3928</v>
      </c>
      <c r="J55" s="31">
        <f t="shared" si="1"/>
        <v>3928</v>
      </c>
      <c r="AA55" s="31">
        <f t="shared" si="2"/>
        <v>0</v>
      </c>
      <c r="AB55" s="24">
        <f t="shared" si="0"/>
        <v>3928</v>
      </c>
    </row>
    <row r="56" spans="1:28" ht="12.75">
      <c r="A56" s="27">
        <v>52</v>
      </c>
      <c r="B56" s="23" t="s">
        <v>143</v>
      </c>
      <c r="J56" s="31">
        <f t="shared" si="1"/>
        <v>0</v>
      </c>
      <c r="AA56" s="31">
        <f t="shared" si="2"/>
        <v>0</v>
      </c>
      <c r="AB56" s="24">
        <f t="shared" si="0"/>
        <v>0</v>
      </c>
    </row>
    <row r="57" spans="1:28" s="25" customFormat="1" ht="12.75">
      <c r="A57" s="28">
        <v>53</v>
      </c>
      <c r="B57" s="25" t="s">
        <v>144</v>
      </c>
      <c r="C57" s="25">
        <f aca="true" t="shared" si="16" ref="C57:I57">SUM(C54:C56)</f>
        <v>0</v>
      </c>
      <c r="D57" s="31">
        <f t="shared" si="16"/>
        <v>211029</v>
      </c>
      <c r="E57" s="31">
        <f t="shared" si="16"/>
        <v>0</v>
      </c>
      <c r="F57" s="31">
        <f t="shared" si="16"/>
        <v>0</v>
      </c>
      <c r="G57" s="31">
        <f t="shared" si="16"/>
        <v>0</v>
      </c>
      <c r="H57" s="31">
        <f t="shared" si="16"/>
        <v>0</v>
      </c>
      <c r="I57" s="31">
        <f t="shared" si="16"/>
        <v>0</v>
      </c>
      <c r="J57" s="31">
        <f t="shared" si="1"/>
        <v>211029</v>
      </c>
      <c r="K57" s="31">
        <f aca="true" t="shared" si="17" ref="K57:Z57">SUM(K54:K56)</f>
        <v>0</v>
      </c>
      <c r="L57" s="31">
        <f t="shared" si="17"/>
        <v>0</v>
      </c>
      <c r="M57" s="31">
        <f t="shared" si="17"/>
        <v>0</v>
      </c>
      <c r="N57" s="31">
        <f t="shared" si="17"/>
        <v>0</v>
      </c>
      <c r="O57" s="31">
        <f t="shared" si="17"/>
        <v>0</v>
      </c>
      <c r="P57" s="31">
        <f t="shared" si="17"/>
        <v>0</v>
      </c>
      <c r="Q57" s="31">
        <f t="shared" si="17"/>
        <v>0</v>
      </c>
      <c r="R57" s="31">
        <f t="shared" si="17"/>
        <v>0</v>
      </c>
      <c r="S57" s="31">
        <f t="shared" si="17"/>
        <v>0</v>
      </c>
      <c r="T57" s="31">
        <f t="shared" si="17"/>
        <v>0</v>
      </c>
      <c r="U57" s="31">
        <f t="shared" si="17"/>
        <v>0</v>
      </c>
      <c r="V57" s="31">
        <f t="shared" si="17"/>
        <v>0</v>
      </c>
      <c r="W57" s="31">
        <f t="shared" si="17"/>
        <v>0</v>
      </c>
      <c r="X57" s="31">
        <f t="shared" si="17"/>
        <v>0</v>
      </c>
      <c r="Y57" s="31">
        <f t="shared" si="17"/>
        <v>0</v>
      </c>
      <c r="Z57" s="31">
        <f t="shared" si="17"/>
        <v>0</v>
      </c>
      <c r="AA57" s="31">
        <f t="shared" si="2"/>
        <v>0</v>
      </c>
      <c r="AB57" s="24">
        <f t="shared" si="0"/>
        <v>211029</v>
      </c>
    </row>
    <row r="58" spans="1:28" ht="12.75">
      <c r="A58" s="27">
        <v>54</v>
      </c>
      <c r="J58" s="31">
        <f t="shared" si="1"/>
        <v>0</v>
      </c>
      <c r="AA58" s="31">
        <f t="shared" si="2"/>
        <v>0</v>
      </c>
      <c r="AB58" s="24">
        <f t="shared" si="0"/>
        <v>0</v>
      </c>
    </row>
    <row r="59" spans="1:28" ht="12.75">
      <c r="A59" s="27">
        <v>55</v>
      </c>
      <c r="B59" s="23" t="s">
        <v>145</v>
      </c>
      <c r="G59" s="24">
        <v>54632</v>
      </c>
      <c r="J59" s="31">
        <f t="shared" si="1"/>
        <v>54632</v>
      </c>
      <c r="AA59" s="31">
        <f t="shared" si="2"/>
        <v>0</v>
      </c>
      <c r="AB59" s="24">
        <f t="shared" si="0"/>
        <v>54632</v>
      </c>
    </row>
    <row r="60" spans="1:28" ht="12.75">
      <c r="A60" s="28">
        <v>56</v>
      </c>
      <c r="B60" s="23" t="s">
        <v>146</v>
      </c>
      <c r="G60" s="24">
        <v>28289</v>
      </c>
      <c r="J60" s="31">
        <f t="shared" si="1"/>
        <v>28289</v>
      </c>
      <c r="AA60" s="31">
        <f t="shared" si="2"/>
        <v>0</v>
      </c>
      <c r="AB60" s="24">
        <f t="shared" si="0"/>
        <v>28289</v>
      </c>
    </row>
    <row r="61" spans="1:28" ht="12.75">
      <c r="A61" s="27">
        <v>57</v>
      </c>
      <c r="B61" s="23" t="s">
        <v>147</v>
      </c>
      <c r="G61" s="24">
        <v>7354</v>
      </c>
      <c r="J61" s="31">
        <f t="shared" si="1"/>
        <v>7354</v>
      </c>
      <c r="AA61" s="31">
        <f t="shared" si="2"/>
        <v>0</v>
      </c>
      <c r="AB61" s="24">
        <f t="shared" si="0"/>
        <v>7354</v>
      </c>
    </row>
    <row r="62" spans="1:28" ht="12.75">
      <c r="A62" s="27">
        <v>58</v>
      </c>
      <c r="B62" s="23" t="s">
        <v>148</v>
      </c>
      <c r="G62" s="24">
        <v>17020</v>
      </c>
      <c r="J62" s="31">
        <f t="shared" si="1"/>
        <v>17020</v>
      </c>
      <c r="AA62" s="31">
        <f t="shared" si="2"/>
        <v>0</v>
      </c>
      <c r="AB62" s="24">
        <f t="shared" si="0"/>
        <v>17020</v>
      </c>
    </row>
    <row r="63" spans="1:28" ht="12.75">
      <c r="A63" s="28">
        <v>59</v>
      </c>
      <c r="B63" s="23" t="s">
        <v>149</v>
      </c>
      <c r="G63" s="24">
        <v>1605</v>
      </c>
      <c r="J63" s="31">
        <f t="shared" si="1"/>
        <v>1605</v>
      </c>
      <c r="AA63" s="31">
        <f t="shared" si="2"/>
        <v>0</v>
      </c>
      <c r="AB63" s="24">
        <f t="shared" si="0"/>
        <v>1605</v>
      </c>
    </row>
    <row r="64" spans="1:28" ht="12.75">
      <c r="A64" s="27">
        <v>60</v>
      </c>
      <c r="B64" s="23" t="s">
        <v>150</v>
      </c>
      <c r="G64" s="24">
        <v>1226</v>
      </c>
      <c r="J64" s="31">
        <f t="shared" si="1"/>
        <v>1226</v>
      </c>
      <c r="AA64" s="31">
        <f t="shared" si="2"/>
        <v>0</v>
      </c>
      <c r="AB64" s="24">
        <f t="shared" si="0"/>
        <v>1226</v>
      </c>
    </row>
    <row r="65" spans="1:28" ht="12.75">
      <c r="A65" s="27">
        <v>61</v>
      </c>
      <c r="B65" s="23" t="s">
        <v>151</v>
      </c>
      <c r="G65" s="24">
        <v>13264</v>
      </c>
      <c r="J65" s="31">
        <f t="shared" si="1"/>
        <v>13264</v>
      </c>
      <c r="AA65" s="31">
        <f t="shared" si="2"/>
        <v>0</v>
      </c>
      <c r="AB65" s="24">
        <f t="shared" si="0"/>
        <v>13264</v>
      </c>
    </row>
    <row r="66" spans="1:28" s="25" customFormat="1" ht="12.75">
      <c r="A66" s="28">
        <v>62</v>
      </c>
      <c r="B66" s="25" t="s">
        <v>152</v>
      </c>
      <c r="D66" s="31">
        <f aca="true" t="shared" si="18" ref="D66:I66">SUM(D59:D65)</f>
        <v>0</v>
      </c>
      <c r="E66" s="31">
        <f t="shared" si="18"/>
        <v>0</v>
      </c>
      <c r="F66" s="31">
        <f t="shared" si="18"/>
        <v>0</v>
      </c>
      <c r="G66" s="31">
        <f t="shared" si="18"/>
        <v>123390</v>
      </c>
      <c r="H66" s="31">
        <f t="shared" si="18"/>
        <v>0</v>
      </c>
      <c r="I66" s="31">
        <f t="shared" si="18"/>
        <v>0</v>
      </c>
      <c r="J66" s="31">
        <f t="shared" si="1"/>
        <v>123390</v>
      </c>
      <c r="K66" s="31">
        <f aca="true" t="shared" si="19" ref="K66:Z66">SUM(K59:K65)</f>
        <v>0</v>
      </c>
      <c r="L66" s="31">
        <f t="shared" si="19"/>
        <v>0</v>
      </c>
      <c r="M66" s="31">
        <f t="shared" si="19"/>
        <v>0</v>
      </c>
      <c r="N66" s="31">
        <f t="shared" si="19"/>
        <v>0</v>
      </c>
      <c r="O66" s="31">
        <f t="shared" si="19"/>
        <v>0</v>
      </c>
      <c r="P66" s="31">
        <f t="shared" si="19"/>
        <v>0</v>
      </c>
      <c r="Q66" s="31">
        <f t="shared" si="19"/>
        <v>0</v>
      </c>
      <c r="R66" s="31">
        <f t="shared" si="19"/>
        <v>0</v>
      </c>
      <c r="S66" s="31">
        <f t="shared" si="19"/>
        <v>0</v>
      </c>
      <c r="T66" s="31">
        <f t="shared" si="19"/>
        <v>0</v>
      </c>
      <c r="U66" s="31">
        <f t="shared" si="19"/>
        <v>0</v>
      </c>
      <c r="V66" s="31">
        <f t="shared" si="19"/>
        <v>0</v>
      </c>
      <c r="W66" s="31">
        <f t="shared" si="19"/>
        <v>0</v>
      </c>
      <c r="X66" s="31">
        <f t="shared" si="19"/>
        <v>0</v>
      </c>
      <c r="Y66" s="31">
        <f t="shared" si="19"/>
        <v>0</v>
      </c>
      <c r="Z66" s="31">
        <f t="shared" si="19"/>
        <v>0</v>
      </c>
      <c r="AA66" s="31">
        <f t="shared" si="2"/>
        <v>0</v>
      </c>
      <c r="AB66" s="24">
        <f t="shared" si="0"/>
        <v>123390</v>
      </c>
    </row>
    <row r="67" spans="1:28" s="25" customFormat="1" ht="12.75">
      <c r="A67" s="27">
        <v>63</v>
      </c>
      <c r="D67" s="31"/>
      <c r="E67" s="31"/>
      <c r="F67" s="31"/>
      <c r="G67" s="31"/>
      <c r="H67" s="31"/>
      <c r="I67" s="31"/>
      <c r="J67" s="31">
        <f t="shared" si="1"/>
        <v>0</v>
      </c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>
        <f t="shared" si="2"/>
        <v>0</v>
      </c>
      <c r="AB67" s="24">
        <f t="shared" si="0"/>
        <v>0</v>
      </c>
    </row>
    <row r="68" spans="1:28" s="25" customFormat="1" ht="12.75">
      <c r="A68" s="27">
        <v>64</v>
      </c>
      <c r="B68" s="25" t="s">
        <v>153</v>
      </c>
      <c r="C68" s="25">
        <v>85000</v>
      </c>
      <c r="D68" s="31"/>
      <c r="E68" s="31"/>
      <c r="F68" s="31"/>
      <c r="G68" s="31"/>
      <c r="H68" s="31"/>
      <c r="I68" s="31"/>
      <c r="J68" s="31">
        <f t="shared" si="1"/>
        <v>85000</v>
      </c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>
        <f t="shared" si="2"/>
        <v>0</v>
      </c>
      <c r="AB68" s="24">
        <f t="shared" si="0"/>
        <v>85000</v>
      </c>
    </row>
    <row r="69" spans="1:28" ht="12.75">
      <c r="A69" s="28">
        <v>65</v>
      </c>
      <c r="J69" s="31">
        <f t="shared" si="1"/>
        <v>0</v>
      </c>
      <c r="AA69" s="31">
        <f t="shared" si="2"/>
        <v>0</v>
      </c>
      <c r="AB69" s="24">
        <f t="shared" si="0"/>
        <v>0</v>
      </c>
    </row>
    <row r="70" spans="1:28" s="25" customFormat="1" ht="12.75">
      <c r="A70" s="27">
        <v>66</v>
      </c>
      <c r="B70" s="25" t="s">
        <v>154</v>
      </c>
      <c r="C70" s="25">
        <f>SUM(C10,C13,C17,C22,C25,C31,C35,C38,C51,C52,C57,C66,C68+C53)</f>
        <v>165308</v>
      </c>
      <c r="D70" s="31">
        <f aca="true" t="shared" si="20" ref="D70:I70">SUM(D10,D13,D17,D22,D25,D31,D35,D38,D51,D52,D57,D66,D68)</f>
        <v>211029</v>
      </c>
      <c r="E70" s="31">
        <f t="shared" si="20"/>
        <v>3937</v>
      </c>
      <c r="F70" s="31">
        <f t="shared" si="20"/>
        <v>7990</v>
      </c>
      <c r="G70" s="31">
        <f t="shared" si="20"/>
        <v>137806</v>
      </c>
      <c r="H70" s="31">
        <f t="shared" si="20"/>
        <v>2115</v>
      </c>
      <c r="I70" s="31">
        <f t="shared" si="20"/>
        <v>11693</v>
      </c>
      <c r="J70" s="31">
        <f>SUM(C70:I70)</f>
        <v>539878</v>
      </c>
      <c r="K70" s="31">
        <f>SUM(K10,K13,K17,K22,K25,K31,K35,K38,K51,K52,K57,K66,K68)</f>
        <v>1552</v>
      </c>
      <c r="L70" s="31">
        <f>SUM(L10,L13,L17,L22,L25,L31,L35,L38,L51,L52,L57,L66,L68)</f>
        <v>7145</v>
      </c>
      <c r="M70" s="31">
        <f>SUM(M10,M13,M17,M22,M25,M31,M35,M38,M51,M57,M52,M66)</f>
        <v>5496</v>
      </c>
      <c r="N70" s="31">
        <f>SUM(N10,N13,N17,N22,N25,N31,N35,N38,N51,N57,N52,N66)</f>
        <v>1935</v>
      </c>
      <c r="O70" s="31">
        <f>SUM(O10,O13,O17,O22,O25,O31,O35,O38,O51,O57,O52,O66)</f>
        <v>6756</v>
      </c>
      <c r="P70" s="31">
        <f>SUM(P10,P13,P17,P22,P25,P31,P35,P38,P51,P57,P52,P66)</f>
        <v>3907</v>
      </c>
      <c r="Q70" s="31">
        <f>SUM(Q10,Q13,Q17,Q22,Q25,Q31,Q35,Q38,Q51,Q57,Q52,Q66)</f>
        <v>7176</v>
      </c>
      <c r="R70" s="31">
        <f aca="true" t="shared" si="21" ref="R70:Y70">SUM(R10,R13,R17,R22,R25,R31,R35,R38,R51,R52,R57,R66,R68)</f>
        <v>3262</v>
      </c>
      <c r="S70" s="31">
        <f t="shared" si="21"/>
        <v>14527</v>
      </c>
      <c r="T70" s="31">
        <f t="shared" si="21"/>
        <v>18134</v>
      </c>
      <c r="U70" s="31">
        <f t="shared" si="21"/>
        <v>2306</v>
      </c>
      <c r="V70" s="31">
        <f t="shared" si="21"/>
        <v>8404</v>
      </c>
      <c r="W70" s="31">
        <f t="shared" si="21"/>
        <v>720</v>
      </c>
      <c r="X70" s="31">
        <f t="shared" si="21"/>
        <v>454</v>
      </c>
      <c r="Y70" s="31">
        <f t="shared" si="21"/>
        <v>850</v>
      </c>
      <c r="Z70" s="31">
        <f>SUM(Z10,Z13,Z17,Z22,Z25,Z31,Z35,Z38,Z51,Z57,Z52,Z66)</f>
        <v>185</v>
      </c>
      <c r="AA70" s="31">
        <f t="shared" si="2"/>
        <v>81257</v>
      </c>
      <c r="AB70" s="24">
        <f>AA70+J70+K70</f>
        <v>622687</v>
      </c>
    </row>
    <row r="71" spans="10:27" ht="12.75">
      <c r="J71" s="31">
        <v>539878</v>
      </c>
      <c r="AA71" s="175">
        <v>81257</v>
      </c>
    </row>
    <row r="72" spans="10:27" ht="12.75">
      <c r="J72" s="31">
        <f>J71-J70</f>
        <v>0</v>
      </c>
      <c r="AA72" s="175">
        <f>AA71-AA70</f>
        <v>0</v>
      </c>
    </row>
    <row r="79" spans="2:27" ht="12.75">
      <c r="B79" s="25"/>
      <c r="C79" s="25"/>
      <c r="D79" s="31"/>
      <c r="E79" s="31"/>
      <c r="F79" s="31"/>
      <c r="G79" s="31"/>
      <c r="H79" s="31"/>
      <c r="I79" s="31"/>
      <c r="L79" s="31"/>
      <c r="M79" s="31"/>
      <c r="N79" s="31"/>
      <c r="O79" s="31"/>
      <c r="P79" s="31"/>
      <c r="Q79" s="31"/>
      <c r="R79" s="31"/>
      <c r="S79" s="31"/>
      <c r="AA79" s="174"/>
    </row>
    <row r="80" spans="2:27" ht="12.75">
      <c r="B80" s="25"/>
      <c r="C80" s="25"/>
      <c r="D80" s="31"/>
      <c r="E80" s="31"/>
      <c r="F80" s="31"/>
      <c r="G80" s="31"/>
      <c r="H80" s="31"/>
      <c r="I80" s="31"/>
      <c r="L80" s="31"/>
      <c r="M80" s="31"/>
      <c r="N80" s="31"/>
      <c r="O80" s="31"/>
      <c r="P80" s="31"/>
      <c r="Q80" s="31"/>
      <c r="R80" s="31"/>
      <c r="S80" s="31"/>
      <c r="AA80" s="174"/>
    </row>
    <row r="81" spans="2:27" ht="12.75">
      <c r="B81" s="25"/>
      <c r="C81" s="25"/>
      <c r="D81" s="31"/>
      <c r="E81" s="31"/>
      <c r="F81" s="31"/>
      <c r="G81" s="31"/>
      <c r="H81" s="31"/>
      <c r="I81" s="31"/>
      <c r="L81" s="31"/>
      <c r="M81" s="31"/>
      <c r="N81" s="31"/>
      <c r="O81" s="31"/>
      <c r="P81" s="31"/>
      <c r="Q81" s="31"/>
      <c r="R81" s="31"/>
      <c r="S81" s="31"/>
      <c r="AA81" s="174"/>
    </row>
    <row r="82" spans="2:27" ht="12.75">
      <c r="B82" s="25"/>
      <c r="C82" s="25"/>
      <c r="D82" s="31"/>
      <c r="E82" s="31"/>
      <c r="F82" s="31"/>
      <c r="G82" s="31"/>
      <c r="H82" s="31"/>
      <c r="I82" s="31"/>
      <c r="L82" s="31"/>
      <c r="M82" s="31"/>
      <c r="N82" s="31"/>
      <c r="O82" s="31"/>
      <c r="P82" s="31"/>
      <c r="Q82" s="31"/>
      <c r="R82" s="31"/>
      <c r="S82" s="31"/>
      <c r="AA82" s="174"/>
    </row>
    <row r="83" spans="2:27" ht="12.75">
      <c r="B83" s="25"/>
      <c r="C83" s="25"/>
      <c r="D83" s="31"/>
      <c r="E83" s="31"/>
      <c r="F83" s="31"/>
      <c r="G83" s="31"/>
      <c r="H83" s="31"/>
      <c r="I83" s="31"/>
      <c r="L83" s="31"/>
      <c r="M83" s="31"/>
      <c r="N83" s="31"/>
      <c r="O83" s="31"/>
      <c r="P83" s="31"/>
      <c r="Q83" s="31"/>
      <c r="R83" s="31"/>
      <c r="S83" s="31"/>
      <c r="AA83" s="174"/>
    </row>
    <row r="84" spans="2:27" ht="12.75">
      <c r="B84" s="25"/>
      <c r="C84" s="25"/>
      <c r="D84" s="31"/>
      <c r="E84" s="31"/>
      <c r="F84" s="31"/>
      <c r="G84" s="31"/>
      <c r="H84" s="31"/>
      <c r="I84" s="31"/>
      <c r="L84" s="31"/>
      <c r="M84" s="31"/>
      <c r="N84" s="31"/>
      <c r="O84" s="31"/>
      <c r="P84" s="31"/>
      <c r="Q84" s="31"/>
      <c r="R84" s="31"/>
      <c r="S84" s="31"/>
      <c r="AA84" s="174"/>
    </row>
    <row r="85" spans="2:27" ht="12.75">
      <c r="B85" s="25"/>
      <c r="C85" s="25"/>
      <c r="D85" s="31"/>
      <c r="E85" s="31"/>
      <c r="F85" s="31"/>
      <c r="G85" s="31"/>
      <c r="H85" s="31"/>
      <c r="I85" s="31"/>
      <c r="L85" s="31"/>
      <c r="M85" s="31"/>
      <c r="N85" s="31"/>
      <c r="O85" s="31"/>
      <c r="P85" s="31"/>
      <c r="Q85" s="31"/>
      <c r="R85" s="31"/>
      <c r="S85" s="31"/>
      <c r="AA85" s="174"/>
    </row>
    <row r="86" spans="2:27" ht="12.75">
      <c r="B86" s="25"/>
      <c r="C86" s="25"/>
      <c r="D86" s="31"/>
      <c r="E86" s="31"/>
      <c r="F86" s="31"/>
      <c r="G86" s="31"/>
      <c r="H86" s="31"/>
      <c r="I86" s="31"/>
      <c r="L86" s="31"/>
      <c r="M86" s="31"/>
      <c r="N86" s="31"/>
      <c r="O86" s="31"/>
      <c r="P86" s="31"/>
      <c r="Q86" s="31"/>
      <c r="R86" s="31"/>
      <c r="S86" s="31"/>
      <c r="AA86" s="174"/>
    </row>
    <row r="87" spans="2:27" ht="12.75">
      <c r="B87" s="25"/>
      <c r="C87" s="25"/>
      <c r="D87" s="31"/>
      <c r="E87" s="31"/>
      <c r="F87" s="31"/>
      <c r="G87" s="31"/>
      <c r="H87" s="31"/>
      <c r="I87" s="31"/>
      <c r="L87" s="31"/>
      <c r="M87" s="31"/>
      <c r="N87" s="31"/>
      <c r="O87" s="31"/>
      <c r="P87" s="31"/>
      <c r="Q87" s="31"/>
      <c r="R87" s="31"/>
      <c r="S87" s="31"/>
      <c r="AA87" s="174"/>
    </row>
    <row r="88" spans="2:27" ht="12.75">
      <c r="B88" s="25"/>
      <c r="C88" s="25"/>
      <c r="D88" s="31"/>
      <c r="E88" s="31"/>
      <c r="F88" s="31"/>
      <c r="G88" s="31"/>
      <c r="H88" s="31"/>
      <c r="I88" s="31"/>
      <c r="L88" s="31"/>
      <c r="M88" s="31"/>
      <c r="N88" s="31"/>
      <c r="O88" s="31"/>
      <c r="P88" s="31"/>
      <c r="Q88" s="31"/>
      <c r="R88" s="31"/>
      <c r="S88" s="31"/>
      <c r="AA88" s="174"/>
    </row>
    <row r="89" spans="2:27" ht="12.75">
      <c r="B89" s="25"/>
      <c r="C89" s="25"/>
      <c r="D89" s="31"/>
      <c r="E89" s="31"/>
      <c r="F89" s="31"/>
      <c r="G89" s="31"/>
      <c r="H89" s="31"/>
      <c r="I89" s="31"/>
      <c r="L89" s="31"/>
      <c r="M89" s="31"/>
      <c r="N89" s="31"/>
      <c r="O89" s="31"/>
      <c r="P89" s="31"/>
      <c r="Q89" s="31"/>
      <c r="R89" s="31"/>
      <c r="S89" s="31"/>
      <c r="AA89" s="174"/>
    </row>
    <row r="90" spans="2:27" ht="12.75">
      <c r="B90" s="25"/>
      <c r="C90" s="25"/>
      <c r="D90" s="31"/>
      <c r="E90" s="31"/>
      <c r="F90" s="31"/>
      <c r="G90" s="31"/>
      <c r="H90" s="31"/>
      <c r="I90" s="31"/>
      <c r="L90" s="31"/>
      <c r="M90" s="31"/>
      <c r="N90" s="31"/>
      <c r="O90" s="31"/>
      <c r="P90" s="31"/>
      <c r="Q90" s="31"/>
      <c r="R90" s="31"/>
      <c r="S90" s="31"/>
      <c r="AA90" s="174"/>
    </row>
    <row r="91" spans="2:27" ht="12.75">
      <c r="B91" s="25"/>
      <c r="C91" s="25"/>
      <c r="D91" s="31"/>
      <c r="E91" s="31"/>
      <c r="F91" s="31"/>
      <c r="G91" s="31"/>
      <c r="H91" s="31"/>
      <c r="I91" s="31"/>
      <c r="L91" s="31"/>
      <c r="M91" s="31"/>
      <c r="N91" s="31"/>
      <c r="O91" s="31"/>
      <c r="P91" s="31"/>
      <c r="Q91" s="31"/>
      <c r="R91" s="31"/>
      <c r="S91" s="31"/>
      <c r="AA91" s="174"/>
    </row>
    <row r="92" spans="2:27" ht="12.75">
      <c r="B92" s="25"/>
      <c r="C92" s="25"/>
      <c r="D92" s="31"/>
      <c r="E92" s="31"/>
      <c r="F92" s="31"/>
      <c r="G92" s="31"/>
      <c r="H92" s="31"/>
      <c r="I92" s="31"/>
      <c r="L92" s="31"/>
      <c r="M92" s="31"/>
      <c r="N92" s="31"/>
      <c r="O92" s="31"/>
      <c r="P92" s="31"/>
      <c r="Q92" s="31"/>
      <c r="R92" s="31"/>
      <c r="S92" s="31"/>
      <c r="AA92" s="174"/>
    </row>
    <row r="93" spans="2:27" ht="12.75">
      <c r="B93" s="25"/>
      <c r="C93" s="25"/>
      <c r="D93" s="31"/>
      <c r="E93" s="31"/>
      <c r="F93" s="31"/>
      <c r="G93" s="31"/>
      <c r="H93" s="31"/>
      <c r="I93" s="31"/>
      <c r="L93" s="31"/>
      <c r="M93" s="31"/>
      <c r="N93" s="31"/>
      <c r="O93" s="31"/>
      <c r="P93" s="31"/>
      <c r="Q93" s="31"/>
      <c r="R93" s="31"/>
      <c r="S93" s="31"/>
      <c r="AA93" s="174"/>
    </row>
    <row r="94" spans="2:27" ht="12.75">
      <c r="B94" s="25"/>
      <c r="C94" s="25"/>
      <c r="D94" s="31"/>
      <c r="E94" s="31"/>
      <c r="F94" s="31"/>
      <c r="G94" s="31"/>
      <c r="H94" s="31"/>
      <c r="I94" s="31"/>
      <c r="L94" s="31"/>
      <c r="M94" s="31"/>
      <c r="N94" s="31"/>
      <c r="O94" s="31"/>
      <c r="P94" s="31"/>
      <c r="Q94" s="31"/>
      <c r="R94" s="31"/>
      <c r="S94" s="31"/>
      <c r="AA94" s="174"/>
    </row>
    <row r="95" spans="2:27" ht="12.75">
      <c r="B95" s="25"/>
      <c r="C95" s="25"/>
      <c r="D95" s="31"/>
      <c r="E95" s="31"/>
      <c r="F95" s="31"/>
      <c r="G95" s="31"/>
      <c r="H95" s="31"/>
      <c r="I95" s="31"/>
      <c r="L95" s="31"/>
      <c r="M95" s="31"/>
      <c r="N95" s="31"/>
      <c r="O95" s="31"/>
      <c r="P95" s="31"/>
      <c r="Q95" s="31"/>
      <c r="R95" s="31"/>
      <c r="S95" s="31"/>
      <c r="AA95" s="174"/>
    </row>
    <row r="96" spans="2:27" ht="12.75">
      <c r="B96" s="25"/>
      <c r="C96" s="25"/>
      <c r="D96" s="31"/>
      <c r="E96" s="31"/>
      <c r="F96" s="31"/>
      <c r="G96" s="31"/>
      <c r="H96" s="31"/>
      <c r="I96" s="31"/>
      <c r="L96" s="31"/>
      <c r="M96" s="31"/>
      <c r="N96" s="31"/>
      <c r="O96" s="31"/>
      <c r="P96" s="31"/>
      <c r="Q96" s="31"/>
      <c r="R96" s="31"/>
      <c r="S96" s="31"/>
      <c r="AA96" s="174"/>
    </row>
    <row r="97" spans="2:27" ht="12.75">
      <c r="B97" s="25"/>
      <c r="C97" s="25"/>
      <c r="D97" s="31"/>
      <c r="E97" s="31"/>
      <c r="F97" s="31"/>
      <c r="G97" s="31"/>
      <c r="H97" s="31"/>
      <c r="I97" s="31"/>
      <c r="L97" s="31"/>
      <c r="M97" s="31"/>
      <c r="N97" s="31"/>
      <c r="O97" s="31"/>
      <c r="P97" s="31"/>
      <c r="Q97" s="31"/>
      <c r="R97" s="31"/>
      <c r="S97" s="31"/>
      <c r="AA97" s="174"/>
    </row>
    <row r="98" spans="2:27" ht="12.75">
      <c r="B98" s="25"/>
      <c r="C98" s="25"/>
      <c r="D98" s="31"/>
      <c r="E98" s="31"/>
      <c r="F98" s="31"/>
      <c r="G98" s="31"/>
      <c r="H98" s="31"/>
      <c r="I98" s="31"/>
      <c r="L98" s="31"/>
      <c r="M98" s="31"/>
      <c r="N98" s="31"/>
      <c r="O98" s="31"/>
      <c r="P98" s="31"/>
      <c r="Q98" s="31"/>
      <c r="R98" s="31"/>
      <c r="S98" s="31"/>
      <c r="AA98" s="174"/>
    </row>
    <row r="99" spans="2:27" ht="12.75">
      <c r="B99" s="25"/>
      <c r="C99" s="25"/>
      <c r="D99" s="31"/>
      <c r="E99" s="31"/>
      <c r="F99" s="31"/>
      <c r="G99" s="31"/>
      <c r="H99" s="31"/>
      <c r="I99" s="31"/>
      <c r="L99" s="31"/>
      <c r="M99" s="31"/>
      <c r="N99" s="31"/>
      <c r="O99" s="31"/>
      <c r="P99" s="31"/>
      <c r="Q99" s="31"/>
      <c r="R99" s="31"/>
      <c r="S99" s="31"/>
      <c r="AA99" s="174"/>
    </row>
    <row r="100" spans="2:27" ht="12.75">
      <c r="B100" s="25"/>
      <c r="C100" s="25"/>
      <c r="D100" s="31"/>
      <c r="E100" s="31"/>
      <c r="F100" s="31"/>
      <c r="G100" s="31"/>
      <c r="H100" s="31"/>
      <c r="I100" s="31"/>
      <c r="L100" s="31"/>
      <c r="M100" s="31"/>
      <c r="N100" s="31"/>
      <c r="O100" s="31"/>
      <c r="P100" s="31"/>
      <c r="Q100" s="31"/>
      <c r="R100" s="31"/>
      <c r="S100" s="31"/>
      <c r="AA100" s="174"/>
    </row>
    <row r="101" spans="2:27" ht="12.75">
      <c r="B101" s="25"/>
      <c r="C101" s="25"/>
      <c r="D101" s="31"/>
      <c r="E101" s="31"/>
      <c r="F101" s="31"/>
      <c r="G101" s="31"/>
      <c r="H101" s="31"/>
      <c r="I101" s="31"/>
      <c r="L101" s="31"/>
      <c r="M101" s="31"/>
      <c r="N101" s="31"/>
      <c r="O101" s="31"/>
      <c r="P101" s="31"/>
      <c r="Q101" s="31"/>
      <c r="R101" s="31"/>
      <c r="S101" s="31"/>
      <c r="AA101" s="174"/>
    </row>
    <row r="102" spans="2:27" ht="12.75">
      <c r="B102" s="25"/>
      <c r="C102" s="25"/>
      <c r="D102" s="31"/>
      <c r="E102" s="31"/>
      <c r="F102" s="31"/>
      <c r="G102" s="31"/>
      <c r="H102" s="31"/>
      <c r="I102" s="31"/>
      <c r="L102" s="31"/>
      <c r="M102" s="31"/>
      <c r="N102" s="31"/>
      <c r="O102" s="31"/>
      <c r="P102" s="31"/>
      <c r="Q102" s="31"/>
      <c r="R102" s="31"/>
      <c r="S102" s="31"/>
      <c r="AA102" s="174"/>
    </row>
    <row r="103" spans="2:27" ht="12.75">
      <c r="B103" s="25"/>
      <c r="C103" s="25"/>
      <c r="D103" s="31"/>
      <c r="E103" s="31"/>
      <c r="F103" s="31"/>
      <c r="G103" s="31"/>
      <c r="H103" s="31"/>
      <c r="I103" s="31"/>
      <c r="L103" s="31"/>
      <c r="M103" s="31"/>
      <c r="N103" s="31"/>
      <c r="O103" s="31"/>
      <c r="P103" s="31"/>
      <c r="Q103" s="31"/>
      <c r="R103" s="31"/>
      <c r="S103" s="31"/>
      <c r="AA103" s="174"/>
    </row>
    <row r="104" spans="2:27" ht="12.75">
      <c r="B104" s="25"/>
      <c r="C104" s="25"/>
      <c r="D104" s="31"/>
      <c r="E104" s="31"/>
      <c r="F104" s="31"/>
      <c r="G104" s="31"/>
      <c r="H104" s="31"/>
      <c r="I104" s="31"/>
      <c r="L104" s="31"/>
      <c r="M104" s="31"/>
      <c r="N104" s="31"/>
      <c r="O104" s="31"/>
      <c r="P104" s="31"/>
      <c r="Q104" s="31"/>
      <c r="R104" s="31"/>
      <c r="S104" s="31"/>
      <c r="AA104" s="174"/>
    </row>
    <row r="105" spans="2:27" ht="12.75">
      <c r="B105" s="25"/>
      <c r="C105" s="25"/>
      <c r="D105" s="31"/>
      <c r="E105" s="31"/>
      <c r="F105" s="31"/>
      <c r="G105" s="31"/>
      <c r="H105" s="31"/>
      <c r="I105" s="31"/>
      <c r="L105" s="31"/>
      <c r="M105" s="31"/>
      <c r="N105" s="31"/>
      <c r="O105" s="31"/>
      <c r="P105" s="31"/>
      <c r="Q105" s="31"/>
      <c r="R105" s="31"/>
      <c r="S105" s="31"/>
      <c r="AA105" s="174"/>
    </row>
    <row r="106" spans="2:27" ht="12.75">
      <c r="B106" s="25"/>
      <c r="C106" s="25"/>
      <c r="D106" s="31"/>
      <c r="E106" s="31"/>
      <c r="F106" s="31"/>
      <c r="G106" s="31"/>
      <c r="H106" s="31"/>
      <c r="I106" s="31"/>
      <c r="L106" s="31"/>
      <c r="M106" s="31"/>
      <c r="N106" s="31"/>
      <c r="O106" s="31"/>
      <c r="P106" s="31"/>
      <c r="Q106" s="31"/>
      <c r="R106" s="31"/>
      <c r="S106" s="31"/>
      <c r="AA106" s="174"/>
    </row>
    <row r="107" spans="2:27" ht="12.75">
      <c r="B107" s="25"/>
      <c r="C107" s="25"/>
      <c r="D107" s="31"/>
      <c r="E107" s="31"/>
      <c r="F107" s="31"/>
      <c r="G107" s="31"/>
      <c r="H107" s="31"/>
      <c r="I107" s="31"/>
      <c r="L107" s="31"/>
      <c r="M107" s="31"/>
      <c r="N107" s="31"/>
      <c r="O107" s="31"/>
      <c r="P107" s="31"/>
      <c r="Q107" s="31"/>
      <c r="R107" s="31"/>
      <c r="S107" s="31"/>
      <c r="AA107" s="174"/>
    </row>
    <row r="108" spans="2:27" ht="12.75">
      <c r="B108" s="25"/>
      <c r="C108" s="25"/>
      <c r="D108" s="31"/>
      <c r="E108" s="31"/>
      <c r="F108" s="31"/>
      <c r="G108" s="31"/>
      <c r="H108" s="31"/>
      <c r="I108" s="31"/>
      <c r="L108" s="31"/>
      <c r="M108" s="31"/>
      <c r="N108" s="31"/>
      <c r="O108" s="31"/>
      <c r="P108" s="31"/>
      <c r="Q108" s="31"/>
      <c r="R108" s="31"/>
      <c r="S108" s="31"/>
      <c r="AA108" s="174"/>
    </row>
    <row r="109" spans="2:27" ht="12.75">
      <c r="B109" s="25"/>
      <c r="C109" s="25"/>
      <c r="D109" s="31"/>
      <c r="E109" s="31"/>
      <c r="F109" s="31"/>
      <c r="G109" s="31"/>
      <c r="H109" s="31"/>
      <c r="I109" s="31"/>
      <c r="L109" s="31"/>
      <c r="M109" s="31"/>
      <c r="N109" s="31"/>
      <c r="O109" s="31"/>
      <c r="P109" s="31"/>
      <c r="Q109" s="31"/>
      <c r="R109" s="31"/>
      <c r="S109" s="31"/>
      <c r="AA109" s="174"/>
    </row>
    <row r="110" spans="2:27" ht="12.75">
      <c r="B110" s="25"/>
      <c r="C110" s="25"/>
      <c r="D110" s="31"/>
      <c r="E110" s="31"/>
      <c r="F110" s="31"/>
      <c r="G110" s="31"/>
      <c r="H110" s="31"/>
      <c r="I110" s="31"/>
      <c r="L110" s="31"/>
      <c r="M110" s="31"/>
      <c r="N110" s="31"/>
      <c r="O110" s="31"/>
      <c r="P110" s="31"/>
      <c r="Q110" s="31"/>
      <c r="R110" s="31"/>
      <c r="S110" s="31"/>
      <c r="AA110" s="174"/>
    </row>
    <row r="111" spans="2:27" ht="12.75">
      <c r="B111" s="25"/>
      <c r="C111" s="25"/>
      <c r="D111" s="31"/>
      <c r="E111" s="31"/>
      <c r="F111" s="31"/>
      <c r="G111" s="31"/>
      <c r="H111" s="31"/>
      <c r="I111" s="31"/>
      <c r="L111" s="31"/>
      <c r="M111" s="31"/>
      <c r="N111" s="31"/>
      <c r="O111" s="31"/>
      <c r="P111" s="31"/>
      <c r="Q111" s="31"/>
      <c r="R111" s="31"/>
      <c r="S111" s="31"/>
      <c r="AA111" s="174"/>
    </row>
    <row r="112" spans="2:27" ht="12.75">
      <c r="B112" s="25"/>
      <c r="C112" s="25"/>
      <c r="D112" s="31"/>
      <c r="E112" s="31"/>
      <c r="F112" s="31"/>
      <c r="G112" s="31"/>
      <c r="H112" s="31"/>
      <c r="I112" s="31"/>
      <c r="L112" s="31"/>
      <c r="M112" s="31"/>
      <c r="N112" s="31"/>
      <c r="O112" s="31"/>
      <c r="P112" s="31"/>
      <c r="Q112" s="31"/>
      <c r="R112" s="31"/>
      <c r="S112" s="31"/>
      <c r="AA112" s="174"/>
    </row>
    <row r="113" spans="2:27" ht="12.75">
      <c r="B113" s="25"/>
      <c r="C113" s="25"/>
      <c r="D113" s="31"/>
      <c r="E113" s="31"/>
      <c r="F113" s="31"/>
      <c r="G113" s="31"/>
      <c r="H113" s="31"/>
      <c r="I113" s="31"/>
      <c r="L113" s="31"/>
      <c r="M113" s="31"/>
      <c r="N113" s="31"/>
      <c r="O113" s="31"/>
      <c r="P113" s="31"/>
      <c r="Q113" s="31"/>
      <c r="R113" s="31"/>
      <c r="S113" s="31"/>
      <c r="AA113" s="174"/>
    </row>
    <row r="114" spans="2:27" ht="12.75">
      <c r="B114" s="25"/>
      <c r="C114" s="25"/>
      <c r="D114" s="31"/>
      <c r="E114" s="31"/>
      <c r="F114" s="31"/>
      <c r="G114" s="31"/>
      <c r="H114" s="31"/>
      <c r="I114" s="31"/>
      <c r="L114" s="31"/>
      <c r="M114" s="31"/>
      <c r="N114" s="31"/>
      <c r="O114" s="31"/>
      <c r="P114" s="31"/>
      <c r="Q114" s="31"/>
      <c r="R114" s="31"/>
      <c r="S114" s="31"/>
      <c r="AA114" s="174"/>
    </row>
    <row r="115" spans="2:27" ht="12.75">
      <c r="B115" s="25"/>
      <c r="C115" s="25"/>
      <c r="D115" s="31"/>
      <c r="E115" s="31"/>
      <c r="F115" s="31"/>
      <c r="G115" s="31"/>
      <c r="H115" s="31"/>
      <c r="I115" s="31"/>
      <c r="L115" s="31"/>
      <c r="M115" s="31"/>
      <c r="N115" s="31"/>
      <c r="O115" s="31"/>
      <c r="P115" s="31"/>
      <c r="Q115" s="31"/>
      <c r="R115" s="31"/>
      <c r="S115" s="31"/>
      <c r="AA115" s="174"/>
    </row>
    <row r="116" spans="2:27" ht="12.75">
      <c r="B116" s="25"/>
      <c r="C116" s="25"/>
      <c r="D116" s="31"/>
      <c r="E116" s="31"/>
      <c r="F116" s="31"/>
      <c r="G116" s="31"/>
      <c r="H116" s="31"/>
      <c r="I116" s="31"/>
      <c r="L116" s="31"/>
      <c r="M116" s="31"/>
      <c r="N116" s="31"/>
      <c r="O116" s="31"/>
      <c r="P116" s="31"/>
      <c r="Q116" s="31"/>
      <c r="R116" s="31"/>
      <c r="S116" s="31"/>
      <c r="AA116" s="174"/>
    </row>
    <row r="117" spans="2:27" ht="12.75">
      <c r="B117" s="25"/>
      <c r="C117" s="25"/>
      <c r="D117" s="31"/>
      <c r="E117" s="31"/>
      <c r="F117" s="31"/>
      <c r="G117" s="31"/>
      <c r="H117" s="31"/>
      <c r="I117" s="31"/>
      <c r="L117" s="31"/>
      <c r="M117" s="31"/>
      <c r="N117" s="31"/>
      <c r="O117" s="31"/>
      <c r="P117" s="31"/>
      <c r="Q117" s="31"/>
      <c r="R117" s="31"/>
      <c r="S117" s="31"/>
      <c r="AA117" s="174"/>
    </row>
    <row r="118" spans="2:27" ht="12.75">
      <c r="B118" s="25"/>
      <c r="C118" s="25"/>
      <c r="D118" s="31"/>
      <c r="E118" s="31"/>
      <c r="F118" s="31"/>
      <c r="G118" s="31"/>
      <c r="H118" s="31"/>
      <c r="I118" s="31"/>
      <c r="L118" s="31"/>
      <c r="M118" s="31"/>
      <c r="N118" s="31"/>
      <c r="O118" s="31"/>
      <c r="P118" s="31"/>
      <c r="Q118" s="31"/>
      <c r="R118" s="31"/>
      <c r="S118" s="31"/>
      <c r="AA118" s="174"/>
    </row>
    <row r="119" spans="2:27" ht="12.75">
      <c r="B119" s="25"/>
      <c r="C119" s="25"/>
      <c r="D119" s="31"/>
      <c r="E119" s="31"/>
      <c r="F119" s="31"/>
      <c r="G119" s="31"/>
      <c r="H119" s="31"/>
      <c r="I119" s="31"/>
      <c r="L119" s="31"/>
      <c r="M119" s="31"/>
      <c r="N119" s="31"/>
      <c r="O119" s="31"/>
      <c r="P119" s="31"/>
      <c r="Q119" s="31"/>
      <c r="R119" s="31"/>
      <c r="S119" s="31"/>
      <c r="AA119" s="174"/>
    </row>
    <row r="120" spans="2:27" ht="12.75">
      <c r="B120" s="25"/>
      <c r="C120" s="25"/>
      <c r="D120" s="31"/>
      <c r="E120" s="31"/>
      <c r="F120" s="31"/>
      <c r="G120" s="31"/>
      <c r="H120" s="31"/>
      <c r="I120" s="31"/>
      <c r="L120" s="31"/>
      <c r="M120" s="31"/>
      <c r="N120" s="31"/>
      <c r="O120" s="31"/>
      <c r="P120" s="31"/>
      <c r="Q120" s="31"/>
      <c r="R120" s="31"/>
      <c r="S120" s="31"/>
      <c r="AA120" s="174"/>
    </row>
    <row r="121" spans="2:27" ht="12.75">
      <c r="B121" s="25"/>
      <c r="C121" s="25"/>
      <c r="D121" s="31"/>
      <c r="E121" s="31"/>
      <c r="F121" s="31"/>
      <c r="G121" s="31"/>
      <c r="H121" s="31"/>
      <c r="I121" s="31"/>
      <c r="L121" s="31"/>
      <c r="M121" s="31"/>
      <c r="N121" s="31"/>
      <c r="O121" s="31"/>
      <c r="P121" s="31"/>
      <c r="Q121" s="31"/>
      <c r="R121" s="31"/>
      <c r="S121" s="31"/>
      <c r="AA121" s="174"/>
    </row>
    <row r="122" spans="2:27" ht="12.75">
      <c r="B122" s="25"/>
      <c r="C122" s="25"/>
      <c r="D122" s="31"/>
      <c r="E122" s="31"/>
      <c r="F122" s="31"/>
      <c r="G122" s="31"/>
      <c r="H122" s="31"/>
      <c r="I122" s="31"/>
      <c r="L122" s="31"/>
      <c r="M122" s="31"/>
      <c r="N122" s="31"/>
      <c r="O122" s="31"/>
      <c r="P122" s="31"/>
      <c r="Q122" s="31"/>
      <c r="R122" s="31"/>
      <c r="S122" s="31"/>
      <c r="AA122" s="174"/>
    </row>
    <row r="123" spans="2:27" ht="12.75">
      <c r="B123" s="25"/>
      <c r="C123" s="25"/>
      <c r="D123" s="31"/>
      <c r="E123" s="31"/>
      <c r="F123" s="31"/>
      <c r="G123" s="31"/>
      <c r="H123" s="31"/>
      <c r="I123" s="31"/>
      <c r="L123" s="31"/>
      <c r="M123" s="31"/>
      <c r="N123" s="31"/>
      <c r="O123" s="31"/>
      <c r="P123" s="31"/>
      <c r="Q123" s="31"/>
      <c r="R123" s="31"/>
      <c r="S123" s="31"/>
      <c r="AA123" s="174"/>
    </row>
    <row r="124" spans="2:27" ht="12.75">
      <c r="B124" s="25"/>
      <c r="C124" s="25"/>
      <c r="D124" s="31"/>
      <c r="E124" s="31"/>
      <c r="F124" s="31"/>
      <c r="G124" s="31"/>
      <c r="H124" s="31"/>
      <c r="I124" s="31"/>
      <c r="L124" s="31"/>
      <c r="M124" s="31"/>
      <c r="N124" s="31"/>
      <c r="O124" s="31"/>
      <c r="P124" s="31"/>
      <c r="Q124" s="31"/>
      <c r="R124" s="31"/>
      <c r="S124" s="31"/>
      <c r="AA124" s="174"/>
    </row>
    <row r="125" spans="2:27" ht="12.75">
      <c r="B125" s="25"/>
      <c r="C125" s="25"/>
      <c r="D125" s="31"/>
      <c r="E125" s="31"/>
      <c r="F125" s="31"/>
      <c r="G125" s="31"/>
      <c r="H125" s="31"/>
      <c r="I125" s="31"/>
      <c r="L125" s="31"/>
      <c r="M125" s="31"/>
      <c r="N125" s="31"/>
      <c r="O125" s="31"/>
      <c r="P125" s="31"/>
      <c r="Q125" s="31"/>
      <c r="R125" s="31"/>
      <c r="S125" s="31"/>
      <c r="AA125" s="174"/>
    </row>
    <row r="126" spans="2:27" ht="12.75">
      <c r="B126" s="25"/>
      <c r="C126" s="25"/>
      <c r="D126" s="31"/>
      <c r="E126" s="31"/>
      <c r="F126" s="31"/>
      <c r="G126" s="31"/>
      <c r="H126" s="31"/>
      <c r="I126" s="31"/>
      <c r="L126" s="31"/>
      <c r="M126" s="31"/>
      <c r="N126" s="31"/>
      <c r="O126" s="31"/>
      <c r="P126" s="31"/>
      <c r="Q126" s="31"/>
      <c r="R126" s="31"/>
      <c r="S126" s="31"/>
      <c r="AA126" s="174"/>
    </row>
    <row r="127" spans="2:27" ht="12.75">
      <c r="B127" s="25"/>
      <c r="C127" s="25"/>
      <c r="D127" s="31"/>
      <c r="E127" s="31"/>
      <c r="F127" s="31"/>
      <c r="G127" s="31"/>
      <c r="H127" s="31"/>
      <c r="I127" s="31"/>
      <c r="L127" s="31"/>
      <c r="M127" s="31"/>
      <c r="N127" s="31"/>
      <c r="O127" s="31"/>
      <c r="P127" s="31"/>
      <c r="Q127" s="31"/>
      <c r="R127" s="31"/>
      <c r="S127" s="31"/>
      <c r="AA127" s="174"/>
    </row>
    <row r="128" spans="2:27" ht="12.75">
      <c r="B128" s="25"/>
      <c r="C128" s="25"/>
      <c r="D128" s="31"/>
      <c r="E128" s="31"/>
      <c r="F128" s="31"/>
      <c r="G128" s="31"/>
      <c r="H128" s="31"/>
      <c r="I128" s="31"/>
      <c r="L128" s="31"/>
      <c r="M128" s="31"/>
      <c r="N128" s="31"/>
      <c r="O128" s="31"/>
      <c r="P128" s="31"/>
      <c r="Q128" s="31"/>
      <c r="R128" s="31"/>
      <c r="S128" s="31"/>
      <c r="AA128" s="174"/>
    </row>
    <row r="129" spans="2:27" ht="12.75">
      <c r="B129" s="25"/>
      <c r="C129" s="25"/>
      <c r="D129" s="31"/>
      <c r="E129" s="31"/>
      <c r="F129" s="31"/>
      <c r="G129" s="31"/>
      <c r="H129" s="31"/>
      <c r="I129" s="31"/>
      <c r="L129" s="31"/>
      <c r="M129" s="31"/>
      <c r="N129" s="31"/>
      <c r="O129" s="31"/>
      <c r="P129" s="31"/>
      <c r="Q129" s="31"/>
      <c r="R129" s="31"/>
      <c r="S129" s="31"/>
      <c r="AA129" s="174"/>
    </row>
    <row r="130" spans="2:27" ht="12.75">
      <c r="B130" s="25"/>
      <c r="C130" s="25"/>
      <c r="D130" s="31"/>
      <c r="E130" s="31"/>
      <c r="F130" s="31"/>
      <c r="G130" s="31"/>
      <c r="H130" s="31"/>
      <c r="I130" s="31"/>
      <c r="L130" s="31"/>
      <c r="M130" s="31"/>
      <c r="N130" s="31"/>
      <c r="O130" s="31"/>
      <c r="P130" s="31"/>
      <c r="Q130" s="31"/>
      <c r="R130" s="31"/>
      <c r="S130" s="31"/>
      <c r="AA130" s="174"/>
    </row>
    <row r="131" spans="2:27" ht="12.75">
      <c r="B131" s="25"/>
      <c r="C131" s="25"/>
      <c r="D131" s="31"/>
      <c r="E131" s="31"/>
      <c r="F131" s="31"/>
      <c r="G131" s="31"/>
      <c r="H131" s="31"/>
      <c r="I131" s="31"/>
      <c r="L131" s="31"/>
      <c r="M131" s="31"/>
      <c r="N131" s="31"/>
      <c r="O131" s="31"/>
      <c r="P131" s="31"/>
      <c r="Q131" s="31"/>
      <c r="R131" s="31"/>
      <c r="S131" s="31"/>
      <c r="AA131" s="174"/>
    </row>
    <row r="132" spans="2:27" ht="12.75">
      <c r="B132" s="25"/>
      <c r="C132" s="25"/>
      <c r="D132" s="31"/>
      <c r="E132" s="31"/>
      <c r="F132" s="31"/>
      <c r="G132" s="31"/>
      <c r="H132" s="31"/>
      <c r="I132" s="31"/>
      <c r="L132" s="31"/>
      <c r="M132" s="31"/>
      <c r="N132" s="31"/>
      <c r="O132" s="31"/>
      <c r="P132" s="31"/>
      <c r="Q132" s="31"/>
      <c r="R132" s="31"/>
      <c r="S132" s="31"/>
      <c r="AA132" s="174"/>
    </row>
    <row r="133" spans="2:27" ht="12.75">
      <c r="B133" s="25"/>
      <c r="C133" s="25"/>
      <c r="D133" s="31"/>
      <c r="E133" s="31"/>
      <c r="F133" s="31"/>
      <c r="G133" s="31"/>
      <c r="H133" s="31"/>
      <c r="I133" s="31"/>
      <c r="L133" s="31"/>
      <c r="M133" s="31"/>
      <c r="N133" s="31"/>
      <c r="O133" s="31"/>
      <c r="P133" s="31"/>
      <c r="Q133" s="31"/>
      <c r="R133" s="31"/>
      <c r="S133" s="31"/>
      <c r="AA133" s="174"/>
    </row>
    <row r="134" spans="2:27" ht="12.75">
      <c r="B134" s="25"/>
      <c r="C134" s="25"/>
      <c r="D134" s="31"/>
      <c r="E134" s="31"/>
      <c r="F134" s="31"/>
      <c r="G134" s="31"/>
      <c r="H134" s="31"/>
      <c r="I134" s="31"/>
      <c r="L134" s="31"/>
      <c r="M134" s="31"/>
      <c r="N134" s="31"/>
      <c r="O134" s="31"/>
      <c r="P134" s="31"/>
      <c r="Q134" s="31"/>
      <c r="R134" s="31"/>
      <c r="S134" s="31"/>
      <c r="AA134" s="174"/>
    </row>
    <row r="135" spans="2:27" ht="12.75">
      <c r="B135" s="25"/>
      <c r="C135" s="25"/>
      <c r="D135" s="31"/>
      <c r="E135" s="31"/>
      <c r="F135" s="31"/>
      <c r="G135" s="31"/>
      <c r="H135" s="31"/>
      <c r="I135" s="31"/>
      <c r="L135" s="31"/>
      <c r="M135" s="31"/>
      <c r="N135" s="31"/>
      <c r="O135" s="31"/>
      <c r="P135" s="31"/>
      <c r="Q135" s="31"/>
      <c r="R135" s="31"/>
      <c r="S135" s="31"/>
      <c r="AA135" s="174"/>
    </row>
    <row r="136" spans="2:27" ht="12.75">
      <c r="B136" s="25"/>
      <c r="C136" s="25"/>
      <c r="D136" s="31"/>
      <c r="E136" s="31"/>
      <c r="F136" s="31"/>
      <c r="G136" s="31"/>
      <c r="H136" s="31"/>
      <c r="I136" s="31"/>
      <c r="L136" s="31"/>
      <c r="M136" s="31"/>
      <c r="N136" s="31"/>
      <c r="O136" s="31"/>
      <c r="P136" s="31"/>
      <c r="Q136" s="31"/>
      <c r="R136" s="31"/>
      <c r="S136" s="31"/>
      <c r="AA136" s="174"/>
    </row>
    <row r="137" spans="2:27" ht="12.75">
      <c r="B137" s="25"/>
      <c r="C137" s="25"/>
      <c r="D137" s="31"/>
      <c r="E137" s="31"/>
      <c r="F137" s="31"/>
      <c r="G137" s="31"/>
      <c r="H137" s="31"/>
      <c r="I137" s="31"/>
      <c r="L137" s="31"/>
      <c r="M137" s="31"/>
      <c r="N137" s="31"/>
      <c r="O137" s="31"/>
      <c r="P137" s="31"/>
      <c r="Q137" s="31"/>
      <c r="R137" s="31"/>
      <c r="S137" s="31"/>
      <c r="AA137" s="174"/>
    </row>
    <row r="138" spans="2:27" ht="12.75">
      <c r="B138" s="25"/>
      <c r="C138" s="25"/>
      <c r="D138" s="31"/>
      <c r="E138" s="31"/>
      <c r="F138" s="31"/>
      <c r="G138" s="31"/>
      <c r="H138" s="31"/>
      <c r="I138" s="31"/>
      <c r="L138" s="31"/>
      <c r="M138" s="31"/>
      <c r="N138" s="31"/>
      <c r="O138" s="31"/>
      <c r="P138" s="31"/>
      <c r="Q138" s="31"/>
      <c r="R138" s="31"/>
      <c r="S138" s="31"/>
      <c r="AA138" s="174"/>
    </row>
    <row r="139" spans="2:27" ht="12.75">
      <c r="B139" s="25"/>
      <c r="C139" s="25"/>
      <c r="D139" s="31"/>
      <c r="E139" s="31"/>
      <c r="F139" s="31"/>
      <c r="G139" s="31"/>
      <c r="H139" s="31"/>
      <c r="I139" s="31"/>
      <c r="L139" s="31"/>
      <c r="M139" s="31"/>
      <c r="N139" s="31"/>
      <c r="O139" s="31"/>
      <c r="P139" s="31"/>
      <c r="Q139" s="31"/>
      <c r="R139" s="31"/>
      <c r="S139" s="31"/>
      <c r="AA139" s="174"/>
    </row>
    <row r="140" spans="2:27" ht="12.75">
      <c r="B140" s="25"/>
      <c r="C140" s="25"/>
      <c r="D140" s="31"/>
      <c r="E140" s="31"/>
      <c r="F140" s="31"/>
      <c r="G140" s="31"/>
      <c r="H140" s="31"/>
      <c r="I140" s="31"/>
      <c r="L140" s="31"/>
      <c r="M140" s="31"/>
      <c r="N140" s="31"/>
      <c r="O140" s="31"/>
      <c r="P140" s="31"/>
      <c r="Q140" s="31"/>
      <c r="R140" s="31"/>
      <c r="S140" s="31"/>
      <c r="AA140" s="174"/>
    </row>
    <row r="141" spans="2:27" ht="12.75">
      <c r="B141" s="25"/>
      <c r="C141" s="25"/>
      <c r="D141" s="31"/>
      <c r="E141" s="31"/>
      <c r="F141" s="31"/>
      <c r="G141" s="31"/>
      <c r="H141" s="31"/>
      <c r="I141" s="31"/>
      <c r="L141" s="31"/>
      <c r="M141" s="31"/>
      <c r="N141" s="31"/>
      <c r="O141" s="31"/>
      <c r="P141" s="31"/>
      <c r="Q141" s="31"/>
      <c r="R141" s="31"/>
      <c r="S141" s="31"/>
      <c r="AA141" s="174"/>
    </row>
    <row r="142" spans="2:27" ht="12.75">
      <c r="B142" s="25"/>
      <c r="C142" s="25"/>
      <c r="D142" s="31"/>
      <c r="E142" s="31"/>
      <c r="F142" s="31"/>
      <c r="G142" s="31"/>
      <c r="H142" s="31"/>
      <c r="I142" s="31"/>
      <c r="L142" s="31"/>
      <c r="M142" s="31"/>
      <c r="N142" s="31"/>
      <c r="O142" s="31"/>
      <c r="P142" s="31"/>
      <c r="Q142" s="31"/>
      <c r="R142" s="31"/>
      <c r="S142" s="31"/>
      <c r="AA142" s="174"/>
    </row>
    <row r="143" spans="2:27" ht="12.75">
      <c r="B143" s="25"/>
      <c r="C143" s="25"/>
      <c r="D143" s="31"/>
      <c r="E143" s="31"/>
      <c r="F143" s="31"/>
      <c r="G143" s="31"/>
      <c r="H143" s="31"/>
      <c r="I143" s="31"/>
      <c r="L143" s="31"/>
      <c r="M143" s="31"/>
      <c r="N143" s="31"/>
      <c r="O143" s="31"/>
      <c r="P143" s="31"/>
      <c r="Q143" s="31"/>
      <c r="R143" s="31"/>
      <c r="S143" s="31"/>
      <c r="AA143" s="174"/>
    </row>
    <row r="144" spans="2:27" ht="12.75">
      <c r="B144" s="25"/>
      <c r="C144" s="25"/>
      <c r="D144" s="31"/>
      <c r="E144" s="31"/>
      <c r="F144" s="31"/>
      <c r="G144" s="31"/>
      <c r="H144" s="31"/>
      <c r="I144" s="31"/>
      <c r="L144" s="31"/>
      <c r="M144" s="31"/>
      <c r="N144" s="31"/>
      <c r="O144" s="31"/>
      <c r="P144" s="31"/>
      <c r="Q144" s="31"/>
      <c r="R144" s="31"/>
      <c r="S144" s="31"/>
      <c r="AA144" s="174"/>
    </row>
    <row r="145" spans="2:27" ht="12.75">
      <c r="B145" s="25"/>
      <c r="C145" s="25"/>
      <c r="D145" s="31"/>
      <c r="E145" s="31"/>
      <c r="F145" s="31"/>
      <c r="G145" s="31"/>
      <c r="H145" s="31"/>
      <c r="I145" s="31"/>
      <c r="L145" s="31"/>
      <c r="M145" s="31"/>
      <c r="N145" s="31"/>
      <c r="O145" s="31"/>
      <c r="P145" s="31"/>
      <c r="Q145" s="31"/>
      <c r="R145" s="31"/>
      <c r="S145" s="31"/>
      <c r="AA145" s="174"/>
    </row>
    <row r="146" spans="2:27" ht="12.75">
      <c r="B146" s="25"/>
      <c r="C146" s="25"/>
      <c r="D146" s="31"/>
      <c r="E146" s="31"/>
      <c r="F146" s="31"/>
      <c r="G146" s="31"/>
      <c r="H146" s="31"/>
      <c r="I146" s="31"/>
      <c r="L146" s="31"/>
      <c r="M146" s="31"/>
      <c r="N146" s="31"/>
      <c r="O146" s="31"/>
      <c r="P146" s="31"/>
      <c r="Q146" s="31"/>
      <c r="R146" s="31"/>
      <c r="S146" s="31"/>
      <c r="AA146" s="174"/>
    </row>
    <row r="147" spans="2:27" ht="12.75">
      <c r="B147" s="25"/>
      <c r="C147" s="25"/>
      <c r="D147" s="31"/>
      <c r="E147" s="31"/>
      <c r="F147" s="31"/>
      <c r="G147" s="31"/>
      <c r="H147" s="31"/>
      <c r="I147" s="31"/>
      <c r="L147" s="31"/>
      <c r="M147" s="31"/>
      <c r="N147" s="31"/>
      <c r="O147" s="31"/>
      <c r="P147" s="31"/>
      <c r="Q147" s="31"/>
      <c r="R147" s="31"/>
      <c r="S147" s="31"/>
      <c r="AA147" s="174"/>
    </row>
    <row r="148" spans="2:27" ht="12.75">
      <c r="B148" s="25"/>
      <c r="C148" s="25"/>
      <c r="D148" s="31"/>
      <c r="E148" s="31"/>
      <c r="F148" s="31"/>
      <c r="G148" s="31"/>
      <c r="H148" s="31"/>
      <c r="I148" s="31"/>
      <c r="L148" s="31"/>
      <c r="M148" s="31"/>
      <c r="N148" s="31"/>
      <c r="O148" s="31"/>
      <c r="P148" s="31"/>
      <c r="Q148" s="31"/>
      <c r="R148" s="31"/>
      <c r="S148" s="31"/>
      <c r="AA148" s="174"/>
    </row>
    <row r="149" spans="2:27" ht="12.75">
      <c r="B149" s="25"/>
      <c r="C149" s="25"/>
      <c r="D149" s="31"/>
      <c r="E149" s="31"/>
      <c r="F149" s="31"/>
      <c r="G149" s="31"/>
      <c r="H149" s="31"/>
      <c r="I149" s="31"/>
      <c r="L149" s="31"/>
      <c r="M149" s="31"/>
      <c r="N149" s="31"/>
      <c r="O149" s="31"/>
      <c r="P149" s="31"/>
      <c r="Q149" s="31"/>
      <c r="R149" s="31"/>
      <c r="S149" s="31"/>
      <c r="AA149" s="174"/>
    </row>
    <row r="150" spans="2:27" ht="12.75">
      <c r="B150" s="25"/>
      <c r="C150" s="25"/>
      <c r="D150" s="31"/>
      <c r="E150" s="31"/>
      <c r="F150" s="31"/>
      <c r="G150" s="31"/>
      <c r="H150" s="31"/>
      <c r="I150" s="31"/>
      <c r="L150" s="31"/>
      <c r="M150" s="31"/>
      <c r="N150" s="31"/>
      <c r="O150" s="31"/>
      <c r="P150" s="31"/>
      <c r="Q150" s="31"/>
      <c r="R150" s="31"/>
      <c r="S150" s="31"/>
      <c r="AA150" s="174"/>
    </row>
    <row r="151" spans="2:27" ht="12.75">
      <c r="B151" s="25"/>
      <c r="C151" s="25"/>
      <c r="D151" s="31"/>
      <c r="E151" s="31"/>
      <c r="F151" s="31"/>
      <c r="G151" s="31"/>
      <c r="H151" s="31"/>
      <c r="I151" s="31"/>
      <c r="L151" s="31"/>
      <c r="M151" s="31"/>
      <c r="N151" s="31"/>
      <c r="O151" s="31"/>
      <c r="P151" s="31"/>
      <c r="Q151" s="31"/>
      <c r="R151" s="31"/>
      <c r="S151" s="31"/>
      <c r="AA151" s="174"/>
    </row>
    <row r="152" spans="2:27" ht="12.75">
      <c r="B152" s="25"/>
      <c r="C152" s="25"/>
      <c r="D152" s="31"/>
      <c r="E152" s="31"/>
      <c r="F152" s="31"/>
      <c r="G152" s="31"/>
      <c r="H152" s="31"/>
      <c r="I152" s="31"/>
      <c r="L152" s="31"/>
      <c r="M152" s="31"/>
      <c r="N152" s="31"/>
      <c r="O152" s="31"/>
      <c r="P152" s="31"/>
      <c r="Q152" s="31"/>
      <c r="R152" s="31"/>
      <c r="S152" s="31"/>
      <c r="AA152" s="174"/>
    </row>
    <row r="153" spans="2:27" ht="12.75">
      <c r="B153" s="25"/>
      <c r="C153" s="25"/>
      <c r="D153" s="31"/>
      <c r="E153" s="31"/>
      <c r="F153" s="31"/>
      <c r="G153" s="31"/>
      <c r="H153" s="31"/>
      <c r="I153" s="31"/>
      <c r="L153" s="31"/>
      <c r="M153" s="31"/>
      <c r="N153" s="31"/>
      <c r="O153" s="31"/>
      <c r="P153" s="31"/>
      <c r="Q153" s="31"/>
      <c r="R153" s="31"/>
      <c r="S153" s="31"/>
      <c r="AA153" s="174"/>
    </row>
    <row r="154" spans="2:27" ht="12.75">
      <c r="B154" s="25"/>
      <c r="C154" s="25"/>
      <c r="D154" s="31"/>
      <c r="E154" s="31"/>
      <c r="F154" s="31"/>
      <c r="G154" s="31"/>
      <c r="H154" s="31"/>
      <c r="I154" s="31"/>
      <c r="L154" s="31"/>
      <c r="M154" s="31"/>
      <c r="N154" s="31"/>
      <c r="O154" s="31"/>
      <c r="P154" s="31"/>
      <c r="Q154" s="31"/>
      <c r="R154" s="31"/>
      <c r="S154" s="31"/>
      <c r="AA154" s="174"/>
    </row>
    <row r="155" spans="2:27" ht="12.75">
      <c r="B155" s="25"/>
      <c r="C155" s="25"/>
      <c r="D155" s="31"/>
      <c r="E155" s="31"/>
      <c r="F155" s="31"/>
      <c r="G155" s="31"/>
      <c r="H155" s="31"/>
      <c r="I155" s="31"/>
      <c r="L155" s="31"/>
      <c r="M155" s="31"/>
      <c r="N155" s="31"/>
      <c r="O155" s="31"/>
      <c r="P155" s="31"/>
      <c r="Q155" s="31"/>
      <c r="R155" s="31"/>
      <c r="S155" s="31"/>
      <c r="AA155" s="174"/>
    </row>
    <row r="156" spans="2:27" ht="12.75">
      <c r="B156" s="25"/>
      <c r="C156" s="25"/>
      <c r="D156" s="31"/>
      <c r="E156" s="31"/>
      <c r="F156" s="31"/>
      <c r="G156" s="31"/>
      <c r="H156" s="31"/>
      <c r="I156" s="31"/>
      <c r="L156" s="31"/>
      <c r="M156" s="31"/>
      <c r="N156" s="31"/>
      <c r="O156" s="31"/>
      <c r="P156" s="31"/>
      <c r="Q156" s="31"/>
      <c r="R156" s="31"/>
      <c r="S156" s="31"/>
      <c r="AA156" s="174"/>
    </row>
    <row r="157" spans="2:27" ht="12.75">
      <c r="B157" s="25"/>
      <c r="C157" s="25"/>
      <c r="D157" s="31"/>
      <c r="E157" s="31"/>
      <c r="F157" s="31"/>
      <c r="G157" s="31"/>
      <c r="H157" s="31"/>
      <c r="I157" s="31"/>
      <c r="L157" s="31"/>
      <c r="M157" s="31"/>
      <c r="N157" s="31"/>
      <c r="O157" s="31"/>
      <c r="P157" s="31"/>
      <c r="Q157" s="31"/>
      <c r="R157" s="31"/>
      <c r="S157" s="31"/>
      <c r="AA157" s="174"/>
    </row>
    <row r="158" spans="2:27" ht="12.75">
      <c r="B158" s="25"/>
      <c r="C158" s="25"/>
      <c r="D158" s="31"/>
      <c r="E158" s="31"/>
      <c r="F158" s="31"/>
      <c r="G158" s="31"/>
      <c r="H158" s="31"/>
      <c r="I158" s="31"/>
      <c r="L158" s="31"/>
      <c r="M158" s="31"/>
      <c r="N158" s="31"/>
      <c r="O158" s="31"/>
      <c r="P158" s="31"/>
      <c r="Q158" s="31"/>
      <c r="R158" s="31"/>
      <c r="S158" s="31"/>
      <c r="AA158" s="174"/>
    </row>
    <row r="159" spans="2:27" ht="12.75">
      <c r="B159" s="25"/>
      <c r="C159" s="25"/>
      <c r="D159" s="31"/>
      <c r="E159" s="31"/>
      <c r="F159" s="31"/>
      <c r="G159" s="31"/>
      <c r="H159" s="31"/>
      <c r="I159" s="31"/>
      <c r="L159" s="31"/>
      <c r="M159" s="31"/>
      <c r="N159" s="31"/>
      <c r="O159" s="31"/>
      <c r="P159" s="31"/>
      <c r="Q159" s="31"/>
      <c r="R159" s="31"/>
      <c r="S159" s="31"/>
      <c r="AA159" s="174"/>
    </row>
    <row r="160" spans="2:27" ht="12.75">
      <c r="B160" s="25"/>
      <c r="C160" s="25"/>
      <c r="D160" s="31"/>
      <c r="E160" s="31"/>
      <c r="F160" s="31"/>
      <c r="G160" s="31"/>
      <c r="H160" s="31"/>
      <c r="I160" s="31"/>
      <c r="L160" s="31"/>
      <c r="M160" s="31"/>
      <c r="N160" s="31"/>
      <c r="O160" s="31"/>
      <c r="P160" s="31"/>
      <c r="Q160" s="31"/>
      <c r="R160" s="31"/>
      <c r="S160" s="31"/>
      <c r="AA160" s="174"/>
    </row>
    <row r="161" spans="2:27" ht="12.75">
      <c r="B161" s="25"/>
      <c r="C161" s="25"/>
      <c r="D161" s="31"/>
      <c r="E161" s="31"/>
      <c r="F161" s="31"/>
      <c r="G161" s="31"/>
      <c r="H161" s="31"/>
      <c r="I161" s="31"/>
      <c r="L161" s="31"/>
      <c r="M161" s="31"/>
      <c r="N161" s="31"/>
      <c r="O161" s="31"/>
      <c r="P161" s="31"/>
      <c r="Q161" s="31"/>
      <c r="R161" s="31"/>
      <c r="S161" s="31"/>
      <c r="AA161" s="174"/>
    </row>
    <row r="162" spans="2:27" ht="12.75">
      <c r="B162" s="25"/>
      <c r="C162" s="25"/>
      <c r="D162" s="31"/>
      <c r="E162" s="31"/>
      <c r="F162" s="31"/>
      <c r="G162" s="31"/>
      <c r="H162" s="31"/>
      <c r="I162" s="31"/>
      <c r="L162" s="31"/>
      <c r="M162" s="31"/>
      <c r="N162" s="31"/>
      <c r="O162" s="31"/>
      <c r="P162" s="31"/>
      <c r="Q162" s="31"/>
      <c r="R162" s="31"/>
      <c r="S162" s="31"/>
      <c r="AA162" s="174"/>
    </row>
    <row r="163" spans="2:27" ht="12.75">
      <c r="B163" s="25"/>
      <c r="C163" s="25"/>
      <c r="D163" s="31"/>
      <c r="E163" s="31"/>
      <c r="F163" s="31"/>
      <c r="G163" s="31"/>
      <c r="H163" s="31"/>
      <c r="I163" s="31"/>
      <c r="L163" s="31"/>
      <c r="M163" s="31"/>
      <c r="N163" s="31"/>
      <c r="O163" s="31"/>
      <c r="P163" s="31"/>
      <c r="Q163" s="31"/>
      <c r="R163" s="31"/>
      <c r="S163" s="31"/>
      <c r="AA163" s="174"/>
    </row>
    <row r="164" spans="2:27" ht="12.75">
      <c r="B164" s="25"/>
      <c r="C164" s="25"/>
      <c r="D164" s="31"/>
      <c r="E164" s="31"/>
      <c r="F164" s="31"/>
      <c r="G164" s="31"/>
      <c r="H164" s="31"/>
      <c r="I164" s="31"/>
      <c r="L164" s="31"/>
      <c r="M164" s="31"/>
      <c r="N164" s="31"/>
      <c r="O164" s="31"/>
      <c r="P164" s="31"/>
      <c r="Q164" s="31"/>
      <c r="R164" s="31"/>
      <c r="S164" s="31"/>
      <c r="AA164" s="174"/>
    </row>
    <row r="165" spans="2:27" ht="12.75">
      <c r="B165" s="25"/>
      <c r="C165" s="25"/>
      <c r="D165" s="31"/>
      <c r="E165" s="31"/>
      <c r="F165" s="31"/>
      <c r="G165" s="31"/>
      <c r="H165" s="31"/>
      <c r="I165" s="31"/>
      <c r="L165" s="31"/>
      <c r="M165" s="31"/>
      <c r="N165" s="31"/>
      <c r="O165" s="31"/>
      <c r="P165" s="31"/>
      <c r="Q165" s="31"/>
      <c r="R165" s="31"/>
      <c r="S165" s="31"/>
      <c r="AA165" s="174"/>
    </row>
    <row r="166" spans="2:27" ht="12.75">
      <c r="B166" s="25"/>
      <c r="C166" s="25"/>
      <c r="D166" s="31"/>
      <c r="E166" s="31"/>
      <c r="F166" s="31"/>
      <c r="G166" s="31"/>
      <c r="H166" s="31"/>
      <c r="I166" s="31"/>
      <c r="L166" s="31"/>
      <c r="M166" s="31"/>
      <c r="N166" s="31"/>
      <c r="O166" s="31"/>
      <c r="P166" s="31"/>
      <c r="Q166" s="31"/>
      <c r="R166" s="31"/>
      <c r="S166" s="31"/>
      <c r="AA166" s="174"/>
    </row>
    <row r="167" spans="2:27" ht="12.75">
      <c r="B167" s="25"/>
      <c r="C167" s="25"/>
      <c r="D167" s="31"/>
      <c r="E167" s="31"/>
      <c r="F167" s="31"/>
      <c r="G167" s="31"/>
      <c r="H167" s="31"/>
      <c r="I167" s="31"/>
      <c r="L167" s="31"/>
      <c r="M167" s="31"/>
      <c r="N167" s="31"/>
      <c r="O167" s="31"/>
      <c r="P167" s="31"/>
      <c r="Q167" s="31"/>
      <c r="R167" s="31"/>
      <c r="S167" s="31"/>
      <c r="AA167" s="174"/>
    </row>
    <row r="168" spans="2:27" ht="12.75">
      <c r="B168" s="25"/>
      <c r="C168" s="25"/>
      <c r="D168" s="31"/>
      <c r="E168" s="31"/>
      <c r="F168" s="31"/>
      <c r="G168" s="31"/>
      <c r="H168" s="31"/>
      <c r="I168" s="31"/>
      <c r="L168" s="31"/>
      <c r="M168" s="31"/>
      <c r="N168" s="31"/>
      <c r="O168" s="31"/>
      <c r="P168" s="31"/>
      <c r="Q168" s="31"/>
      <c r="R168" s="31"/>
      <c r="S168" s="31"/>
      <c r="AA168" s="174"/>
    </row>
    <row r="169" spans="2:27" ht="12.75">
      <c r="B169" s="25"/>
      <c r="C169" s="25"/>
      <c r="D169" s="31"/>
      <c r="E169" s="31"/>
      <c r="F169" s="31"/>
      <c r="G169" s="31"/>
      <c r="H169" s="31"/>
      <c r="I169" s="31"/>
      <c r="L169" s="31"/>
      <c r="M169" s="31"/>
      <c r="N169" s="31"/>
      <c r="O169" s="31"/>
      <c r="P169" s="31"/>
      <c r="Q169" s="31"/>
      <c r="R169" s="31"/>
      <c r="S169" s="31"/>
      <c r="AA169" s="174"/>
    </row>
    <row r="170" spans="2:27" ht="12.75">
      <c r="B170" s="25"/>
      <c r="C170" s="25"/>
      <c r="D170" s="31"/>
      <c r="E170" s="31"/>
      <c r="F170" s="31"/>
      <c r="G170" s="31"/>
      <c r="H170" s="31"/>
      <c r="I170" s="31"/>
      <c r="L170" s="31"/>
      <c r="M170" s="31"/>
      <c r="N170" s="31"/>
      <c r="O170" s="31"/>
      <c r="P170" s="31"/>
      <c r="Q170" s="31"/>
      <c r="R170" s="31"/>
      <c r="S170" s="31"/>
      <c r="AA170" s="174"/>
    </row>
    <row r="171" spans="2:27" ht="12.75">
      <c r="B171" s="25"/>
      <c r="C171" s="25"/>
      <c r="D171" s="31"/>
      <c r="E171" s="31"/>
      <c r="F171" s="31"/>
      <c r="G171" s="31"/>
      <c r="H171" s="31"/>
      <c r="I171" s="31"/>
      <c r="L171" s="31"/>
      <c r="M171" s="31"/>
      <c r="N171" s="31"/>
      <c r="O171" s="31"/>
      <c r="P171" s="31"/>
      <c r="Q171" s="31"/>
      <c r="R171" s="31"/>
      <c r="S171" s="31"/>
      <c r="AA171" s="174"/>
    </row>
    <row r="172" spans="2:27" ht="12.75">
      <c r="B172" s="25"/>
      <c r="C172" s="25"/>
      <c r="D172" s="31"/>
      <c r="E172" s="31"/>
      <c r="F172" s="31"/>
      <c r="G172" s="31"/>
      <c r="H172" s="31"/>
      <c r="I172" s="31"/>
      <c r="L172" s="31"/>
      <c r="M172" s="31"/>
      <c r="N172" s="31"/>
      <c r="O172" s="31"/>
      <c r="P172" s="31"/>
      <c r="Q172" s="31"/>
      <c r="R172" s="31"/>
      <c r="S172" s="31"/>
      <c r="AA172" s="174"/>
    </row>
    <row r="173" spans="2:27" ht="12.75">
      <c r="B173" s="25"/>
      <c r="C173" s="25"/>
      <c r="D173" s="31"/>
      <c r="E173" s="31"/>
      <c r="F173" s="31"/>
      <c r="G173" s="31"/>
      <c r="H173" s="31"/>
      <c r="I173" s="31"/>
      <c r="L173" s="31"/>
      <c r="M173" s="31"/>
      <c r="N173" s="31"/>
      <c r="O173" s="31"/>
      <c r="P173" s="31"/>
      <c r="Q173" s="31"/>
      <c r="R173" s="31"/>
      <c r="S173" s="31"/>
      <c r="AA173" s="174"/>
    </row>
    <row r="174" spans="2:27" ht="12.75">
      <c r="B174" s="25"/>
      <c r="C174" s="25"/>
      <c r="D174" s="31"/>
      <c r="E174" s="31"/>
      <c r="F174" s="31"/>
      <c r="G174" s="31"/>
      <c r="H174" s="31"/>
      <c r="I174" s="31"/>
      <c r="L174" s="31"/>
      <c r="M174" s="31"/>
      <c r="N174" s="31"/>
      <c r="O174" s="31"/>
      <c r="P174" s="31"/>
      <c r="Q174" s="31"/>
      <c r="R174" s="31"/>
      <c r="S174" s="31"/>
      <c r="AA174" s="174"/>
    </row>
    <row r="175" spans="2:27" ht="12.75">
      <c r="B175" s="25"/>
      <c r="C175" s="25"/>
      <c r="D175" s="31"/>
      <c r="E175" s="31"/>
      <c r="F175" s="31"/>
      <c r="G175" s="31"/>
      <c r="H175" s="31"/>
      <c r="I175" s="31"/>
      <c r="L175" s="31"/>
      <c r="M175" s="31"/>
      <c r="N175" s="31"/>
      <c r="O175" s="31"/>
      <c r="P175" s="31"/>
      <c r="Q175" s="31"/>
      <c r="R175" s="31"/>
      <c r="S175" s="31"/>
      <c r="AA175" s="174"/>
    </row>
    <row r="176" spans="2:27" ht="12.75">
      <c r="B176" s="25"/>
      <c r="C176" s="25"/>
      <c r="D176" s="31"/>
      <c r="E176" s="31"/>
      <c r="F176" s="31"/>
      <c r="G176" s="31"/>
      <c r="H176" s="31"/>
      <c r="I176" s="31"/>
      <c r="L176" s="31"/>
      <c r="M176" s="31"/>
      <c r="N176" s="31"/>
      <c r="O176" s="31"/>
      <c r="P176" s="31"/>
      <c r="Q176" s="31"/>
      <c r="R176" s="31"/>
      <c r="S176" s="31"/>
      <c r="AA176" s="174"/>
    </row>
    <row r="177" spans="2:27" ht="12.75">
      <c r="B177" s="25"/>
      <c r="C177" s="25"/>
      <c r="D177" s="31"/>
      <c r="E177" s="31"/>
      <c r="F177" s="31"/>
      <c r="G177" s="31"/>
      <c r="H177" s="31"/>
      <c r="I177" s="31"/>
      <c r="L177" s="31"/>
      <c r="M177" s="31"/>
      <c r="N177" s="31"/>
      <c r="O177" s="31"/>
      <c r="P177" s="31"/>
      <c r="Q177" s="31"/>
      <c r="R177" s="31"/>
      <c r="S177" s="31"/>
      <c r="AA177" s="174"/>
    </row>
    <row r="178" spans="2:27" ht="12.75">
      <c r="B178" s="25"/>
      <c r="C178" s="25"/>
      <c r="D178" s="31"/>
      <c r="E178" s="31"/>
      <c r="F178" s="31"/>
      <c r="G178" s="31"/>
      <c r="H178" s="31"/>
      <c r="I178" s="31"/>
      <c r="L178" s="31"/>
      <c r="M178" s="31"/>
      <c r="N178" s="31"/>
      <c r="O178" s="31"/>
      <c r="P178" s="31"/>
      <c r="Q178" s="31"/>
      <c r="R178" s="31"/>
      <c r="S178" s="31"/>
      <c r="AA178" s="174"/>
    </row>
    <row r="179" spans="2:27" ht="12.75">
      <c r="B179" s="25"/>
      <c r="C179" s="25"/>
      <c r="D179" s="31"/>
      <c r="E179" s="31"/>
      <c r="F179" s="31"/>
      <c r="G179" s="31"/>
      <c r="H179" s="31"/>
      <c r="I179" s="31"/>
      <c r="L179" s="31"/>
      <c r="M179" s="31"/>
      <c r="N179" s="31"/>
      <c r="O179" s="31"/>
      <c r="P179" s="31"/>
      <c r="Q179" s="31"/>
      <c r="R179" s="31"/>
      <c r="S179" s="31"/>
      <c r="AA179" s="174"/>
    </row>
    <row r="180" spans="2:27" ht="12.75">
      <c r="B180" s="25"/>
      <c r="C180" s="25"/>
      <c r="D180" s="31"/>
      <c r="E180" s="31"/>
      <c r="F180" s="31"/>
      <c r="G180" s="31"/>
      <c r="H180" s="31"/>
      <c r="I180" s="31"/>
      <c r="L180" s="31"/>
      <c r="M180" s="31"/>
      <c r="N180" s="31"/>
      <c r="O180" s="31"/>
      <c r="P180" s="31"/>
      <c r="Q180" s="31"/>
      <c r="R180" s="31"/>
      <c r="S180" s="31"/>
      <c r="AA180" s="174"/>
    </row>
    <row r="181" spans="2:27" ht="12.75">
      <c r="B181" s="25"/>
      <c r="C181" s="25"/>
      <c r="D181" s="31"/>
      <c r="E181" s="31"/>
      <c r="F181" s="31"/>
      <c r="G181" s="31"/>
      <c r="H181" s="31"/>
      <c r="I181" s="31"/>
      <c r="L181" s="31"/>
      <c r="M181" s="31"/>
      <c r="N181" s="31"/>
      <c r="O181" s="31"/>
      <c r="P181" s="31"/>
      <c r="Q181" s="31"/>
      <c r="R181" s="31"/>
      <c r="S181" s="31"/>
      <c r="AA181" s="174"/>
    </row>
    <row r="182" spans="2:27" ht="12.75">
      <c r="B182" s="25"/>
      <c r="C182" s="25"/>
      <c r="D182" s="31"/>
      <c r="E182" s="31"/>
      <c r="F182" s="31"/>
      <c r="G182" s="31"/>
      <c r="H182" s="31"/>
      <c r="I182" s="31"/>
      <c r="L182" s="31"/>
      <c r="M182" s="31"/>
      <c r="N182" s="31"/>
      <c r="O182" s="31"/>
      <c r="P182" s="31"/>
      <c r="Q182" s="31"/>
      <c r="R182" s="31"/>
      <c r="S182" s="31"/>
      <c r="AA182" s="174"/>
    </row>
    <row r="183" spans="2:27" ht="12.75">
      <c r="B183" s="25"/>
      <c r="C183" s="25"/>
      <c r="D183" s="31"/>
      <c r="E183" s="31"/>
      <c r="F183" s="31"/>
      <c r="G183" s="31"/>
      <c r="H183" s="31"/>
      <c r="I183" s="31"/>
      <c r="L183" s="31"/>
      <c r="M183" s="31"/>
      <c r="N183" s="31"/>
      <c r="O183" s="31"/>
      <c r="P183" s="31"/>
      <c r="Q183" s="31"/>
      <c r="R183" s="31"/>
      <c r="S183" s="31"/>
      <c r="AA183" s="174"/>
    </row>
    <row r="184" spans="2:27" ht="12.75">
      <c r="B184" s="25"/>
      <c r="C184" s="25"/>
      <c r="D184" s="31"/>
      <c r="E184" s="31"/>
      <c r="F184" s="31"/>
      <c r="G184" s="31"/>
      <c r="H184" s="31"/>
      <c r="I184" s="31"/>
      <c r="L184" s="31"/>
      <c r="M184" s="31"/>
      <c r="N184" s="31"/>
      <c r="O184" s="31"/>
      <c r="P184" s="31"/>
      <c r="Q184" s="31"/>
      <c r="R184" s="31"/>
      <c r="S184" s="31"/>
      <c r="AA184" s="174"/>
    </row>
    <row r="185" spans="2:27" ht="12.75">
      <c r="B185" s="25"/>
      <c r="C185" s="25"/>
      <c r="D185" s="31"/>
      <c r="E185" s="31"/>
      <c r="F185" s="31"/>
      <c r="G185" s="31"/>
      <c r="H185" s="31"/>
      <c r="I185" s="31"/>
      <c r="L185" s="31"/>
      <c r="M185" s="31"/>
      <c r="N185" s="31"/>
      <c r="O185" s="31"/>
      <c r="P185" s="31"/>
      <c r="Q185" s="31"/>
      <c r="R185" s="31"/>
      <c r="S185" s="31"/>
      <c r="AA185" s="174"/>
    </row>
    <row r="186" spans="2:27" ht="12.75">
      <c r="B186" s="25"/>
      <c r="C186" s="25"/>
      <c r="D186" s="31"/>
      <c r="E186" s="31"/>
      <c r="F186" s="31"/>
      <c r="G186" s="31"/>
      <c r="H186" s="31"/>
      <c r="I186" s="31"/>
      <c r="L186" s="31"/>
      <c r="M186" s="31"/>
      <c r="N186" s="31"/>
      <c r="O186" s="31"/>
      <c r="P186" s="31"/>
      <c r="Q186" s="31"/>
      <c r="R186" s="31"/>
      <c r="S186" s="31"/>
      <c r="AA186" s="174"/>
    </row>
    <row r="187" spans="2:27" ht="12.75">
      <c r="B187" s="25"/>
      <c r="C187" s="25"/>
      <c r="D187" s="31"/>
      <c r="E187" s="31"/>
      <c r="F187" s="31"/>
      <c r="G187" s="31"/>
      <c r="H187" s="31"/>
      <c r="I187" s="31"/>
      <c r="L187" s="31"/>
      <c r="M187" s="31"/>
      <c r="N187" s="31"/>
      <c r="O187" s="31"/>
      <c r="P187" s="31"/>
      <c r="Q187" s="31"/>
      <c r="R187" s="31"/>
      <c r="S187" s="31"/>
      <c r="AA187" s="174"/>
    </row>
    <row r="188" spans="2:27" ht="12.75">
      <c r="B188" s="25"/>
      <c r="C188" s="25"/>
      <c r="D188" s="31"/>
      <c r="E188" s="31"/>
      <c r="F188" s="31"/>
      <c r="G188" s="31"/>
      <c r="H188" s="31"/>
      <c r="I188" s="31"/>
      <c r="L188" s="31"/>
      <c r="M188" s="31"/>
      <c r="N188" s="31"/>
      <c r="O188" s="31"/>
      <c r="P188" s="31"/>
      <c r="Q188" s="31"/>
      <c r="R188" s="31"/>
      <c r="S188" s="31"/>
      <c r="AA188" s="174"/>
    </row>
    <row r="189" spans="2:27" ht="12.75">
      <c r="B189" s="25"/>
      <c r="C189" s="25"/>
      <c r="D189" s="31"/>
      <c r="E189" s="31"/>
      <c r="F189" s="31"/>
      <c r="G189" s="31"/>
      <c r="H189" s="31"/>
      <c r="I189" s="31"/>
      <c r="L189" s="31"/>
      <c r="M189" s="31"/>
      <c r="N189" s="31"/>
      <c r="O189" s="31"/>
      <c r="P189" s="31"/>
      <c r="Q189" s="31"/>
      <c r="R189" s="31"/>
      <c r="S189" s="31"/>
      <c r="AA189" s="174"/>
    </row>
    <row r="190" spans="2:27" ht="12.75">
      <c r="B190" s="25"/>
      <c r="C190" s="25"/>
      <c r="D190" s="31"/>
      <c r="E190" s="31"/>
      <c r="F190" s="31"/>
      <c r="G190" s="31"/>
      <c r="H190" s="31"/>
      <c r="I190" s="31"/>
      <c r="L190" s="31"/>
      <c r="M190" s="31"/>
      <c r="N190" s="31"/>
      <c r="O190" s="31"/>
      <c r="P190" s="31"/>
      <c r="Q190" s="31"/>
      <c r="R190" s="31"/>
      <c r="S190" s="31"/>
      <c r="AA190" s="174"/>
    </row>
    <row r="191" spans="2:27" ht="12.75">
      <c r="B191" s="25"/>
      <c r="C191" s="25"/>
      <c r="D191" s="31"/>
      <c r="E191" s="31"/>
      <c r="F191" s="31"/>
      <c r="G191" s="31"/>
      <c r="H191" s="31"/>
      <c r="I191" s="31"/>
      <c r="L191" s="31"/>
      <c r="M191" s="31"/>
      <c r="N191" s="31"/>
      <c r="O191" s="31"/>
      <c r="P191" s="31"/>
      <c r="Q191" s="31"/>
      <c r="R191" s="31"/>
      <c r="S191" s="31"/>
      <c r="AA191" s="174"/>
    </row>
  </sheetData>
  <sheetProtection/>
  <mergeCells count="4">
    <mergeCell ref="A1:J1"/>
    <mergeCell ref="A2:B2"/>
    <mergeCell ref="C5:J5"/>
    <mergeCell ref="L5:AA5"/>
  </mergeCells>
  <printOptions/>
  <pageMargins left="0.7" right="0.7" top="0.75" bottom="0.75" header="0.3" footer="0.3"/>
  <pageSetup horizontalDpi="200" verticalDpi="200" orientation="landscape" paperSize="9" scale="48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72"/>
  <sheetViews>
    <sheetView view="pageBreakPreview" zoomScale="60" zoomScalePageLayoutView="0" workbookViewId="0" topLeftCell="A40">
      <selection activeCell="H70" sqref="H70"/>
    </sheetView>
  </sheetViews>
  <sheetFormatPr defaultColWidth="9.140625" defaultRowHeight="15"/>
  <cols>
    <col min="1" max="1" width="12.28125" style="69" customWidth="1"/>
    <col min="2" max="2" width="45.57421875" style="69" customWidth="1"/>
    <col min="3" max="3" width="14.8515625" style="69" customWidth="1"/>
    <col min="4" max="4" width="16.140625" style="69" bestFit="1" customWidth="1"/>
    <col min="5" max="6" width="16.140625" style="69" customWidth="1"/>
    <col min="7" max="7" width="15.7109375" style="69" customWidth="1"/>
    <col min="8" max="8" width="12.57421875" style="69" bestFit="1" customWidth="1"/>
    <col min="9" max="16384" width="9.140625" style="69" customWidth="1"/>
  </cols>
  <sheetData>
    <row r="1" spans="1:7" ht="18.75">
      <c r="A1" s="66"/>
      <c r="B1" s="66"/>
      <c r="C1" s="67"/>
      <c r="D1" s="68"/>
      <c r="E1" s="68"/>
      <c r="F1" s="68"/>
      <c r="G1" s="68"/>
    </row>
    <row r="2" spans="1:7" ht="18.75">
      <c r="A2" s="66" t="s">
        <v>643</v>
      </c>
      <c r="B2" s="66"/>
      <c r="C2" s="66"/>
      <c r="D2" s="68"/>
      <c r="E2" s="68"/>
      <c r="F2" s="68"/>
      <c r="G2" s="68"/>
    </row>
    <row r="3" spans="1:7" ht="18.75">
      <c r="A3" s="66"/>
      <c r="B3" s="66"/>
      <c r="C3" s="66"/>
      <c r="D3" s="68"/>
      <c r="E3" s="68"/>
      <c r="F3" s="68"/>
      <c r="G3" s="68"/>
    </row>
    <row r="4" spans="1:7" ht="18.75">
      <c r="A4" s="245" t="s">
        <v>464</v>
      </c>
      <c r="B4" s="235"/>
      <c r="C4" s="235"/>
      <c r="D4" s="68"/>
      <c r="E4" s="68"/>
      <c r="F4" s="68"/>
      <c r="G4" s="68"/>
    </row>
    <row r="5" spans="1:7" ht="18.75">
      <c r="A5" s="102"/>
      <c r="B5" s="11"/>
      <c r="C5" s="11"/>
      <c r="D5" s="68"/>
      <c r="E5" s="68"/>
      <c r="F5" s="68"/>
      <c r="G5" s="68"/>
    </row>
    <row r="6" spans="1:8" s="122" customFormat="1" ht="18.75">
      <c r="A6" s="120"/>
      <c r="B6" s="120" t="s">
        <v>30</v>
      </c>
      <c r="C6" s="120" t="s">
        <v>31</v>
      </c>
      <c r="D6" s="121" t="s">
        <v>32</v>
      </c>
      <c r="E6" s="147" t="s">
        <v>33</v>
      </c>
      <c r="F6" s="147" t="s">
        <v>34</v>
      </c>
      <c r="G6" s="147" t="s">
        <v>155</v>
      </c>
      <c r="H6" s="200" t="s">
        <v>63</v>
      </c>
    </row>
    <row r="7" spans="1:8" ht="18.75">
      <c r="A7" s="70">
        <v>1</v>
      </c>
      <c r="B7" s="71" t="s">
        <v>81</v>
      </c>
      <c r="C7" s="71">
        <v>2014</v>
      </c>
      <c r="D7" s="123">
        <v>2015</v>
      </c>
      <c r="E7" s="123"/>
      <c r="F7" s="123" t="s">
        <v>573</v>
      </c>
      <c r="G7" s="112" t="s">
        <v>622</v>
      </c>
      <c r="H7" s="76" t="s">
        <v>667</v>
      </c>
    </row>
    <row r="8" spans="1:8" ht="18.75">
      <c r="A8" s="72">
        <v>2</v>
      </c>
      <c r="B8" s="73" t="s">
        <v>412</v>
      </c>
      <c r="C8" s="71"/>
      <c r="D8" s="123"/>
      <c r="E8" s="123"/>
      <c r="F8" s="123"/>
      <c r="G8" s="112"/>
      <c r="H8" s="76"/>
    </row>
    <row r="9" spans="1:8" ht="18.75">
      <c r="A9" s="74">
        <v>3</v>
      </c>
      <c r="B9" s="70" t="s">
        <v>413</v>
      </c>
      <c r="C9" s="70">
        <v>3810959</v>
      </c>
      <c r="D9" s="124">
        <v>6269286</v>
      </c>
      <c r="E9" s="124">
        <v>6269286</v>
      </c>
      <c r="F9" s="124"/>
      <c r="G9" s="112"/>
      <c r="H9" s="76"/>
    </row>
    <row r="10" spans="1:8" ht="18.75">
      <c r="A10" s="70">
        <v>4</v>
      </c>
      <c r="B10" s="70" t="s">
        <v>414</v>
      </c>
      <c r="C10" s="70">
        <v>10421760</v>
      </c>
      <c r="D10" s="124">
        <v>11776000</v>
      </c>
      <c r="E10" s="124">
        <v>11776000</v>
      </c>
      <c r="F10" s="124"/>
      <c r="G10" s="112"/>
      <c r="H10" s="76"/>
    </row>
    <row r="11" spans="1:8" ht="18.75">
      <c r="A11" s="72">
        <v>5</v>
      </c>
      <c r="B11" s="70" t="s">
        <v>415</v>
      </c>
      <c r="C11" s="70">
        <v>100000</v>
      </c>
      <c r="D11" s="124">
        <v>100000</v>
      </c>
      <c r="E11" s="124">
        <v>100000</v>
      </c>
      <c r="F11" s="124"/>
      <c r="G11" s="112"/>
      <c r="H11" s="76"/>
    </row>
    <row r="12" spans="1:8" ht="18.75">
      <c r="A12" s="74">
        <v>6</v>
      </c>
      <c r="B12" s="70" t="s">
        <v>416</v>
      </c>
      <c r="C12" s="70">
        <v>5101598</v>
      </c>
      <c r="D12" s="124">
        <v>5100690</v>
      </c>
      <c r="E12" s="124">
        <v>5100690</v>
      </c>
      <c r="F12" s="124"/>
      <c r="G12" s="112"/>
      <c r="H12" s="76"/>
    </row>
    <row r="13" spans="1:8" s="75" customFormat="1" ht="18.75">
      <c r="A13" s="70">
        <v>7</v>
      </c>
      <c r="B13" s="70" t="s">
        <v>417</v>
      </c>
      <c r="C13" s="70">
        <f>SUM(C9:C12)</f>
        <v>19434317</v>
      </c>
      <c r="D13" s="124">
        <f>SUM(D9:D12)</f>
        <v>23245976</v>
      </c>
      <c r="E13" s="124">
        <f>SUM(E9:E12)</f>
        <v>23245976</v>
      </c>
      <c r="F13" s="124"/>
      <c r="G13" s="199"/>
      <c r="H13" s="201"/>
    </row>
    <row r="14" spans="1:8" ht="18.75">
      <c r="A14" s="72">
        <v>8</v>
      </c>
      <c r="B14" s="72" t="s">
        <v>418</v>
      </c>
      <c r="C14" s="72">
        <f>SUM(C13:C13)</f>
        <v>19434317</v>
      </c>
      <c r="D14" s="111">
        <f>SUM(D13:D13)</f>
        <v>23245976</v>
      </c>
      <c r="E14" s="111">
        <f>SUM(E13:E13)</f>
        <v>23245976</v>
      </c>
      <c r="F14" s="111"/>
      <c r="G14" s="112"/>
      <c r="H14" s="76"/>
    </row>
    <row r="15" spans="1:8" s="75" customFormat="1" ht="18.75">
      <c r="A15" s="74">
        <v>9</v>
      </c>
      <c r="B15" s="72"/>
      <c r="C15" s="72"/>
      <c r="D15" s="111"/>
      <c r="E15" s="111"/>
      <c r="F15" s="111"/>
      <c r="G15" s="199"/>
      <c r="H15" s="201"/>
    </row>
    <row r="16" spans="1:8" ht="18.75">
      <c r="A16" s="70">
        <v>10</v>
      </c>
      <c r="B16" s="70" t="s">
        <v>419</v>
      </c>
      <c r="C16" s="70">
        <v>2000000</v>
      </c>
      <c r="D16" s="124">
        <v>5000000</v>
      </c>
      <c r="E16" s="124">
        <v>5000000</v>
      </c>
      <c r="F16" s="124"/>
      <c r="G16" s="112"/>
      <c r="H16" s="76"/>
    </row>
    <row r="17" spans="1:8" ht="18.75">
      <c r="A17" s="72">
        <v>11</v>
      </c>
      <c r="B17" s="70" t="s">
        <v>465</v>
      </c>
      <c r="C17" s="70"/>
      <c r="D17" s="124">
        <v>-5000000</v>
      </c>
      <c r="E17" s="124">
        <v>-5000000</v>
      </c>
      <c r="F17" s="124"/>
      <c r="G17" s="112"/>
      <c r="H17" s="76"/>
    </row>
    <row r="18" spans="1:8" ht="18.75">
      <c r="A18" s="74">
        <v>12</v>
      </c>
      <c r="B18" s="72" t="s">
        <v>466</v>
      </c>
      <c r="C18" s="72">
        <f>C16+C17</f>
        <v>2000000</v>
      </c>
      <c r="D18" s="111">
        <f>D16+D17</f>
        <v>0</v>
      </c>
      <c r="E18" s="111">
        <f>E16+E17</f>
        <v>0</v>
      </c>
      <c r="F18" s="111"/>
      <c r="G18" s="112"/>
      <c r="H18" s="76"/>
    </row>
    <row r="19" spans="1:8" ht="18.75">
      <c r="A19" s="70">
        <v>13</v>
      </c>
      <c r="B19" s="70"/>
      <c r="C19" s="70"/>
      <c r="D19" s="124"/>
      <c r="E19" s="124"/>
      <c r="F19" s="124"/>
      <c r="G19" s="112"/>
      <c r="H19" s="76"/>
    </row>
    <row r="20" spans="1:8" ht="18.75">
      <c r="A20" s="72">
        <v>14</v>
      </c>
      <c r="B20" s="70" t="s">
        <v>434</v>
      </c>
      <c r="C20" s="70">
        <v>372732</v>
      </c>
      <c r="D20" s="124">
        <v>362100</v>
      </c>
      <c r="E20" s="124">
        <v>362100</v>
      </c>
      <c r="F20" s="124"/>
      <c r="G20" s="112"/>
      <c r="H20" s="76"/>
    </row>
    <row r="21" spans="1:8" ht="18.75">
      <c r="A21" s="74">
        <v>15</v>
      </c>
      <c r="B21" s="70" t="s">
        <v>465</v>
      </c>
      <c r="C21" s="70"/>
      <c r="D21" s="124">
        <v>-297942</v>
      </c>
      <c r="E21" s="124">
        <v>-297942</v>
      </c>
      <c r="F21" s="124"/>
      <c r="G21" s="112"/>
      <c r="H21" s="76"/>
    </row>
    <row r="22" spans="1:8" ht="27" customHeight="1">
      <c r="A22" s="70">
        <v>16</v>
      </c>
      <c r="B22" s="72" t="s">
        <v>467</v>
      </c>
      <c r="C22" s="72">
        <f>SUM(C20:C21)</f>
        <v>372732</v>
      </c>
      <c r="D22" s="111">
        <f>SUM(D20:D21)</f>
        <v>64158</v>
      </c>
      <c r="E22" s="111">
        <f>SUM(E20:E21)</f>
        <v>64158</v>
      </c>
      <c r="F22" s="111"/>
      <c r="G22" s="112"/>
      <c r="H22" s="76"/>
    </row>
    <row r="23" spans="1:8" ht="15.75" customHeight="1">
      <c r="A23" s="72">
        <v>17</v>
      </c>
      <c r="B23" s="70"/>
      <c r="C23" s="70"/>
      <c r="D23" s="124"/>
      <c r="E23" s="124"/>
      <c r="F23" s="124"/>
      <c r="G23" s="112"/>
      <c r="H23" s="76"/>
    </row>
    <row r="24" spans="1:8" ht="35.25" customHeight="1">
      <c r="A24" s="74">
        <v>18</v>
      </c>
      <c r="B24" s="70" t="s">
        <v>433</v>
      </c>
      <c r="C24" s="70">
        <v>23162879</v>
      </c>
      <c r="D24" s="124">
        <v>31049600</v>
      </c>
      <c r="E24" s="124">
        <v>31049600</v>
      </c>
      <c r="F24" s="124"/>
      <c r="G24" s="112"/>
      <c r="H24" s="76"/>
    </row>
    <row r="25" spans="1:8" ht="15.75">
      <c r="A25" s="70">
        <v>19</v>
      </c>
      <c r="B25" s="70" t="s">
        <v>465</v>
      </c>
      <c r="C25" s="70">
        <v>0</v>
      </c>
      <c r="D25" s="124">
        <v>0</v>
      </c>
      <c r="E25" s="124">
        <v>0</v>
      </c>
      <c r="F25" s="124"/>
      <c r="G25" s="111"/>
      <c r="H25" s="76"/>
    </row>
    <row r="26" spans="1:8" ht="15.75">
      <c r="A26" s="72">
        <v>20</v>
      </c>
      <c r="B26" s="72" t="s">
        <v>468</v>
      </c>
      <c r="C26" s="72">
        <f>SUM(C24:C25)</f>
        <v>23162879</v>
      </c>
      <c r="D26" s="111">
        <f>SUM(D24:D25)</f>
        <v>31049600</v>
      </c>
      <c r="E26" s="111">
        <f>SUM(E24:E25)</f>
        <v>31049600</v>
      </c>
      <c r="F26" s="111"/>
      <c r="G26" s="111"/>
      <c r="H26" s="76"/>
    </row>
    <row r="27" spans="1:8" ht="18.75">
      <c r="A27" s="74">
        <v>21</v>
      </c>
      <c r="B27" s="70"/>
      <c r="C27" s="70"/>
      <c r="D27" s="124"/>
      <c r="E27" s="124"/>
      <c r="F27" s="124"/>
      <c r="G27" s="112"/>
      <c r="H27" s="76"/>
    </row>
    <row r="28" spans="1:8" ht="18.75">
      <c r="A28" s="70">
        <v>22</v>
      </c>
      <c r="B28" s="72" t="s">
        <v>412</v>
      </c>
      <c r="C28" s="72">
        <f>SUM(C14+C18+C22+C26)</f>
        <v>44969928</v>
      </c>
      <c r="D28" s="111">
        <f>SUM(D14+D18+D22+D26)</f>
        <v>54359734</v>
      </c>
      <c r="E28" s="111">
        <f>SUM(E14+E18+E22+E26)</f>
        <v>54359734</v>
      </c>
      <c r="F28" s="111">
        <v>28539</v>
      </c>
      <c r="G28" s="112">
        <v>41585</v>
      </c>
      <c r="H28" s="76">
        <v>54632</v>
      </c>
    </row>
    <row r="29" spans="1:8" ht="18.75">
      <c r="A29" s="72">
        <v>23</v>
      </c>
      <c r="B29" s="70"/>
      <c r="C29" s="70"/>
      <c r="D29" s="125"/>
      <c r="E29" s="125"/>
      <c r="F29" s="125"/>
      <c r="G29" s="112"/>
      <c r="H29" s="76"/>
    </row>
    <row r="30" spans="1:8" ht="18.75">
      <c r="A30" s="74">
        <v>24</v>
      </c>
      <c r="B30" s="70"/>
      <c r="C30" s="70"/>
      <c r="D30" s="125"/>
      <c r="E30" s="125"/>
      <c r="F30" s="125"/>
      <c r="G30" s="112"/>
      <c r="H30" s="76"/>
    </row>
    <row r="31" spans="1:8" ht="18.75">
      <c r="A31" s="70">
        <v>25</v>
      </c>
      <c r="B31" s="70"/>
      <c r="C31" s="70"/>
      <c r="D31" s="125"/>
      <c r="E31" s="125"/>
      <c r="F31" s="125"/>
      <c r="G31" s="112"/>
      <c r="H31" s="76"/>
    </row>
    <row r="32" spans="1:8" ht="19.5" customHeight="1">
      <c r="A32" s="72">
        <v>26</v>
      </c>
      <c r="B32" s="70"/>
      <c r="C32" s="70"/>
      <c r="D32" s="125"/>
      <c r="E32" s="125"/>
      <c r="F32" s="125"/>
      <c r="G32" s="112"/>
      <c r="H32" s="76"/>
    </row>
    <row r="33" spans="1:8" ht="19.5" customHeight="1">
      <c r="A33" s="74">
        <v>27</v>
      </c>
      <c r="B33" s="70" t="s">
        <v>420</v>
      </c>
      <c r="C33" s="70"/>
      <c r="D33" s="125"/>
      <c r="E33" s="125"/>
      <c r="F33" s="125"/>
      <c r="G33" s="112"/>
      <c r="H33" s="76"/>
    </row>
    <row r="34" spans="1:8" ht="19.5" customHeight="1">
      <c r="A34" s="70">
        <v>28</v>
      </c>
      <c r="B34" s="70" t="s">
        <v>421</v>
      </c>
      <c r="C34" s="70">
        <v>14833600</v>
      </c>
      <c r="D34" s="126">
        <v>14672000</v>
      </c>
      <c r="E34" s="126">
        <v>14672000</v>
      </c>
      <c r="F34" s="126"/>
      <c r="G34" s="112"/>
      <c r="H34" s="76"/>
    </row>
    <row r="35" spans="1:8" ht="18.75">
      <c r="A35" s="72">
        <v>29</v>
      </c>
      <c r="B35" s="70" t="s">
        <v>422</v>
      </c>
      <c r="C35" s="70">
        <v>6875413</v>
      </c>
      <c r="D35" s="126">
        <v>7759800</v>
      </c>
      <c r="E35" s="126">
        <v>7759800</v>
      </c>
      <c r="F35" s="126"/>
      <c r="G35" s="112"/>
      <c r="H35" s="76"/>
    </row>
    <row r="36" spans="1:8" ht="18.75">
      <c r="A36" s="74">
        <v>30</v>
      </c>
      <c r="B36" s="77" t="s">
        <v>423</v>
      </c>
      <c r="C36" s="70">
        <v>1456000</v>
      </c>
      <c r="D36" s="125">
        <v>1726667</v>
      </c>
      <c r="E36" s="125">
        <v>1726667</v>
      </c>
      <c r="F36" s="125"/>
      <c r="G36" s="112"/>
      <c r="H36" s="76"/>
    </row>
    <row r="37" spans="1:8" ht="18.75">
      <c r="A37" s="70">
        <v>31</v>
      </c>
      <c r="B37" s="77" t="s">
        <v>424</v>
      </c>
      <c r="C37" s="70">
        <v>616000</v>
      </c>
      <c r="D37" s="125">
        <v>933333</v>
      </c>
      <c r="E37" s="125">
        <v>933333</v>
      </c>
      <c r="F37" s="125"/>
      <c r="G37" s="112"/>
      <c r="H37" s="76"/>
    </row>
    <row r="38" spans="1:8" s="75" customFormat="1" ht="18.75">
      <c r="A38" s="72">
        <v>32</v>
      </c>
      <c r="B38" s="72" t="s">
        <v>425</v>
      </c>
      <c r="C38" s="72">
        <f>SUM(C34:C37)</f>
        <v>23781013</v>
      </c>
      <c r="D38" s="111">
        <f>SUM(D34:D37)</f>
        <v>25091800</v>
      </c>
      <c r="E38" s="111">
        <f>SUM(E34:E37)</f>
        <v>25091800</v>
      </c>
      <c r="F38" s="111">
        <v>12463</v>
      </c>
      <c r="G38" s="199">
        <v>18584</v>
      </c>
      <c r="H38" s="201">
        <v>28289</v>
      </c>
    </row>
    <row r="39" spans="1:8" ht="18.75">
      <c r="A39" s="74">
        <v>33</v>
      </c>
      <c r="B39" s="70"/>
      <c r="C39" s="70"/>
      <c r="D39" s="124"/>
      <c r="E39" s="124"/>
      <c r="F39" s="124"/>
      <c r="G39" s="112"/>
      <c r="H39" s="76"/>
    </row>
    <row r="40" spans="1:8" ht="32.25">
      <c r="A40" s="70">
        <v>34</v>
      </c>
      <c r="B40" s="78" t="s">
        <v>574</v>
      </c>
      <c r="C40" s="70"/>
      <c r="D40" s="112"/>
      <c r="E40" s="112"/>
      <c r="F40" s="112"/>
      <c r="G40" s="112"/>
      <c r="H40" s="76"/>
    </row>
    <row r="41" spans="1:8" ht="18.75">
      <c r="A41" s="72">
        <v>35</v>
      </c>
      <c r="B41" s="72"/>
      <c r="C41" s="72"/>
      <c r="D41" s="111"/>
      <c r="E41" s="111"/>
      <c r="F41" s="111"/>
      <c r="G41" s="112"/>
      <c r="H41" s="76"/>
    </row>
    <row r="42" spans="1:8" ht="18.75">
      <c r="A42" s="74">
        <v>36</v>
      </c>
      <c r="B42" s="72" t="s">
        <v>426</v>
      </c>
      <c r="C42" s="70">
        <v>1170207</v>
      </c>
      <c r="D42" s="111">
        <v>5416090</v>
      </c>
      <c r="E42" s="111">
        <v>5416090</v>
      </c>
      <c r="F42" s="111"/>
      <c r="G42" s="112"/>
      <c r="H42" s="76"/>
    </row>
    <row r="43" spans="1:8" ht="18.75">
      <c r="A43" s="70">
        <v>37</v>
      </c>
      <c r="B43" s="72" t="s">
        <v>427</v>
      </c>
      <c r="C43" s="70"/>
      <c r="D43" s="112"/>
      <c r="E43" s="112"/>
      <c r="F43" s="112"/>
      <c r="G43" s="112"/>
      <c r="H43" s="76"/>
    </row>
    <row r="44" spans="1:8" ht="18.75">
      <c r="A44" s="72">
        <v>38</v>
      </c>
      <c r="B44" s="70" t="s">
        <v>25</v>
      </c>
      <c r="C44" s="70">
        <v>885760</v>
      </c>
      <c r="D44" s="112">
        <v>664320</v>
      </c>
      <c r="E44" s="112">
        <v>664320</v>
      </c>
      <c r="F44" s="112"/>
      <c r="G44" s="112"/>
      <c r="H44" s="76"/>
    </row>
    <row r="45" spans="1:8" ht="36.75" customHeight="1">
      <c r="A45" s="74">
        <v>39</v>
      </c>
      <c r="B45" s="70" t="s">
        <v>428</v>
      </c>
      <c r="C45" s="70">
        <v>2500000</v>
      </c>
      <c r="D45" s="112">
        <v>2500000</v>
      </c>
      <c r="E45" s="112">
        <v>2500000</v>
      </c>
      <c r="F45" s="112"/>
      <c r="G45" s="112"/>
      <c r="H45" s="76"/>
    </row>
    <row r="46" spans="1:8" ht="36.75" customHeight="1">
      <c r="A46" s="70">
        <v>40</v>
      </c>
      <c r="B46" s="70" t="s">
        <v>575</v>
      </c>
      <c r="C46" s="70"/>
      <c r="D46" s="112">
        <v>133000</v>
      </c>
      <c r="E46" s="112">
        <v>133000</v>
      </c>
      <c r="F46" s="112"/>
      <c r="G46" s="112"/>
      <c r="H46" s="76"/>
    </row>
    <row r="47" spans="1:8" ht="18.75">
      <c r="A47" s="72">
        <v>41</v>
      </c>
      <c r="B47" s="70" t="s">
        <v>429</v>
      </c>
      <c r="C47" s="70">
        <v>1407000</v>
      </c>
      <c r="D47" s="112">
        <v>0</v>
      </c>
      <c r="E47" s="112">
        <v>0</v>
      </c>
      <c r="F47" s="112"/>
      <c r="G47" s="112"/>
      <c r="H47" s="76"/>
    </row>
    <row r="48" spans="1:8" ht="24" customHeight="1">
      <c r="A48" s="74">
        <v>42</v>
      </c>
      <c r="B48" s="72" t="s">
        <v>4</v>
      </c>
      <c r="C48" s="72">
        <f>SUM(C44:C47)</f>
        <v>4792760</v>
      </c>
      <c r="D48" s="111">
        <f>SUM(D44:D47)</f>
        <v>3297320</v>
      </c>
      <c r="E48" s="111">
        <f>SUM(E44:E47)</f>
        <v>3297320</v>
      </c>
      <c r="F48" s="111"/>
      <c r="G48" s="112"/>
      <c r="H48" s="76"/>
    </row>
    <row r="49" spans="1:8" ht="24.75" customHeight="1">
      <c r="A49" s="70">
        <v>43</v>
      </c>
      <c r="B49" s="72" t="s">
        <v>576</v>
      </c>
      <c r="C49" s="72">
        <f>SUM(C42:C47)</f>
        <v>5962967</v>
      </c>
      <c r="D49" s="111"/>
      <c r="E49" s="111"/>
      <c r="F49" s="111"/>
      <c r="G49" s="124"/>
      <c r="H49" s="76"/>
    </row>
    <row r="50" spans="1:8" ht="21.75" customHeight="1">
      <c r="A50" s="72">
        <v>44</v>
      </c>
      <c r="B50" s="72"/>
      <c r="C50" s="72"/>
      <c r="D50" s="111"/>
      <c r="E50" s="111"/>
      <c r="F50" s="111"/>
      <c r="G50" s="124"/>
      <c r="H50" s="76"/>
    </row>
    <row r="51" spans="1:8" ht="24.75" customHeight="1">
      <c r="A51" s="74">
        <v>45</v>
      </c>
      <c r="B51" s="72" t="s">
        <v>430</v>
      </c>
      <c r="C51" s="72"/>
      <c r="D51" s="111"/>
      <c r="E51" s="111"/>
      <c r="F51" s="111"/>
      <c r="G51" s="124"/>
      <c r="H51" s="76"/>
    </row>
    <row r="52" spans="1:8" ht="15.75">
      <c r="A52" s="70">
        <v>46</v>
      </c>
      <c r="B52" s="72" t="s">
        <v>431</v>
      </c>
      <c r="C52" s="72">
        <v>5809920</v>
      </c>
      <c r="D52" s="111">
        <v>8111040</v>
      </c>
      <c r="E52" s="111">
        <v>8111040</v>
      </c>
      <c r="F52" s="111"/>
      <c r="G52" s="111"/>
      <c r="H52" s="76"/>
    </row>
    <row r="53" spans="1:8" ht="15.75">
      <c r="A53" s="72">
        <v>47</v>
      </c>
      <c r="B53" s="72" t="s">
        <v>469</v>
      </c>
      <c r="C53" s="72">
        <v>10996034</v>
      </c>
      <c r="D53" s="111">
        <v>7836038</v>
      </c>
      <c r="E53" s="111">
        <v>7836038</v>
      </c>
      <c r="F53" s="111"/>
      <c r="G53" s="126"/>
      <c r="H53" s="76"/>
    </row>
    <row r="54" spans="1:8" ht="15.75">
      <c r="A54" s="74">
        <v>48</v>
      </c>
      <c r="B54" s="72" t="s">
        <v>470</v>
      </c>
      <c r="C54" s="72">
        <f>SUM(C52:C53)</f>
        <v>16805954</v>
      </c>
      <c r="D54" s="111">
        <f>SUM(D52:D53)</f>
        <v>15947078</v>
      </c>
      <c r="E54" s="111">
        <f>SUM(E52:E53)</f>
        <v>15947078</v>
      </c>
      <c r="F54" s="111">
        <f>13804-F69</f>
        <v>12887</v>
      </c>
      <c r="G54" s="126">
        <v>19553</v>
      </c>
      <c r="H54" s="76">
        <f>25600-1153-43</f>
        <v>24404</v>
      </c>
    </row>
    <row r="55" spans="1:8" ht="18.75">
      <c r="A55" s="70">
        <v>49</v>
      </c>
      <c r="B55" s="72"/>
      <c r="C55" s="72"/>
      <c r="D55" s="112"/>
      <c r="E55" s="112"/>
      <c r="F55" s="112"/>
      <c r="G55" s="126"/>
      <c r="H55" s="76"/>
    </row>
    <row r="56" spans="1:8" ht="15.75">
      <c r="A56" s="72">
        <v>50</v>
      </c>
      <c r="B56" s="72" t="s">
        <v>432</v>
      </c>
      <c r="C56" s="72">
        <f>SUM(C54+C49+C38+C28)</f>
        <v>91519862</v>
      </c>
      <c r="D56" s="111">
        <f>D54+D48+D42+D38+D28</f>
        <v>104112022</v>
      </c>
      <c r="E56" s="111">
        <f>E54+E48+E42+E38+E28</f>
        <v>104112022</v>
      </c>
      <c r="F56" s="111">
        <f>F54+F48+F42+F38+F28</f>
        <v>53889</v>
      </c>
      <c r="G56" s="111">
        <f>G54+G48+G42+G38+G28</f>
        <v>79722</v>
      </c>
      <c r="H56" s="111">
        <f>H54+H48+H42+H38+H28</f>
        <v>107325</v>
      </c>
    </row>
    <row r="57" spans="1:8" ht="15.75">
      <c r="A57" s="72"/>
      <c r="B57" s="72"/>
      <c r="C57" s="72"/>
      <c r="D57" s="111"/>
      <c r="E57" s="111"/>
      <c r="F57" s="111"/>
      <c r="G57" s="111"/>
      <c r="H57" s="111"/>
    </row>
    <row r="58" spans="1:8" ht="15.75">
      <c r="A58" s="74">
        <v>51</v>
      </c>
      <c r="B58" s="72" t="s">
        <v>670</v>
      </c>
      <c r="C58" s="72"/>
      <c r="D58" s="111"/>
      <c r="E58" s="111"/>
      <c r="F58" s="111"/>
      <c r="G58" s="126"/>
      <c r="H58" s="76"/>
    </row>
    <row r="59" spans="1:8" ht="15.75">
      <c r="A59" s="70">
        <v>52</v>
      </c>
      <c r="B59" s="76" t="s">
        <v>149</v>
      </c>
      <c r="C59" s="76">
        <v>1603975</v>
      </c>
      <c r="D59" s="76">
        <v>1605120</v>
      </c>
      <c r="E59" s="76">
        <v>1605120</v>
      </c>
      <c r="F59" s="126">
        <v>835</v>
      </c>
      <c r="G59" s="126">
        <v>1220</v>
      </c>
      <c r="H59" s="76">
        <v>1605</v>
      </c>
    </row>
    <row r="60" spans="1:8" ht="15.75">
      <c r="A60" s="70"/>
      <c r="B60" s="76" t="s">
        <v>671</v>
      </c>
      <c r="C60" s="76"/>
      <c r="D60" s="76"/>
      <c r="E60" s="76"/>
      <c r="F60" s="126"/>
      <c r="G60" s="126"/>
      <c r="H60" s="76">
        <v>272</v>
      </c>
    </row>
    <row r="61" spans="1:8" ht="15.75">
      <c r="A61" s="70"/>
      <c r="B61" s="76" t="s">
        <v>672</v>
      </c>
      <c r="C61" s="76"/>
      <c r="D61" s="76"/>
      <c r="E61" s="76"/>
      <c r="F61" s="126"/>
      <c r="G61" s="126"/>
      <c r="H61" s="76">
        <v>316</v>
      </c>
    </row>
    <row r="62" spans="1:8" ht="15.75">
      <c r="A62" s="72">
        <v>53</v>
      </c>
      <c r="B62" s="76" t="s">
        <v>668</v>
      </c>
      <c r="C62" s="76"/>
      <c r="D62" s="76"/>
      <c r="E62" s="76"/>
      <c r="F62" s="126"/>
      <c r="G62" s="126"/>
      <c r="H62" s="76">
        <v>10094</v>
      </c>
    </row>
    <row r="63" spans="1:8" ht="15.75">
      <c r="A63" s="74">
        <v>54</v>
      </c>
      <c r="B63" s="72" t="s">
        <v>577</v>
      </c>
      <c r="C63" s="72"/>
      <c r="D63" s="111">
        <v>1405976</v>
      </c>
      <c r="E63" s="111">
        <v>2130125</v>
      </c>
      <c r="F63" s="111">
        <v>1406</v>
      </c>
      <c r="G63" s="126">
        <v>2130</v>
      </c>
      <c r="H63" s="76">
        <v>2412</v>
      </c>
    </row>
    <row r="64" spans="1:8" ht="18.75">
      <c r="A64" s="70">
        <v>55</v>
      </c>
      <c r="B64" s="79" t="s">
        <v>669</v>
      </c>
      <c r="C64" s="79"/>
      <c r="D64" s="68"/>
      <c r="E64" s="68"/>
      <c r="F64" s="112"/>
      <c r="G64" s="126"/>
      <c r="H64" s="76">
        <v>213</v>
      </c>
    </row>
    <row r="65" spans="1:8" ht="15.75">
      <c r="A65" s="72">
        <v>56</v>
      </c>
      <c r="B65" s="78" t="s">
        <v>578</v>
      </c>
      <c r="C65" s="70"/>
      <c r="D65" s="127" t="s">
        <v>471</v>
      </c>
      <c r="E65" s="127" t="s">
        <v>471</v>
      </c>
      <c r="F65" s="127"/>
      <c r="G65" s="126"/>
      <c r="H65" s="76"/>
    </row>
    <row r="66" spans="1:8" ht="15.75">
      <c r="A66" s="74">
        <v>57</v>
      </c>
      <c r="B66" s="70" t="s">
        <v>435</v>
      </c>
      <c r="C66" s="70">
        <f>G66*90%</f>
        <v>0</v>
      </c>
      <c r="D66" s="126">
        <v>114291</v>
      </c>
      <c r="E66" s="126">
        <v>114291</v>
      </c>
      <c r="F66" s="126"/>
      <c r="G66" s="126"/>
      <c r="H66" s="76"/>
    </row>
    <row r="67" spans="1:8" ht="15.75">
      <c r="A67" s="70">
        <v>58</v>
      </c>
      <c r="B67" s="70" t="s">
        <v>436</v>
      </c>
      <c r="C67" s="70">
        <f>G67*90%</f>
        <v>0</v>
      </c>
      <c r="D67" s="126">
        <v>310080</v>
      </c>
      <c r="E67" s="126">
        <v>310080</v>
      </c>
      <c r="F67" s="126"/>
      <c r="G67" s="126"/>
      <c r="H67" s="76"/>
    </row>
    <row r="68" spans="1:8" ht="15.75">
      <c r="A68" s="72">
        <v>59</v>
      </c>
      <c r="B68" s="70" t="s">
        <v>437</v>
      </c>
      <c r="C68" s="70">
        <f>G68*90%</f>
        <v>0</v>
      </c>
      <c r="D68" s="126">
        <v>182250</v>
      </c>
      <c r="E68" s="126">
        <f>182250+53000</f>
        <v>235250</v>
      </c>
      <c r="F68" s="126"/>
      <c r="G68" s="126"/>
      <c r="H68" s="76"/>
    </row>
    <row r="69" spans="1:8" ht="15.75">
      <c r="A69" s="74">
        <v>60</v>
      </c>
      <c r="B69" s="72" t="s">
        <v>4</v>
      </c>
      <c r="C69" s="72">
        <f>SUM(C66:C68)</f>
        <v>0</v>
      </c>
      <c r="D69" s="111">
        <f>SUM(D66:D68)</f>
        <v>606621</v>
      </c>
      <c r="E69" s="111">
        <f>SUM(E66:E68)</f>
        <v>659621</v>
      </c>
      <c r="F69" s="111">
        <v>917</v>
      </c>
      <c r="G69" s="126">
        <v>1401</v>
      </c>
      <c r="H69" s="76">
        <v>1153</v>
      </c>
    </row>
    <row r="70" spans="1:8" ht="15.75">
      <c r="A70" s="70">
        <v>61</v>
      </c>
      <c r="B70" s="76" t="s">
        <v>673</v>
      </c>
      <c r="C70" s="76"/>
      <c r="D70" s="76"/>
      <c r="E70" s="126"/>
      <c r="F70" s="126"/>
      <c r="G70" s="126"/>
      <c r="H70" s="76">
        <f>SUM(H59:H69)</f>
        <v>16065</v>
      </c>
    </row>
    <row r="71" spans="1:8" ht="15.75">
      <c r="A71" s="72">
        <v>62</v>
      </c>
      <c r="B71" s="76"/>
      <c r="C71" s="76"/>
      <c r="D71" s="76"/>
      <c r="E71" s="126"/>
      <c r="F71" s="126"/>
      <c r="G71" s="126"/>
      <c r="H71" s="76"/>
    </row>
    <row r="72" spans="1:8" ht="15.75">
      <c r="A72" s="74">
        <v>63</v>
      </c>
      <c r="B72" s="70" t="s">
        <v>438</v>
      </c>
      <c r="C72" s="72">
        <f>(C56+C59)/1000+C69</f>
        <v>93123.837</v>
      </c>
      <c r="D72" s="72">
        <f>D56+D69+D59+D63</f>
        <v>107729739</v>
      </c>
      <c r="E72" s="72">
        <f>E56+E69+E59+E63</f>
        <v>108506888</v>
      </c>
      <c r="F72" s="111">
        <f>F56+F69+F59+F63</f>
        <v>57047</v>
      </c>
      <c r="G72" s="111">
        <f>G56+G69+G59+G63</f>
        <v>84473</v>
      </c>
      <c r="H72" s="111">
        <f>H56+H70</f>
        <v>123390</v>
      </c>
    </row>
  </sheetData>
  <sheetProtection/>
  <mergeCells count="1">
    <mergeCell ref="A4:C4"/>
  </mergeCells>
  <printOptions/>
  <pageMargins left="0.7" right="0.7" top="0.75" bottom="0.75" header="0.3" footer="0.3"/>
  <pageSetup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P60"/>
  <sheetViews>
    <sheetView view="pageBreakPreview" zoomScale="70" zoomScaleNormal="70" zoomScaleSheetLayoutView="70" zoomScalePageLayoutView="0" workbookViewId="0" topLeftCell="A1">
      <pane xSplit="3" ySplit="7" topLeftCell="BB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G57" sqref="BG57"/>
    </sheetView>
  </sheetViews>
  <sheetFormatPr defaultColWidth="9.140625" defaultRowHeight="15"/>
  <cols>
    <col min="3" max="3" width="50.28125" style="0" customWidth="1"/>
    <col min="4" max="9" width="10.00390625" style="0" customWidth="1"/>
    <col min="10" max="10" width="10.00390625" style="189" customWidth="1"/>
    <col min="11" max="16" width="9.57421875" style="0" customWidth="1"/>
    <col min="17" max="17" width="9.57421875" style="189" customWidth="1"/>
    <col min="18" max="18" width="10.421875" style="0" customWidth="1"/>
    <col min="19" max="19" width="11.421875" style="0" bestFit="1" customWidth="1"/>
    <col min="20" max="20" width="11.421875" style="0" customWidth="1"/>
    <col min="21" max="21" width="11.421875" style="218" customWidth="1"/>
    <col min="22" max="23" width="10.7109375" style="0" customWidth="1"/>
    <col min="24" max="24" width="10.7109375" style="189" customWidth="1"/>
    <col min="25" max="31" width="9.57421875" style="0" customWidth="1"/>
    <col min="32" max="45" width="12.140625" style="0" customWidth="1"/>
    <col min="46" max="46" width="10.140625" style="0" customWidth="1"/>
    <col min="47" max="47" width="11.421875" style="0" bestFit="1" customWidth="1"/>
    <col min="48" max="49" width="11.421875" style="0" customWidth="1"/>
    <col min="50" max="52" width="10.140625" style="0" customWidth="1"/>
    <col min="53" max="54" width="11.57421875" style="0" bestFit="1" customWidth="1"/>
    <col min="55" max="56" width="11.57421875" style="0" customWidth="1"/>
    <col min="57" max="57" width="10.00390625" style="0" bestFit="1" customWidth="1"/>
    <col min="58" max="58" width="10.00390625" style="0" customWidth="1"/>
    <col min="59" max="59" width="10.00390625" style="189" customWidth="1"/>
    <col min="60" max="60" width="11.7109375" style="10" customWidth="1"/>
    <col min="61" max="61" width="11.57421875" style="0" bestFit="1" customWidth="1"/>
    <col min="62" max="63" width="11.57421875" style="0" customWidth="1"/>
    <col min="64" max="64" width="11.57421875" style="0" bestFit="1" customWidth="1"/>
    <col min="65" max="66" width="11.57421875" style="0" customWidth="1"/>
    <col min="67" max="67" width="7.28125" style="0" customWidth="1"/>
  </cols>
  <sheetData>
    <row r="1" spans="1:4" ht="18.75">
      <c r="A1" s="246" t="s">
        <v>644</v>
      </c>
      <c r="B1" s="247"/>
      <c r="C1" s="248"/>
      <c r="D1" s="128"/>
    </row>
    <row r="2" spans="3:10" ht="18">
      <c r="C2" s="32" t="s">
        <v>461</v>
      </c>
      <c r="D2" s="33"/>
      <c r="E2" s="33"/>
      <c r="F2" s="33"/>
      <c r="G2" s="33"/>
      <c r="H2" s="33"/>
      <c r="I2" s="33"/>
      <c r="J2" s="190"/>
    </row>
    <row r="3" spans="3:10" ht="18">
      <c r="C3" s="32"/>
      <c r="D3" s="33"/>
      <c r="E3" s="33"/>
      <c r="F3" s="33"/>
      <c r="G3" s="33"/>
      <c r="H3" s="33"/>
      <c r="I3" s="33"/>
      <c r="J3" s="190"/>
    </row>
    <row r="4" spans="3:10" ht="18">
      <c r="C4" s="32"/>
      <c r="D4" s="33"/>
      <c r="E4" s="33"/>
      <c r="F4" s="33"/>
      <c r="G4" s="33"/>
      <c r="H4" s="33"/>
      <c r="I4" s="33"/>
      <c r="J4" s="190"/>
    </row>
    <row r="5" spans="1:67" s="11" customFormat="1" ht="15">
      <c r="A5" s="12"/>
      <c r="B5" s="12" t="s">
        <v>30</v>
      </c>
      <c r="C5" s="12" t="s">
        <v>31</v>
      </c>
      <c r="D5" s="12" t="s">
        <v>32</v>
      </c>
      <c r="E5" s="12" t="s">
        <v>33</v>
      </c>
      <c r="F5" s="12" t="s">
        <v>34</v>
      </c>
      <c r="G5" s="12"/>
      <c r="H5" s="12" t="s">
        <v>155</v>
      </c>
      <c r="I5" s="12" t="s">
        <v>63</v>
      </c>
      <c r="J5" s="191"/>
      <c r="K5" s="12" t="s">
        <v>64</v>
      </c>
      <c r="L5" s="12" t="s">
        <v>65</v>
      </c>
      <c r="M5" s="12" t="s">
        <v>67</v>
      </c>
      <c r="N5" s="12"/>
      <c r="O5" s="12" t="s">
        <v>67</v>
      </c>
      <c r="P5" s="12" t="s">
        <v>68</v>
      </c>
      <c r="Q5" s="191"/>
      <c r="R5" s="12" t="s">
        <v>69</v>
      </c>
      <c r="S5" s="12" t="s">
        <v>70</v>
      </c>
      <c r="T5" s="12" t="s">
        <v>197</v>
      </c>
      <c r="U5" s="219"/>
      <c r="V5" s="12" t="s">
        <v>71</v>
      </c>
      <c r="W5" s="12" t="s">
        <v>198</v>
      </c>
      <c r="X5" s="191"/>
      <c r="Y5" s="12" t="s">
        <v>72</v>
      </c>
      <c r="Z5" s="12" t="s">
        <v>73</v>
      </c>
      <c r="AA5" s="12" t="s">
        <v>74</v>
      </c>
      <c r="AB5" s="12"/>
      <c r="AC5" s="12" t="s">
        <v>75</v>
      </c>
      <c r="AD5" s="12" t="s">
        <v>76</v>
      </c>
      <c r="AE5" s="12"/>
      <c r="AF5" s="12" t="s">
        <v>77</v>
      </c>
      <c r="AG5" s="12" t="s">
        <v>78</v>
      </c>
      <c r="AH5" s="12" t="s">
        <v>79</v>
      </c>
      <c r="AI5" s="12"/>
      <c r="AJ5" s="12" t="s">
        <v>80</v>
      </c>
      <c r="AK5" s="12" t="s">
        <v>537</v>
      </c>
      <c r="AL5" s="12"/>
      <c r="AM5" s="12" t="s">
        <v>239</v>
      </c>
      <c r="AN5" s="12" t="s">
        <v>240</v>
      </c>
      <c r="AO5" s="12" t="s">
        <v>241</v>
      </c>
      <c r="AP5" s="12"/>
      <c r="AQ5" s="12" t="s">
        <v>242</v>
      </c>
      <c r="AR5" s="12" t="s">
        <v>243</v>
      </c>
      <c r="AS5" s="12"/>
      <c r="AT5" s="12" t="s">
        <v>538</v>
      </c>
      <c r="AU5" s="12" t="s">
        <v>539</v>
      </c>
      <c r="AV5" s="12" t="s">
        <v>540</v>
      </c>
      <c r="AW5" s="12"/>
      <c r="AX5" s="12" t="s">
        <v>541</v>
      </c>
      <c r="AY5" s="12" t="s">
        <v>542</v>
      </c>
      <c r="AZ5" s="12"/>
      <c r="BA5" s="12" t="s">
        <v>543</v>
      </c>
      <c r="BB5" s="12" t="s">
        <v>544</v>
      </c>
      <c r="BC5" s="12" t="s">
        <v>545</v>
      </c>
      <c r="BD5" s="12"/>
      <c r="BE5" s="12" t="s">
        <v>546</v>
      </c>
      <c r="BF5" s="12" t="s">
        <v>244</v>
      </c>
      <c r="BG5" s="191"/>
      <c r="BH5" s="12" t="s">
        <v>245</v>
      </c>
      <c r="BI5" s="12" t="s">
        <v>246</v>
      </c>
      <c r="BJ5" s="12" t="s">
        <v>547</v>
      </c>
      <c r="BK5" s="12"/>
      <c r="BL5" s="12" t="s">
        <v>247</v>
      </c>
      <c r="BM5" s="12" t="s">
        <v>248</v>
      </c>
      <c r="BN5" s="12"/>
      <c r="BO5" s="12" t="s">
        <v>249</v>
      </c>
    </row>
    <row r="6" spans="1:67" ht="26.25" customHeight="1">
      <c r="A6" s="13">
        <v>1</v>
      </c>
      <c r="B6" s="13"/>
      <c r="C6" s="34" t="s">
        <v>81</v>
      </c>
      <c r="D6" s="252" t="s">
        <v>156</v>
      </c>
      <c r="E6" s="253"/>
      <c r="F6" s="253"/>
      <c r="G6" s="253"/>
      <c r="H6" s="253"/>
      <c r="I6" s="253"/>
      <c r="J6" s="254"/>
      <c r="K6" s="249" t="s">
        <v>157</v>
      </c>
      <c r="L6" s="250"/>
      <c r="M6" s="250"/>
      <c r="N6" s="250"/>
      <c r="O6" s="250"/>
      <c r="P6" s="250"/>
      <c r="Q6" s="251"/>
      <c r="R6" s="252" t="s">
        <v>158</v>
      </c>
      <c r="S6" s="253"/>
      <c r="T6" s="253"/>
      <c r="U6" s="253"/>
      <c r="V6" s="253"/>
      <c r="W6" s="253"/>
      <c r="X6" s="254"/>
      <c r="Y6" s="252" t="s">
        <v>159</v>
      </c>
      <c r="Z6" s="253"/>
      <c r="AA6" s="253"/>
      <c r="AB6" s="253"/>
      <c r="AC6" s="253"/>
      <c r="AD6" s="253"/>
      <c r="AE6" s="254"/>
      <c r="AF6" s="252" t="s">
        <v>160</v>
      </c>
      <c r="AG6" s="253"/>
      <c r="AH6" s="253"/>
      <c r="AI6" s="253"/>
      <c r="AJ6" s="253"/>
      <c r="AK6" s="253"/>
      <c r="AL6" s="254"/>
      <c r="AM6" s="252" t="s">
        <v>161</v>
      </c>
      <c r="AN6" s="253"/>
      <c r="AO6" s="253"/>
      <c r="AP6" s="253"/>
      <c r="AQ6" s="253"/>
      <c r="AR6" s="253"/>
      <c r="AS6" s="254"/>
      <c r="AT6" s="249" t="s">
        <v>162</v>
      </c>
      <c r="AU6" s="250"/>
      <c r="AV6" s="250"/>
      <c r="AW6" s="250"/>
      <c r="AX6" s="250"/>
      <c r="AY6" s="250"/>
      <c r="AZ6" s="251"/>
      <c r="BA6" s="252" t="s">
        <v>163</v>
      </c>
      <c r="BB6" s="253"/>
      <c r="BC6" s="253"/>
      <c r="BD6" s="253"/>
      <c r="BE6" s="253"/>
      <c r="BF6" s="253"/>
      <c r="BG6" s="254"/>
      <c r="BH6" s="255" t="s">
        <v>164</v>
      </c>
      <c r="BI6" s="256"/>
      <c r="BJ6" s="256"/>
      <c r="BK6" s="256"/>
      <c r="BL6" s="256"/>
      <c r="BM6" s="256"/>
      <c r="BN6" s="257"/>
      <c r="BO6" s="13"/>
    </row>
    <row r="7" spans="1:67" ht="25.5">
      <c r="A7" s="13">
        <v>2</v>
      </c>
      <c r="B7" s="13"/>
      <c r="C7" s="34"/>
      <c r="D7" s="35" t="s">
        <v>579</v>
      </c>
      <c r="E7" s="35" t="s">
        <v>620</v>
      </c>
      <c r="F7" s="35" t="s">
        <v>621</v>
      </c>
      <c r="G7" s="35" t="s">
        <v>650</v>
      </c>
      <c r="H7" s="35" t="s">
        <v>580</v>
      </c>
      <c r="I7" s="35" t="s">
        <v>619</v>
      </c>
      <c r="J7" s="35" t="s">
        <v>651</v>
      </c>
      <c r="K7" s="35" t="s">
        <v>579</v>
      </c>
      <c r="L7" s="35" t="s">
        <v>620</v>
      </c>
      <c r="M7" s="35" t="s">
        <v>621</v>
      </c>
      <c r="N7" s="35" t="s">
        <v>650</v>
      </c>
      <c r="O7" s="35" t="s">
        <v>580</v>
      </c>
      <c r="P7" s="35" t="s">
        <v>619</v>
      </c>
      <c r="Q7" s="192" t="s">
        <v>651</v>
      </c>
      <c r="R7" s="35" t="s">
        <v>579</v>
      </c>
      <c r="S7" s="35" t="s">
        <v>620</v>
      </c>
      <c r="T7" s="35" t="s">
        <v>621</v>
      </c>
      <c r="U7" s="35" t="s">
        <v>650</v>
      </c>
      <c r="V7" s="35" t="s">
        <v>580</v>
      </c>
      <c r="W7" s="35" t="s">
        <v>619</v>
      </c>
      <c r="X7" s="192" t="s">
        <v>651</v>
      </c>
      <c r="Y7" s="35" t="s">
        <v>579</v>
      </c>
      <c r="Z7" s="35" t="s">
        <v>620</v>
      </c>
      <c r="AA7" s="35" t="s">
        <v>621</v>
      </c>
      <c r="AB7" s="35" t="s">
        <v>650</v>
      </c>
      <c r="AC7" s="35" t="s">
        <v>580</v>
      </c>
      <c r="AD7" s="35" t="s">
        <v>619</v>
      </c>
      <c r="AE7" s="35" t="s">
        <v>651</v>
      </c>
      <c r="AF7" s="35" t="s">
        <v>579</v>
      </c>
      <c r="AG7" s="35" t="s">
        <v>620</v>
      </c>
      <c r="AH7" s="35" t="s">
        <v>621</v>
      </c>
      <c r="AI7" s="35" t="s">
        <v>650</v>
      </c>
      <c r="AJ7" s="35" t="s">
        <v>580</v>
      </c>
      <c r="AK7" s="35" t="s">
        <v>619</v>
      </c>
      <c r="AL7" s="35" t="s">
        <v>651</v>
      </c>
      <c r="AM7" s="35" t="s">
        <v>579</v>
      </c>
      <c r="AN7" s="35" t="s">
        <v>620</v>
      </c>
      <c r="AO7" s="35" t="s">
        <v>621</v>
      </c>
      <c r="AP7" s="35" t="s">
        <v>650</v>
      </c>
      <c r="AQ7" s="35" t="s">
        <v>580</v>
      </c>
      <c r="AR7" s="35" t="s">
        <v>619</v>
      </c>
      <c r="AS7" s="35" t="s">
        <v>651</v>
      </c>
      <c r="AT7" s="35" t="s">
        <v>579</v>
      </c>
      <c r="AU7" s="35" t="s">
        <v>620</v>
      </c>
      <c r="AV7" s="35" t="s">
        <v>621</v>
      </c>
      <c r="AW7" s="35" t="s">
        <v>650</v>
      </c>
      <c r="AX7" s="35" t="s">
        <v>580</v>
      </c>
      <c r="AY7" s="35" t="s">
        <v>619</v>
      </c>
      <c r="AZ7" s="35" t="s">
        <v>651</v>
      </c>
      <c r="BA7" s="35" t="s">
        <v>579</v>
      </c>
      <c r="BB7" s="35" t="s">
        <v>620</v>
      </c>
      <c r="BC7" s="35" t="s">
        <v>621</v>
      </c>
      <c r="BD7" s="35" t="s">
        <v>650</v>
      </c>
      <c r="BE7" s="35" t="s">
        <v>580</v>
      </c>
      <c r="BF7" s="35" t="s">
        <v>619</v>
      </c>
      <c r="BG7" s="35" t="s">
        <v>651</v>
      </c>
      <c r="BH7" s="35" t="s">
        <v>579</v>
      </c>
      <c r="BI7" s="35" t="s">
        <v>620</v>
      </c>
      <c r="BJ7" s="35" t="s">
        <v>621</v>
      </c>
      <c r="BK7" s="35" t="s">
        <v>650</v>
      </c>
      <c r="BL7" s="35" t="s">
        <v>580</v>
      </c>
      <c r="BM7" s="35" t="s">
        <v>619</v>
      </c>
      <c r="BN7" s="35" t="s">
        <v>651</v>
      </c>
      <c r="BO7" s="129" t="s">
        <v>581</v>
      </c>
    </row>
    <row r="8" spans="1:67" ht="15">
      <c r="A8" s="13">
        <v>3</v>
      </c>
      <c r="B8" s="37">
        <v>841112</v>
      </c>
      <c r="C8" s="34" t="s">
        <v>40</v>
      </c>
      <c r="D8" s="38">
        <v>6658</v>
      </c>
      <c r="E8" s="38">
        <v>6838</v>
      </c>
      <c r="F8" s="38">
        <f>6673</f>
        <v>6673</v>
      </c>
      <c r="G8" s="38">
        <v>6556</v>
      </c>
      <c r="H8" s="38">
        <v>2362</v>
      </c>
      <c r="I8" s="38">
        <f>3541</f>
        <v>3541</v>
      </c>
      <c r="J8" s="38">
        <v>4879</v>
      </c>
      <c r="K8" s="39">
        <v>1798</v>
      </c>
      <c r="L8" s="39">
        <v>1841</v>
      </c>
      <c r="M8" s="39">
        <v>1834</v>
      </c>
      <c r="N8" s="39">
        <v>1802</v>
      </c>
      <c r="O8" s="39">
        <v>630</v>
      </c>
      <c r="P8" s="39">
        <v>932</v>
      </c>
      <c r="Q8" s="197">
        <v>1278</v>
      </c>
      <c r="R8" s="38">
        <v>8102</v>
      </c>
      <c r="S8" s="38">
        <v>8477</v>
      </c>
      <c r="T8" s="38">
        <v>4596</v>
      </c>
      <c r="U8" s="38">
        <v>4596</v>
      </c>
      <c r="V8" s="38">
        <v>2948</v>
      </c>
      <c r="W8" s="38">
        <f>3354-50</f>
        <v>3304</v>
      </c>
      <c r="X8" s="193">
        <v>2782</v>
      </c>
      <c r="Y8" s="38">
        <v>10404</v>
      </c>
      <c r="Z8" s="38">
        <v>9774</v>
      </c>
      <c r="AA8" s="38"/>
      <c r="AB8" s="38"/>
      <c r="AC8" s="38">
        <v>3944</v>
      </c>
      <c r="AD8" s="38"/>
      <c r="AE8" s="38"/>
      <c r="AF8" s="38">
        <f aca="true" t="shared" si="0" ref="AF8:AL8">Y8+R8+K8+D8</f>
        <v>26962</v>
      </c>
      <c r="AG8" s="38">
        <f t="shared" si="0"/>
        <v>26930</v>
      </c>
      <c r="AH8" s="38">
        <f t="shared" si="0"/>
        <v>13103</v>
      </c>
      <c r="AI8" s="38">
        <f t="shared" si="0"/>
        <v>12954</v>
      </c>
      <c r="AJ8" s="38">
        <f t="shared" si="0"/>
        <v>9884</v>
      </c>
      <c r="AK8" s="38">
        <f t="shared" si="0"/>
        <v>7777</v>
      </c>
      <c r="AL8" s="38">
        <f t="shared" si="0"/>
        <v>8939</v>
      </c>
      <c r="AM8" s="38">
        <f>'[4]7.K.részletező'!R126+'[4]7.K.részletező'!R127</f>
        <v>5946</v>
      </c>
      <c r="AN8" s="38">
        <v>5946</v>
      </c>
      <c r="AO8" s="38">
        <v>600</v>
      </c>
      <c r="AP8" s="38">
        <v>600</v>
      </c>
      <c r="AQ8" s="38">
        <v>0</v>
      </c>
      <c r="AR8" s="38">
        <v>0</v>
      </c>
      <c r="AS8" s="38">
        <v>300</v>
      </c>
      <c r="AT8" s="36">
        <v>40006</v>
      </c>
      <c r="AU8" s="36">
        <v>89442</v>
      </c>
      <c r="AV8" s="36">
        <v>2597</v>
      </c>
      <c r="AW8" s="36">
        <v>2597</v>
      </c>
      <c r="AX8" s="36">
        <v>13972</v>
      </c>
      <c r="AY8" s="36">
        <v>2590</v>
      </c>
      <c r="AZ8" s="36">
        <v>2590</v>
      </c>
      <c r="BA8" s="36">
        <f aca="true" t="shared" si="1" ref="BA8:BG8">AM8+AT8</f>
        <v>45952</v>
      </c>
      <c r="BB8" s="36">
        <f t="shared" si="1"/>
        <v>95388</v>
      </c>
      <c r="BC8" s="36">
        <f t="shared" si="1"/>
        <v>3197</v>
      </c>
      <c r="BD8" s="36">
        <f t="shared" si="1"/>
        <v>3197</v>
      </c>
      <c r="BE8" s="36">
        <f t="shared" si="1"/>
        <v>13972</v>
      </c>
      <c r="BF8" s="36">
        <f t="shared" si="1"/>
        <v>2590</v>
      </c>
      <c r="BG8" s="36">
        <f t="shared" si="1"/>
        <v>2890</v>
      </c>
      <c r="BH8" s="35">
        <f aca="true" t="shared" si="2" ref="BH8:BN8">AF8+BA8</f>
        <v>72914</v>
      </c>
      <c r="BI8" s="35">
        <f t="shared" si="2"/>
        <v>122318</v>
      </c>
      <c r="BJ8" s="35">
        <f t="shared" si="2"/>
        <v>16300</v>
      </c>
      <c r="BK8" s="35">
        <f t="shared" si="2"/>
        <v>16151</v>
      </c>
      <c r="BL8" s="35">
        <f t="shared" si="2"/>
        <v>23856</v>
      </c>
      <c r="BM8" s="35">
        <f t="shared" si="2"/>
        <v>10367</v>
      </c>
      <c r="BN8" s="35">
        <f t="shared" si="2"/>
        <v>11829</v>
      </c>
      <c r="BO8" s="130">
        <f>BN8/BK8</f>
        <v>0.7324004705590985</v>
      </c>
    </row>
    <row r="9" spans="1:67" ht="15">
      <c r="A9" s="13">
        <v>4</v>
      </c>
      <c r="B9" s="37"/>
      <c r="C9" s="34" t="s">
        <v>631</v>
      </c>
      <c r="D9" s="38"/>
      <c r="E9" s="38"/>
      <c r="F9" s="38"/>
      <c r="G9" s="38"/>
      <c r="H9" s="38"/>
      <c r="I9" s="38"/>
      <c r="J9" s="38"/>
      <c r="K9" s="39"/>
      <c r="L9" s="39"/>
      <c r="M9" s="39"/>
      <c r="N9" s="39"/>
      <c r="O9" s="39"/>
      <c r="P9" s="39"/>
      <c r="Q9" s="197"/>
      <c r="R9" s="38"/>
      <c r="S9" s="38"/>
      <c r="T9" s="38"/>
      <c r="U9" s="38"/>
      <c r="V9" s="38"/>
      <c r="W9" s="38"/>
      <c r="X9" s="193"/>
      <c r="Y9" s="38">
        <v>26577</v>
      </c>
      <c r="Z9" s="38">
        <v>28870</v>
      </c>
      <c r="AA9" s="38">
        <v>26726</v>
      </c>
      <c r="AB9" s="38">
        <v>26815</v>
      </c>
      <c r="AC9" s="38">
        <v>13288</v>
      </c>
      <c r="AD9" s="38">
        <v>15503</v>
      </c>
      <c r="AE9" s="38">
        <v>24660</v>
      </c>
      <c r="AF9" s="38"/>
      <c r="AG9" s="38"/>
      <c r="AH9" s="38">
        <f>AA9+T9+M9+F9</f>
        <v>26726</v>
      </c>
      <c r="AI9" s="38">
        <f aca="true" t="shared" si="3" ref="AI9:AI57">AB9+U9+N9+G9</f>
        <v>26815</v>
      </c>
      <c r="AJ9" s="38"/>
      <c r="AK9" s="38">
        <f aca="true" t="shared" si="4" ref="AK9:AK15">AD9+W9+P9+I9</f>
        <v>15503</v>
      </c>
      <c r="AL9" s="38">
        <f aca="true" t="shared" si="5" ref="AL9:AL57">AE9+X9+Q9+J9</f>
        <v>24660</v>
      </c>
      <c r="AM9" s="38"/>
      <c r="AN9" s="38"/>
      <c r="AO9" s="38"/>
      <c r="AP9" s="38"/>
      <c r="AQ9" s="38"/>
      <c r="AR9" s="38"/>
      <c r="AS9" s="38"/>
      <c r="AT9" s="36"/>
      <c r="AU9" s="36"/>
      <c r="AV9" s="36"/>
      <c r="AW9" s="36"/>
      <c r="AX9" s="36"/>
      <c r="AY9" s="36"/>
      <c r="AZ9" s="36"/>
      <c r="BA9" s="36"/>
      <c r="BB9" s="36"/>
      <c r="BC9" s="36">
        <f>AO9+AV9</f>
        <v>0</v>
      </c>
      <c r="BD9" s="36">
        <f aca="true" t="shared" si="6" ref="BD9:BD57">AP9+AW9</f>
        <v>0</v>
      </c>
      <c r="BE9" s="36"/>
      <c r="BF9" s="36">
        <f aca="true" t="shared" si="7" ref="BF9:BF14">AR9+AY9</f>
        <v>0</v>
      </c>
      <c r="BG9" s="36">
        <f aca="true" t="shared" si="8" ref="BG9:BG57">AS9+AZ9</f>
        <v>0</v>
      </c>
      <c r="BH9" s="35"/>
      <c r="BI9" s="35"/>
      <c r="BJ9" s="35">
        <f>AH9+BC9</f>
        <v>26726</v>
      </c>
      <c r="BK9" s="35">
        <f aca="true" t="shared" si="9" ref="BK9:BK57">AI9+BD9</f>
        <v>26815</v>
      </c>
      <c r="BL9" s="35"/>
      <c r="BM9" s="35">
        <f>AK9+BF9</f>
        <v>15503</v>
      </c>
      <c r="BN9" s="35">
        <f aca="true" t="shared" si="10" ref="BN9:BN55">AL9+BG9</f>
        <v>24660</v>
      </c>
      <c r="BO9" s="130">
        <f aca="true" t="shared" si="11" ref="BO9:BO57">BN9/BK9</f>
        <v>0.9196345329106843</v>
      </c>
    </row>
    <row r="10" spans="1:67" ht="15">
      <c r="A10" s="13">
        <v>5</v>
      </c>
      <c r="B10" s="37"/>
      <c r="C10" s="34" t="s">
        <v>636</v>
      </c>
      <c r="D10" s="38"/>
      <c r="E10" s="38"/>
      <c r="F10" s="38"/>
      <c r="G10" s="38"/>
      <c r="H10" s="38"/>
      <c r="I10" s="38"/>
      <c r="J10" s="38"/>
      <c r="K10" s="39"/>
      <c r="L10" s="39"/>
      <c r="M10" s="39"/>
      <c r="N10" s="39"/>
      <c r="O10" s="39"/>
      <c r="P10" s="39"/>
      <c r="Q10" s="197"/>
      <c r="R10" s="38"/>
      <c r="S10" s="38"/>
      <c r="T10" s="38"/>
      <c r="U10" s="38"/>
      <c r="V10" s="38"/>
      <c r="W10" s="38"/>
      <c r="X10" s="193"/>
      <c r="Y10" s="38"/>
      <c r="Z10" s="38"/>
      <c r="AA10" s="38">
        <v>10105</v>
      </c>
      <c r="AB10" s="38">
        <v>10598</v>
      </c>
      <c r="AC10" s="38"/>
      <c r="AD10" s="38">
        <f>6067+50-657+1</f>
        <v>5461</v>
      </c>
      <c r="AE10" s="38">
        <v>9565</v>
      </c>
      <c r="AF10" s="38"/>
      <c r="AG10" s="38"/>
      <c r="AH10" s="38">
        <f>AA10+T10+M10+F10</f>
        <v>10105</v>
      </c>
      <c r="AI10" s="38">
        <f t="shared" si="3"/>
        <v>10598</v>
      </c>
      <c r="AJ10" s="38"/>
      <c r="AK10" s="38">
        <f t="shared" si="4"/>
        <v>5461</v>
      </c>
      <c r="AL10" s="38">
        <f t="shared" si="5"/>
        <v>9565</v>
      </c>
      <c r="AM10" s="38"/>
      <c r="AN10" s="38"/>
      <c r="AO10" s="38"/>
      <c r="AP10" s="38"/>
      <c r="AQ10" s="38"/>
      <c r="AR10" s="38"/>
      <c r="AS10" s="38"/>
      <c r="AT10" s="36"/>
      <c r="AU10" s="36"/>
      <c r="AV10" s="36"/>
      <c r="AW10" s="36"/>
      <c r="AX10" s="36"/>
      <c r="AY10" s="36"/>
      <c r="AZ10" s="36"/>
      <c r="BA10" s="36"/>
      <c r="BB10" s="36"/>
      <c r="BC10" s="36">
        <f>AO10+AV10</f>
        <v>0</v>
      </c>
      <c r="BD10" s="36">
        <f t="shared" si="6"/>
        <v>0</v>
      </c>
      <c r="BE10" s="36"/>
      <c r="BF10" s="36">
        <f t="shared" si="7"/>
        <v>0</v>
      </c>
      <c r="BG10" s="36">
        <f t="shared" si="8"/>
        <v>0</v>
      </c>
      <c r="BH10" s="35"/>
      <c r="BI10" s="35"/>
      <c r="BJ10" s="35">
        <f>AH10+BC10</f>
        <v>10105</v>
      </c>
      <c r="BK10" s="35">
        <f t="shared" si="9"/>
        <v>10598</v>
      </c>
      <c r="BL10" s="35"/>
      <c r="BM10" s="35">
        <f>AK10+BF10</f>
        <v>5461</v>
      </c>
      <c r="BN10" s="35">
        <f t="shared" si="10"/>
        <v>9565</v>
      </c>
      <c r="BO10" s="130">
        <f t="shared" si="11"/>
        <v>0.9025287790149085</v>
      </c>
    </row>
    <row r="11" spans="1:67" ht="15">
      <c r="A11" s="13">
        <v>6</v>
      </c>
      <c r="B11" s="37">
        <v>680001</v>
      </c>
      <c r="C11" s="34" t="s">
        <v>168</v>
      </c>
      <c r="D11" s="38"/>
      <c r="E11" s="38"/>
      <c r="F11" s="38"/>
      <c r="G11" s="38"/>
      <c r="H11" s="38"/>
      <c r="I11" s="38"/>
      <c r="J11" s="38"/>
      <c r="K11" s="39"/>
      <c r="L11" s="39"/>
      <c r="M11" s="39"/>
      <c r="N11" s="39"/>
      <c r="O11" s="39"/>
      <c r="P11" s="39"/>
      <c r="Q11" s="197"/>
      <c r="R11" s="38"/>
      <c r="S11" s="38"/>
      <c r="T11" s="38">
        <v>120</v>
      </c>
      <c r="U11" s="38">
        <v>120</v>
      </c>
      <c r="V11" s="38"/>
      <c r="W11" s="38">
        <v>100</v>
      </c>
      <c r="X11" s="193">
        <v>130</v>
      </c>
      <c r="Y11" s="38"/>
      <c r="Z11" s="38"/>
      <c r="AA11" s="38"/>
      <c r="AB11" s="38"/>
      <c r="AC11" s="38"/>
      <c r="AD11" s="38"/>
      <c r="AE11" s="38"/>
      <c r="AF11" s="38"/>
      <c r="AG11" s="38"/>
      <c r="AH11" s="38">
        <f>AA11+T11+M11+F11</f>
        <v>120</v>
      </c>
      <c r="AI11" s="38">
        <f t="shared" si="3"/>
        <v>120</v>
      </c>
      <c r="AJ11" s="38"/>
      <c r="AK11" s="38">
        <f t="shared" si="4"/>
        <v>100</v>
      </c>
      <c r="AL11" s="38">
        <f t="shared" si="5"/>
        <v>130</v>
      </c>
      <c r="AM11" s="38"/>
      <c r="AN11" s="38"/>
      <c r="AO11" s="38"/>
      <c r="AP11" s="38"/>
      <c r="AQ11" s="38"/>
      <c r="AR11" s="38"/>
      <c r="AS11" s="38"/>
      <c r="AT11" s="36"/>
      <c r="AU11" s="36"/>
      <c r="AV11" s="36">
        <v>1949</v>
      </c>
      <c r="AW11" s="36">
        <v>2186</v>
      </c>
      <c r="AX11" s="36"/>
      <c r="AY11" s="36">
        <v>993</v>
      </c>
      <c r="AZ11" s="36">
        <v>1631</v>
      </c>
      <c r="BA11" s="36"/>
      <c r="BB11" s="36"/>
      <c r="BC11" s="36">
        <f>AO11+AV11</f>
        <v>1949</v>
      </c>
      <c r="BD11" s="36">
        <f t="shared" si="6"/>
        <v>2186</v>
      </c>
      <c r="BE11" s="36"/>
      <c r="BF11" s="36">
        <f t="shared" si="7"/>
        <v>993</v>
      </c>
      <c r="BG11" s="36">
        <f t="shared" si="8"/>
        <v>1631</v>
      </c>
      <c r="BH11" s="35"/>
      <c r="BI11" s="35"/>
      <c r="BJ11" s="35">
        <f>AH11+BC11</f>
        <v>2069</v>
      </c>
      <c r="BK11" s="35">
        <f t="shared" si="9"/>
        <v>2306</v>
      </c>
      <c r="BL11" s="35"/>
      <c r="BM11" s="35">
        <f>AK11+BF11</f>
        <v>1093</v>
      </c>
      <c r="BN11" s="35">
        <f t="shared" si="10"/>
        <v>1761</v>
      </c>
      <c r="BO11" s="130">
        <f t="shared" si="11"/>
        <v>0.7636600173460538</v>
      </c>
    </row>
    <row r="12" spans="1:67" ht="15">
      <c r="A12" s="13">
        <v>7</v>
      </c>
      <c r="B12" s="37">
        <v>841413</v>
      </c>
      <c r="C12" s="34" t="s">
        <v>174</v>
      </c>
      <c r="D12" s="38"/>
      <c r="E12" s="38"/>
      <c r="F12" s="38">
        <v>48</v>
      </c>
      <c r="G12" s="38">
        <v>48</v>
      </c>
      <c r="H12" s="38"/>
      <c r="I12" s="38">
        <v>20</v>
      </c>
      <c r="J12" s="38">
        <v>20</v>
      </c>
      <c r="K12" s="39"/>
      <c r="L12" s="39"/>
      <c r="M12" s="39"/>
      <c r="N12" s="39"/>
      <c r="O12" s="39"/>
      <c r="P12" s="39"/>
      <c r="Q12" s="197"/>
      <c r="R12" s="38"/>
      <c r="S12" s="38"/>
      <c r="T12" s="38">
        <v>4947</v>
      </c>
      <c r="U12" s="38">
        <v>7031</v>
      </c>
      <c r="V12" s="38"/>
      <c r="W12" s="38">
        <v>1748</v>
      </c>
      <c r="X12" s="193">
        <v>4996</v>
      </c>
      <c r="Y12" s="38"/>
      <c r="Z12" s="38"/>
      <c r="AA12" s="38"/>
      <c r="AB12" s="38"/>
      <c r="AC12" s="38"/>
      <c r="AD12" s="38"/>
      <c r="AE12" s="38"/>
      <c r="AF12" s="38"/>
      <c r="AG12" s="38"/>
      <c r="AH12" s="38">
        <f>AA12+T12+M12+F12</f>
        <v>4995</v>
      </c>
      <c r="AI12" s="38">
        <f t="shared" si="3"/>
        <v>7079</v>
      </c>
      <c r="AJ12" s="38"/>
      <c r="AK12" s="38">
        <f t="shared" si="4"/>
        <v>1768</v>
      </c>
      <c r="AL12" s="38">
        <f t="shared" si="5"/>
        <v>5016</v>
      </c>
      <c r="AM12" s="38"/>
      <c r="AN12" s="38"/>
      <c r="AO12" s="38">
        <v>5346</v>
      </c>
      <c r="AP12" s="38">
        <v>5346</v>
      </c>
      <c r="AQ12" s="38"/>
      <c r="AR12" s="38">
        <v>0</v>
      </c>
      <c r="AS12" s="38">
        <v>1843</v>
      </c>
      <c r="AT12" s="36"/>
      <c r="AU12" s="36"/>
      <c r="AV12" s="36">
        <v>98777</v>
      </c>
      <c r="AW12" s="36">
        <v>100130</v>
      </c>
      <c r="AX12" s="36"/>
      <c r="AY12" s="36">
        <v>63703</v>
      </c>
      <c r="AZ12" s="36">
        <v>75016</v>
      </c>
      <c r="BA12" s="36"/>
      <c r="BB12" s="36"/>
      <c r="BC12" s="36">
        <f>AO12+AV12</f>
        <v>104123</v>
      </c>
      <c r="BD12" s="36">
        <f t="shared" si="6"/>
        <v>105476</v>
      </c>
      <c r="BE12" s="36"/>
      <c r="BF12" s="36">
        <f t="shared" si="7"/>
        <v>63703</v>
      </c>
      <c r="BG12" s="36">
        <f t="shared" si="8"/>
        <v>76859</v>
      </c>
      <c r="BH12" s="35"/>
      <c r="BI12" s="35"/>
      <c r="BJ12" s="35">
        <f>AH12+BC12</f>
        <v>109118</v>
      </c>
      <c r="BK12" s="35">
        <f t="shared" si="9"/>
        <v>112555</v>
      </c>
      <c r="BL12" s="35"/>
      <c r="BM12" s="35">
        <f>AK12+BF12</f>
        <v>65471</v>
      </c>
      <c r="BN12" s="35">
        <f t="shared" si="10"/>
        <v>81875</v>
      </c>
      <c r="BO12" s="130">
        <f t="shared" si="11"/>
        <v>0.7274221491715162</v>
      </c>
    </row>
    <row r="13" spans="1:67" ht="15">
      <c r="A13" s="13">
        <v>8</v>
      </c>
      <c r="B13" s="37"/>
      <c r="C13" s="34" t="s">
        <v>632</v>
      </c>
      <c r="D13" s="38"/>
      <c r="E13" s="38"/>
      <c r="F13" s="38"/>
      <c r="G13" s="38"/>
      <c r="H13" s="38"/>
      <c r="I13" s="38"/>
      <c r="J13" s="38"/>
      <c r="K13" s="39"/>
      <c r="L13" s="39"/>
      <c r="M13" s="39"/>
      <c r="N13" s="39"/>
      <c r="O13" s="39"/>
      <c r="P13" s="39"/>
      <c r="Q13" s="197"/>
      <c r="R13" s="38"/>
      <c r="S13" s="38"/>
      <c r="T13" s="38"/>
      <c r="U13" s="38"/>
      <c r="V13" s="38"/>
      <c r="W13" s="38"/>
      <c r="X13" s="193"/>
      <c r="Y13" s="38"/>
      <c r="Z13" s="38">
        <f>866+3562</f>
        <v>4428</v>
      </c>
      <c r="AA13" s="38">
        <f>430+915+356+80+3562</f>
        <v>5343</v>
      </c>
      <c r="AB13" s="38">
        <f>540+915+10590+3562</f>
        <v>15607</v>
      </c>
      <c r="AC13" s="38">
        <f>3562+786</f>
        <v>4348</v>
      </c>
      <c r="AD13" s="38">
        <f>430+914+355+3562</f>
        <v>5261</v>
      </c>
      <c r="AE13" s="38">
        <f>540+914+10449+3562</f>
        <v>15465</v>
      </c>
      <c r="AF13" s="38">
        <f>Y13+R13+K13+D13</f>
        <v>0</v>
      </c>
      <c r="AG13" s="38">
        <f>Z13+S13+L13+E13</f>
        <v>4428</v>
      </c>
      <c r="AH13" s="38">
        <f aca="true" t="shared" si="12" ref="AH13:AH54">AA13+T13+M13+F13</f>
        <v>5343</v>
      </c>
      <c r="AI13" s="38">
        <f t="shared" si="3"/>
        <v>15607</v>
      </c>
      <c r="AJ13" s="38">
        <f>AC13+V13+O13+H13</f>
        <v>4348</v>
      </c>
      <c r="AK13" s="38">
        <f t="shared" si="4"/>
        <v>5261</v>
      </c>
      <c r="AL13" s="38">
        <f t="shared" si="5"/>
        <v>15465</v>
      </c>
      <c r="AM13" s="38"/>
      <c r="AN13" s="38"/>
      <c r="AO13" s="38"/>
      <c r="AP13" s="38"/>
      <c r="AQ13" s="38"/>
      <c r="AR13" s="38"/>
      <c r="AS13" s="38"/>
      <c r="AT13" s="36"/>
      <c r="AU13" s="36"/>
      <c r="AV13" s="36"/>
      <c r="AW13" s="36"/>
      <c r="AX13" s="36"/>
      <c r="AY13" s="36"/>
      <c r="AZ13" s="36"/>
      <c r="BA13" s="36"/>
      <c r="BB13" s="36"/>
      <c r="BC13" s="36">
        <f aca="true" t="shared" si="13" ref="BC13:BC54">AO13+AV13</f>
        <v>0</v>
      </c>
      <c r="BD13" s="36">
        <f t="shared" si="6"/>
        <v>0</v>
      </c>
      <c r="BE13" s="36">
        <f>AQ13+AX13</f>
        <v>0</v>
      </c>
      <c r="BF13" s="36">
        <f t="shared" si="7"/>
        <v>0</v>
      </c>
      <c r="BG13" s="36">
        <f t="shared" si="8"/>
        <v>0</v>
      </c>
      <c r="BH13" s="35">
        <f aca="true" t="shared" si="14" ref="BH13:BI15">AF13+BA13</f>
        <v>0</v>
      </c>
      <c r="BI13" s="35">
        <f t="shared" si="14"/>
        <v>4428</v>
      </c>
      <c r="BJ13" s="35">
        <f aca="true" t="shared" si="15" ref="BJ13:BJ54">AH13+BC13</f>
        <v>5343</v>
      </c>
      <c r="BK13" s="35">
        <f t="shared" si="9"/>
        <v>15607</v>
      </c>
      <c r="BL13" s="35">
        <f>AJ13+BE13</f>
        <v>4348</v>
      </c>
      <c r="BM13" s="35">
        <f aca="true" t="shared" si="16" ref="BM13:BM54">AK13+BF13</f>
        <v>5261</v>
      </c>
      <c r="BN13" s="35">
        <f t="shared" si="10"/>
        <v>15465</v>
      </c>
      <c r="BO13" s="130">
        <f t="shared" si="11"/>
        <v>0.9909015185493689</v>
      </c>
    </row>
    <row r="14" spans="1:67" ht="15">
      <c r="A14" s="13">
        <v>9</v>
      </c>
      <c r="B14" s="37"/>
      <c r="C14" s="34" t="s">
        <v>582</v>
      </c>
      <c r="D14" s="38"/>
      <c r="E14" s="38"/>
      <c r="F14" s="38"/>
      <c r="G14" s="38"/>
      <c r="H14" s="38"/>
      <c r="I14" s="38"/>
      <c r="J14" s="38"/>
      <c r="K14" s="39"/>
      <c r="L14" s="39"/>
      <c r="M14" s="39"/>
      <c r="N14" s="39"/>
      <c r="O14" s="39"/>
      <c r="P14" s="39"/>
      <c r="Q14" s="197"/>
      <c r="R14" s="38"/>
      <c r="S14" s="38"/>
      <c r="T14" s="38"/>
      <c r="U14" s="38"/>
      <c r="V14" s="38"/>
      <c r="W14" s="38"/>
      <c r="X14" s="193"/>
      <c r="Y14" s="38"/>
      <c r="Z14" s="38">
        <v>10000</v>
      </c>
      <c r="AA14" s="38">
        <v>10000</v>
      </c>
      <c r="AB14" s="38">
        <v>10000</v>
      </c>
      <c r="AC14" s="38">
        <v>10000</v>
      </c>
      <c r="AD14" s="38"/>
      <c r="AE14" s="38"/>
      <c r="AF14" s="38">
        <f>Y14+R14+K14+D14</f>
        <v>0</v>
      </c>
      <c r="AG14" s="38">
        <f>Z14+S14+L14+E14</f>
        <v>10000</v>
      </c>
      <c r="AH14" s="38">
        <f t="shared" si="12"/>
        <v>10000</v>
      </c>
      <c r="AI14" s="38">
        <f t="shared" si="3"/>
        <v>10000</v>
      </c>
      <c r="AJ14" s="38">
        <f>AC14+V14+O14+H14</f>
        <v>10000</v>
      </c>
      <c r="AK14" s="38">
        <f t="shared" si="4"/>
        <v>0</v>
      </c>
      <c r="AL14" s="38">
        <f t="shared" si="5"/>
        <v>0</v>
      </c>
      <c r="AM14" s="38"/>
      <c r="AN14" s="38"/>
      <c r="AO14" s="38"/>
      <c r="AP14" s="38"/>
      <c r="AQ14" s="38"/>
      <c r="AR14" s="38"/>
      <c r="AS14" s="38"/>
      <c r="AT14" s="36"/>
      <c r="AU14" s="36"/>
      <c r="AV14" s="36"/>
      <c r="AW14" s="36"/>
      <c r="AX14" s="36"/>
      <c r="AY14" s="36"/>
      <c r="AZ14" s="36"/>
      <c r="BA14" s="36"/>
      <c r="BB14" s="36"/>
      <c r="BC14" s="36">
        <f t="shared" si="13"/>
        <v>0</v>
      </c>
      <c r="BD14" s="36">
        <f t="shared" si="6"/>
        <v>0</v>
      </c>
      <c r="BE14" s="36"/>
      <c r="BF14" s="36">
        <f t="shared" si="7"/>
        <v>0</v>
      </c>
      <c r="BG14" s="36">
        <f t="shared" si="8"/>
        <v>0</v>
      </c>
      <c r="BH14" s="35">
        <f t="shared" si="14"/>
        <v>0</v>
      </c>
      <c r="BI14" s="35">
        <f t="shared" si="14"/>
        <v>10000</v>
      </c>
      <c r="BJ14" s="35">
        <f t="shared" si="15"/>
        <v>10000</v>
      </c>
      <c r="BK14" s="35">
        <f t="shared" si="9"/>
        <v>10000</v>
      </c>
      <c r="BL14" s="35">
        <f>AJ14+BE14</f>
        <v>10000</v>
      </c>
      <c r="BM14" s="35">
        <f t="shared" si="16"/>
        <v>0</v>
      </c>
      <c r="BN14" s="35">
        <f t="shared" si="10"/>
        <v>0</v>
      </c>
      <c r="BO14" s="130">
        <f t="shared" si="11"/>
        <v>0</v>
      </c>
    </row>
    <row r="15" spans="1:67" ht="15">
      <c r="A15" s="13">
        <v>10</v>
      </c>
      <c r="B15" s="13"/>
      <c r="C15" s="34" t="s">
        <v>165</v>
      </c>
      <c r="D15" s="38">
        <f aca="true" t="shared" si="17" ref="D15:AE15">SUM(D8:D14)</f>
        <v>6658</v>
      </c>
      <c r="E15" s="38">
        <f t="shared" si="17"/>
        <v>6838</v>
      </c>
      <c r="F15" s="38">
        <f t="shared" si="17"/>
        <v>6721</v>
      </c>
      <c r="G15" s="38">
        <f t="shared" si="17"/>
        <v>6604</v>
      </c>
      <c r="H15" s="38">
        <f t="shared" si="17"/>
        <v>2362</v>
      </c>
      <c r="I15" s="38">
        <f t="shared" si="17"/>
        <v>3561</v>
      </c>
      <c r="J15" s="38">
        <f t="shared" si="17"/>
        <v>4899</v>
      </c>
      <c r="K15" s="38">
        <f t="shared" si="17"/>
        <v>1798</v>
      </c>
      <c r="L15" s="38">
        <f t="shared" si="17"/>
        <v>1841</v>
      </c>
      <c r="M15" s="38">
        <f t="shared" si="17"/>
        <v>1834</v>
      </c>
      <c r="N15" s="38">
        <f t="shared" si="17"/>
        <v>1802</v>
      </c>
      <c r="O15" s="38">
        <f t="shared" si="17"/>
        <v>630</v>
      </c>
      <c r="P15" s="38">
        <f t="shared" si="17"/>
        <v>932</v>
      </c>
      <c r="Q15" s="38">
        <f t="shared" si="17"/>
        <v>1278</v>
      </c>
      <c r="R15" s="38">
        <f t="shared" si="17"/>
        <v>8102</v>
      </c>
      <c r="S15" s="38">
        <f t="shared" si="17"/>
        <v>8477</v>
      </c>
      <c r="T15" s="38">
        <f t="shared" si="17"/>
        <v>9663</v>
      </c>
      <c r="U15" s="38">
        <f t="shared" si="17"/>
        <v>11747</v>
      </c>
      <c r="V15" s="38">
        <f t="shared" si="17"/>
        <v>2948</v>
      </c>
      <c r="W15" s="38">
        <f t="shared" si="17"/>
        <v>5152</v>
      </c>
      <c r="X15" s="38">
        <f t="shared" si="17"/>
        <v>7908</v>
      </c>
      <c r="Y15" s="38">
        <f t="shared" si="17"/>
        <v>36981</v>
      </c>
      <c r="Z15" s="38">
        <f t="shared" si="17"/>
        <v>53072</v>
      </c>
      <c r="AA15" s="38">
        <f t="shared" si="17"/>
        <v>52174</v>
      </c>
      <c r="AB15" s="38">
        <f t="shared" si="17"/>
        <v>63020</v>
      </c>
      <c r="AC15" s="38">
        <f t="shared" si="17"/>
        <v>31580</v>
      </c>
      <c r="AD15" s="38">
        <f t="shared" si="17"/>
        <v>26225</v>
      </c>
      <c r="AE15" s="38">
        <f t="shared" si="17"/>
        <v>49690</v>
      </c>
      <c r="AF15" s="38">
        <f aca="true" t="shared" si="18" ref="AF15:AF55">Y15+R15+K15+D15</f>
        <v>53539</v>
      </c>
      <c r="AG15" s="38">
        <f>Z15+S15+L15+E15</f>
        <v>70228</v>
      </c>
      <c r="AH15" s="38">
        <f>AA15+T15+M15+F15</f>
        <v>70392</v>
      </c>
      <c r="AI15" s="38">
        <f>AB15+U15+N15+G15</f>
        <v>83173</v>
      </c>
      <c r="AJ15" s="38">
        <f>AC15+V15+O15+H15</f>
        <v>37520</v>
      </c>
      <c r="AK15" s="38">
        <f t="shared" si="4"/>
        <v>35870</v>
      </c>
      <c r="AL15" s="38">
        <f t="shared" si="5"/>
        <v>63775</v>
      </c>
      <c r="AM15" s="38">
        <f aca="true" t="shared" si="19" ref="AM15:AZ15">SUM(AM8:AM14)</f>
        <v>5946</v>
      </c>
      <c r="AN15" s="38">
        <f t="shared" si="19"/>
        <v>5946</v>
      </c>
      <c r="AO15" s="38">
        <f t="shared" si="19"/>
        <v>5946</v>
      </c>
      <c r="AP15" s="38">
        <f t="shared" si="19"/>
        <v>5946</v>
      </c>
      <c r="AQ15" s="38">
        <f t="shared" si="19"/>
        <v>0</v>
      </c>
      <c r="AR15" s="38">
        <f t="shared" si="19"/>
        <v>0</v>
      </c>
      <c r="AS15" s="38">
        <f t="shared" si="19"/>
        <v>2143</v>
      </c>
      <c r="AT15" s="38">
        <f t="shared" si="19"/>
        <v>40006</v>
      </c>
      <c r="AU15" s="38">
        <f t="shared" si="19"/>
        <v>89442</v>
      </c>
      <c r="AV15" s="38">
        <f t="shared" si="19"/>
        <v>103323</v>
      </c>
      <c r="AW15" s="38">
        <f t="shared" si="19"/>
        <v>104913</v>
      </c>
      <c r="AX15" s="38">
        <f t="shared" si="19"/>
        <v>13972</v>
      </c>
      <c r="AY15" s="38">
        <f t="shared" si="19"/>
        <v>67286</v>
      </c>
      <c r="AZ15" s="38">
        <f t="shared" si="19"/>
        <v>79237</v>
      </c>
      <c r="BA15" s="36">
        <f aca="true" t="shared" si="20" ref="BA15:BA55">AM15+AT15</f>
        <v>45952</v>
      </c>
      <c r="BB15" s="36">
        <f aca="true" t="shared" si="21" ref="BB15:BB55">AN15+AU15</f>
        <v>95388</v>
      </c>
      <c r="BC15" s="36">
        <f>AO15+AV15</f>
        <v>109269</v>
      </c>
      <c r="BD15" s="36">
        <f t="shared" si="6"/>
        <v>110859</v>
      </c>
      <c r="BE15" s="36">
        <f>AQ15+AX15</f>
        <v>13972</v>
      </c>
      <c r="BF15" s="36">
        <f>AR15+AY15</f>
        <v>67286</v>
      </c>
      <c r="BG15" s="36">
        <f t="shared" si="8"/>
        <v>81380</v>
      </c>
      <c r="BH15" s="35">
        <f t="shared" si="14"/>
        <v>99491</v>
      </c>
      <c r="BI15" s="35">
        <f t="shared" si="14"/>
        <v>165616</v>
      </c>
      <c r="BJ15" s="35">
        <f>AH15+BC15</f>
        <v>179661</v>
      </c>
      <c r="BK15" s="35">
        <f t="shared" si="9"/>
        <v>194032</v>
      </c>
      <c r="BL15" s="35">
        <f>AJ15+BE15</f>
        <v>51492</v>
      </c>
      <c r="BM15" s="35">
        <f>AK15+BF15</f>
        <v>103156</v>
      </c>
      <c r="BN15" s="35">
        <f t="shared" si="10"/>
        <v>145155</v>
      </c>
      <c r="BO15" s="130">
        <f t="shared" si="11"/>
        <v>0.7480982518347489</v>
      </c>
    </row>
    <row r="16" spans="1:68" ht="15">
      <c r="A16" s="13">
        <v>11</v>
      </c>
      <c r="B16" s="13"/>
      <c r="C16" s="34"/>
      <c r="D16" s="38"/>
      <c r="E16" s="38"/>
      <c r="F16" s="38"/>
      <c r="G16" s="38"/>
      <c r="H16" s="38"/>
      <c r="I16" s="38"/>
      <c r="J16" s="193"/>
      <c r="K16" s="38"/>
      <c r="L16" s="38"/>
      <c r="M16" s="38"/>
      <c r="N16" s="38"/>
      <c r="O16" s="38"/>
      <c r="P16" s="38"/>
      <c r="Q16" s="193"/>
      <c r="R16" s="38"/>
      <c r="S16" s="38"/>
      <c r="T16" s="38"/>
      <c r="U16" s="38"/>
      <c r="V16" s="38"/>
      <c r="W16" s="38"/>
      <c r="X16" s="193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>
        <f t="shared" si="3"/>
        <v>0</v>
      </c>
      <c r="AJ16" s="38"/>
      <c r="AK16" s="38"/>
      <c r="AL16" s="38">
        <f t="shared" si="5"/>
        <v>0</v>
      </c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6"/>
      <c r="BB16" s="36"/>
      <c r="BC16" s="36"/>
      <c r="BD16" s="36">
        <f t="shared" si="6"/>
        <v>0</v>
      </c>
      <c r="BE16" s="36"/>
      <c r="BF16" s="36"/>
      <c r="BG16" s="198">
        <f t="shared" si="8"/>
        <v>0</v>
      </c>
      <c r="BH16" s="35"/>
      <c r="BI16" s="35"/>
      <c r="BJ16" s="35"/>
      <c r="BK16" s="35">
        <v>194032</v>
      </c>
      <c r="BL16" s="35"/>
      <c r="BM16" s="35"/>
      <c r="BN16" s="35">
        <v>145155</v>
      </c>
      <c r="BO16" s="130">
        <f t="shared" si="11"/>
        <v>0.7480982518347489</v>
      </c>
      <c r="BP16" s="41">
        <f>BN16-BN15</f>
        <v>0</v>
      </c>
    </row>
    <row r="17" spans="1:67" ht="15">
      <c r="A17" s="13">
        <v>12</v>
      </c>
      <c r="B17" s="37">
        <v>851111</v>
      </c>
      <c r="C17" s="34" t="s">
        <v>166</v>
      </c>
      <c r="D17" s="38">
        <v>18880</v>
      </c>
      <c r="E17" s="38">
        <v>18990</v>
      </c>
      <c r="F17" s="38">
        <v>19104</v>
      </c>
      <c r="G17" s="38">
        <v>23480</v>
      </c>
      <c r="H17" s="38">
        <v>9142</v>
      </c>
      <c r="I17" s="38">
        <v>13779</v>
      </c>
      <c r="J17" s="193">
        <v>21999</v>
      </c>
      <c r="K17" s="39">
        <v>5144</v>
      </c>
      <c r="L17" s="39">
        <v>5173</v>
      </c>
      <c r="M17" s="39">
        <v>5202</v>
      </c>
      <c r="N17" s="39">
        <v>6394</v>
      </c>
      <c r="O17" s="39">
        <v>2556</v>
      </c>
      <c r="P17" s="39">
        <v>3830</v>
      </c>
      <c r="Q17" s="197">
        <v>6064</v>
      </c>
      <c r="R17" s="38">
        <v>2824</v>
      </c>
      <c r="S17" s="38">
        <v>3911</v>
      </c>
      <c r="T17" s="38">
        <v>2792</v>
      </c>
      <c r="U17" s="38">
        <v>3080</v>
      </c>
      <c r="V17" s="38">
        <v>944</v>
      </c>
      <c r="W17" s="38">
        <v>1490</v>
      </c>
      <c r="X17" s="193">
        <v>2774</v>
      </c>
      <c r="Y17" s="38"/>
      <c r="Z17" s="38"/>
      <c r="AA17" s="38"/>
      <c r="AB17" s="38"/>
      <c r="AC17" s="38"/>
      <c r="AD17" s="38"/>
      <c r="AE17" s="38"/>
      <c r="AF17" s="38">
        <f t="shared" si="18"/>
        <v>26848</v>
      </c>
      <c r="AG17" s="38">
        <f>Z17+S17+L17+E17</f>
        <v>28074</v>
      </c>
      <c r="AH17" s="38">
        <f>AA17+T17+M17+F17</f>
        <v>27098</v>
      </c>
      <c r="AI17" s="38">
        <f t="shared" si="3"/>
        <v>32954</v>
      </c>
      <c r="AJ17" s="38">
        <f aca="true" t="shared" si="22" ref="AJ17:AJ55">AC17+V17+O17+H17</f>
        <v>12642</v>
      </c>
      <c r="AK17" s="38">
        <f aca="true" t="shared" si="23" ref="AK17:AK55">AD17+W17+P17+I17</f>
        <v>19099</v>
      </c>
      <c r="AL17" s="38">
        <f t="shared" si="5"/>
        <v>30837</v>
      </c>
      <c r="AM17" s="38"/>
      <c r="AN17" s="38"/>
      <c r="AO17" s="38"/>
      <c r="AP17" s="38"/>
      <c r="AQ17" s="38"/>
      <c r="AR17" s="38"/>
      <c r="AS17" s="38"/>
      <c r="AT17" s="36"/>
      <c r="AU17" s="36">
        <v>2000</v>
      </c>
      <c r="AV17" s="36">
        <v>2000</v>
      </c>
      <c r="AW17" s="36">
        <v>2004</v>
      </c>
      <c r="AX17" s="36">
        <v>0</v>
      </c>
      <c r="AY17" s="36">
        <v>1776</v>
      </c>
      <c r="AZ17" s="36">
        <v>2004</v>
      </c>
      <c r="BA17" s="36">
        <f t="shared" si="20"/>
        <v>0</v>
      </c>
      <c r="BB17" s="36">
        <f t="shared" si="21"/>
        <v>2000</v>
      </c>
      <c r="BC17" s="36">
        <f>AO17+AV17</f>
        <v>2000</v>
      </c>
      <c r="BD17" s="36">
        <f t="shared" si="6"/>
        <v>2004</v>
      </c>
      <c r="BE17" s="36">
        <f>AQ17+AX17</f>
        <v>0</v>
      </c>
      <c r="BF17" s="36">
        <f>AR17+AY17</f>
        <v>1776</v>
      </c>
      <c r="BG17" s="198">
        <f t="shared" si="8"/>
        <v>2004</v>
      </c>
      <c r="BH17" s="35">
        <f aca="true" t="shared" si="24" ref="BH17:BH55">AF17+BA17</f>
        <v>26848</v>
      </c>
      <c r="BI17" s="35">
        <f>AG17+BB17</f>
        <v>30074</v>
      </c>
      <c r="BJ17" s="35">
        <f>AH17+BC17</f>
        <v>29098</v>
      </c>
      <c r="BK17" s="35">
        <f t="shared" si="9"/>
        <v>34958</v>
      </c>
      <c r="BL17" s="35">
        <f>AJ17+BE17</f>
        <v>12642</v>
      </c>
      <c r="BM17" s="35">
        <f>AK17+BF17</f>
        <v>20875</v>
      </c>
      <c r="BN17" s="188">
        <f t="shared" si="10"/>
        <v>32841</v>
      </c>
      <c r="BO17" s="130">
        <f t="shared" si="11"/>
        <v>0.9394416156530694</v>
      </c>
    </row>
    <row r="18" spans="1:67" ht="15">
      <c r="A18" s="13">
        <v>13</v>
      </c>
      <c r="B18" s="13"/>
      <c r="C18" s="13"/>
      <c r="D18" s="13"/>
      <c r="E18" s="13"/>
      <c r="F18" s="13"/>
      <c r="G18" s="13"/>
      <c r="H18" s="13"/>
      <c r="I18" s="13"/>
      <c r="J18" s="194"/>
      <c r="K18" s="13"/>
      <c r="L18" s="13"/>
      <c r="M18" s="13"/>
      <c r="N18" s="13"/>
      <c r="O18" s="13"/>
      <c r="P18" s="13"/>
      <c r="Q18" s="194"/>
      <c r="R18" s="13"/>
      <c r="S18" s="13"/>
      <c r="T18" s="13"/>
      <c r="U18" s="152"/>
      <c r="V18" s="13"/>
      <c r="W18" s="13"/>
      <c r="X18" s="194"/>
      <c r="Y18" s="13"/>
      <c r="Z18" s="13"/>
      <c r="AA18" s="13"/>
      <c r="AB18" s="13"/>
      <c r="AC18" s="13"/>
      <c r="AD18" s="13"/>
      <c r="AE18" s="13"/>
      <c r="AF18" s="38">
        <f t="shared" si="18"/>
        <v>0</v>
      </c>
      <c r="AG18" s="38">
        <f aca="true" t="shared" si="25" ref="AG18:AG26">Z18+S18+L18+E18</f>
        <v>0</v>
      </c>
      <c r="AH18" s="38">
        <f t="shared" si="12"/>
        <v>0</v>
      </c>
      <c r="AI18" s="38">
        <f t="shared" si="3"/>
        <v>0</v>
      </c>
      <c r="AJ18" s="38">
        <f t="shared" si="22"/>
        <v>0</v>
      </c>
      <c r="AK18" s="38">
        <f t="shared" si="23"/>
        <v>0</v>
      </c>
      <c r="AL18" s="38">
        <f t="shared" si="5"/>
        <v>0</v>
      </c>
      <c r="AM18" s="38"/>
      <c r="AN18" s="38"/>
      <c r="AO18" s="38"/>
      <c r="AP18" s="38"/>
      <c r="AQ18" s="38"/>
      <c r="AR18" s="38"/>
      <c r="AS18" s="38"/>
      <c r="AT18" s="13"/>
      <c r="AU18" s="13"/>
      <c r="AV18" s="13"/>
      <c r="AW18" s="13"/>
      <c r="AX18" s="13"/>
      <c r="AY18" s="13"/>
      <c r="AZ18" s="13"/>
      <c r="BA18" s="36">
        <f t="shared" si="20"/>
        <v>0</v>
      </c>
      <c r="BB18" s="36">
        <f t="shared" si="21"/>
        <v>0</v>
      </c>
      <c r="BC18" s="36">
        <f t="shared" si="13"/>
        <v>0</v>
      </c>
      <c r="BD18" s="36">
        <f t="shared" si="6"/>
        <v>0</v>
      </c>
      <c r="BE18" s="36">
        <f>AQ18+AX18</f>
        <v>0</v>
      </c>
      <c r="BF18" s="36">
        <f aca="true" t="shared" si="26" ref="BF18:BF54">AR18+AY18</f>
        <v>0</v>
      </c>
      <c r="BG18" s="198">
        <f t="shared" si="8"/>
        <v>0</v>
      </c>
      <c r="BH18" s="35">
        <f t="shared" si="24"/>
        <v>0</v>
      </c>
      <c r="BI18" s="35">
        <f aca="true" t="shared" si="27" ref="BI18:BI55">AG18+BB18</f>
        <v>0</v>
      </c>
      <c r="BJ18" s="35">
        <f t="shared" si="15"/>
        <v>0</v>
      </c>
      <c r="BK18" s="35">
        <f t="shared" si="9"/>
        <v>0</v>
      </c>
      <c r="BL18" s="35">
        <f aca="true" t="shared" si="28" ref="BL18:BL55">AJ18+BE18</f>
        <v>0</v>
      </c>
      <c r="BM18" s="35">
        <f t="shared" si="16"/>
        <v>0</v>
      </c>
      <c r="BN18" s="188">
        <f t="shared" si="10"/>
        <v>0</v>
      </c>
      <c r="BO18" s="130" t="e">
        <f t="shared" si="11"/>
        <v>#DIV/0!</v>
      </c>
    </row>
    <row r="19" spans="1:67" ht="15">
      <c r="A19" s="13">
        <v>14</v>
      </c>
      <c r="B19" s="13"/>
      <c r="C19" s="34" t="s">
        <v>47</v>
      </c>
      <c r="D19" s="24"/>
      <c r="E19" s="24"/>
      <c r="F19" s="24"/>
      <c r="G19" s="24"/>
      <c r="H19" s="24"/>
      <c r="I19" s="24"/>
      <c r="J19" s="174"/>
      <c r="K19" s="24"/>
      <c r="L19" s="24"/>
      <c r="M19" s="24"/>
      <c r="N19" s="24"/>
      <c r="O19" s="24"/>
      <c r="P19" s="24"/>
      <c r="Q19" s="174"/>
      <c r="R19" s="24"/>
      <c r="S19" s="24"/>
      <c r="T19" s="24"/>
      <c r="U19" s="24"/>
      <c r="V19" s="24"/>
      <c r="W19" s="24"/>
      <c r="X19" s="174"/>
      <c r="Y19" s="24"/>
      <c r="Z19" s="24"/>
      <c r="AA19" s="24"/>
      <c r="AB19" s="24"/>
      <c r="AC19" s="24"/>
      <c r="AD19" s="24"/>
      <c r="AE19" s="24"/>
      <c r="AF19" s="38">
        <f t="shared" si="18"/>
        <v>0</v>
      </c>
      <c r="AG19" s="38">
        <f t="shared" si="25"/>
        <v>0</v>
      </c>
      <c r="AH19" s="38">
        <f t="shared" si="12"/>
        <v>0</v>
      </c>
      <c r="AI19" s="38">
        <f t="shared" si="3"/>
        <v>0</v>
      </c>
      <c r="AJ19" s="38">
        <f t="shared" si="22"/>
        <v>0</v>
      </c>
      <c r="AK19" s="38">
        <f t="shared" si="23"/>
        <v>0</v>
      </c>
      <c r="AL19" s="38">
        <f t="shared" si="5"/>
        <v>0</v>
      </c>
      <c r="AM19" s="38"/>
      <c r="AN19" s="38"/>
      <c r="AO19" s="38"/>
      <c r="AP19" s="38"/>
      <c r="AQ19" s="38"/>
      <c r="AR19" s="38"/>
      <c r="AS19" s="38"/>
      <c r="AT19" s="24"/>
      <c r="AU19" s="24"/>
      <c r="AV19" s="24"/>
      <c r="AW19" s="24"/>
      <c r="AX19" s="24"/>
      <c r="AY19" s="24"/>
      <c r="AZ19" s="24"/>
      <c r="BA19" s="36">
        <f t="shared" si="20"/>
        <v>0</v>
      </c>
      <c r="BB19" s="36">
        <f t="shared" si="21"/>
        <v>0</v>
      </c>
      <c r="BC19" s="36">
        <f t="shared" si="13"/>
        <v>0</v>
      </c>
      <c r="BD19" s="36">
        <f t="shared" si="6"/>
        <v>0</v>
      </c>
      <c r="BE19" s="36">
        <f>AQ19+AX19</f>
        <v>0</v>
      </c>
      <c r="BF19" s="36">
        <f t="shared" si="26"/>
        <v>0</v>
      </c>
      <c r="BG19" s="198">
        <f t="shared" si="8"/>
        <v>0</v>
      </c>
      <c r="BH19" s="35">
        <f t="shared" si="24"/>
        <v>0</v>
      </c>
      <c r="BI19" s="35">
        <f t="shared" si="27"/>
        <v>0</v>
      </c>
      <c r="BJ19" s="35">
        <f t="shared" si="15"/>
        <v>0</v>
      </c>
      <c r="BK19" s="35">
        <f t="shared" si="9"/>
        <v>0</v>
      </c>
      <c r="BL19" s="35">
        <f t="shared" si="28"/>
        <v>0</v>
      </c>
      <c r="BM19" s="35">
        <f t="shared" si="16"/>
        <v>0</v>
      </c>
      <c r="BN19" s="188">
        <f t="shared" si="10"/>
        <v>0</v>
      </c>
      <c r="BO19" s="130" t="e">
        <f t="shared" si="11"/>
        <v>#DIV/0!</v>
      </c>
    </row>
    <row r="20" spans="1:67" ht="15">
      <c r="A20" s="13">
        <v>15</v>
      </c>
      <c r="B20" s="13"/>
      <c r="C20" s="13"/>
      <c r="D20" s="24"/>
      <c r="E20" s="24"/>
      <c r="F20" s="24"/>
      <c r="G20" s="24"/>
      <c r="H20" s="24"/>
      <c r="I20" s="24"/>
      <c r="J20" s="174"/>
      <c r="K20" s="24"/>
      <c r="L20" s="24"/>
      <c r="M20" s="24"/>
      <c r="N20" s="24"/>
      <c r="O20" s="24"/>
      <c r="P20" s="24"/>
      <c r="Q20" s="174"/>
      <c r="R20" s="24"/>
      <c r="S20" s="24"/>
      <c r="T20" s="24"/>
      <c r="U20" s="221"/>
      <c r="V20" s="24"/>
      <c r="W20" s="24"/>
      <c r="X20" s="174"/>
      <c r="Y20" s="24"/>
      <c r="Z20" s="24"/>
      <c r="AA20" s="24"/>
      <c r="AB20" s="24"/>
      <c r="AC20" s="24"/>
      <c r="AD20" s="24"/>
      <c r="AE20" s="24"/>
      <c r="AF20" s="38">
        <f t="shared" si="18"/>
        <v>0</v>
      </c>
      <c r="AG20" s="38">
        <f t="shared" si="25"/>
        <v>0</v>
      </c>
      <c r="AH20" s="38">
        <f t="shared" si="12"/>
        <v>0</v>
      </c>
      <c r="AI20" s="38">
        <f t="shared" si="3"/>
        <v>0</v>
      </c>
      <c r="AJ20" s="38">
        <f t="shared" si="22"/>
        <v>0</v>
      </c>
      <c r="AK20" s="38">
        <f t="shared" si="23"/>
        <v>0</v>
      </c>
      <c r="AL20" s="38">
        <f t="shared" si="5"/>
        <v>0</v>
      </c>
      <c r="AM20" s="38"/>
      <c r="AN20" s="38"/>
      <c r="AO20" s="38"/>
      <c r="AP20" s="38"/>
      <c r="AQ20" s="38"/>
      <c r="AR20" s="38"/>
      <c r="AS20" s="38"/>
      <c r="AT20" s="24"/>
      <c r="AU20" s="24"/>
      <c r="AV20" s="24"/>
      <c r="AW20" s="24"/>
      <c r="AX20" s="24"/>
      <c r="AY20" s="24"/>
      <c r="AZ20" s="24"/>
      <c r="BA20" s="36">
        <f t="shared" si="20"/>
        <v>0</v>
      </c>
      <c r="BB20" s="36">
        <f t="shared" si="21"/>
        <v>0</v>
      </c>
      <c r="BC20" s="36">
        <f t="shared" si="13"/>
        <v>0</v>
      </c>
      <c r="BD20" s="36">
        <f t="shared" si="6"/>
        <v>0</v>
      </c>
      <c r="BE20" s="36"/>
      <c r="BF20" s="36">
        <f t="shared" si="26"/>
        <v>0</v>
      </c>
      <c r="BG20" s="198">
        <f t="shared" si="8"/>
        <v>0</v>
      </c>
      <c r="BH20" s="35">
        <f t="shared" si="24"/>
        <v>0</v>
      </c>
      <c r="BI20" s="35">
        <f t="shared" si="27"/>
        <v>0</v>
      </c>
      <c r="BJ20" s="35">
        <f t="shared" si="15"/>
        <v>0</v>
      </c>
      <c r="BK20" s="35">
        <f t="shared" si="9"/>
        <v>0</v>
      </c>
      <c r="BL20" s="35">
        <f t="shared" si="28"/>
        <v>0</v>
      </c>
      <c r="BM20" s="35">
        <f t="shared" si="16"/>
        <v>0</v>
      </c>
      <c r="BN20" s="188">
        <f t="shared" si="10"/>
        <v>0</v>
      </c>
      <c r="BO20" s="130" t="e">
        <f t="shared" si="11"/>
        <v>#DIV/0!</v>
      </c>
    </row>
    <row r="21" spans="1:67" s="131" customFormat="1" ht="15.75">
      <c r="A21" s="152">
        <v>16</v>
      </c>
      <c r="B21" s="37">
        <v>370000</v>
      </c>
      <c r="C21" s="40" t="s">
        <v>167</v>
      </c>
      <c r="D21" s="24">
        <v>0</v>
      </c>
      <c r="E21" s="24"/>
      <c r="F21" s="24"/>
      <c r="G21" s="24"/>
      <c r="H21" s="24"/>
      <c r="I21" s="24"/>
      <c r="J21" s="174"/>
      <c r="K21" s="37">
        <v>0</v>
      </c>
      <c r="L21" s="37"/>
      <c r="M21" s="37"/>
      <c r="N21" s="37"/>
      <c r="O21" s="37"/>
      <c r="P21" s="37"/>
      <c r="Q21" s="177"/>
      <c r="R21" s="37">
        <v>5678</v>
      </c>
      <c r="S21" s="37">
        <v>5678</v>
      </c>
      <c r="T21" s="37">
        <v>6305</v>
      </c>
      <c r="U21" s="222">
        <f>'7.K.részletező'!T104</f>
        <v>5678</v>
      </c>
      <c r="V21" s="37">
        <v>1407</v>
      </c>
      <c r="W21" s="37">
        <v>4220</v>
      </c>
      <c r="X21" s="37">
        <v>5626</v>
      </c>
      <c r="Y21" s="152"/>
      <c r="Z21" s="152"/>
      <c r="AA21" s="152"/>
      <c r="AB21" s="152"/>
      <c r="AC21" s="152"/>
      <c r="AD21" s="152"/>
      <c r="AE21" s="152"/>
      <c r="AF21" s="38">
        <f t="shared" si="18"/>
        <v>5678</v>
      </c>
      <c r="AG21" s="38">
        <f t="shared" si="25"/>
        <v>5678</v>
      </c>
      <c r="AH21" s="38">
        <f t="shared" si="12"/>
        <v>6305</v>
      </c>
      <c r="AI21" s="38">
        <f t="shared" si="3"/>
        <v>5678</v>
      </c>
      <c r="AJ21" s="38">
        <f t="shared" si="22"/>
        <v>1407</v>
      </c>
      <c r="AK21" s="38">
        <f t="shared" si="23"/>
        <v>4220</v>
      </c>
      <c r="AL21" s="38">
        <f t="shared" si="5"/>
        <v>5626</v>
      </c>
      <c r="AM21" s="38"/>
      <c r="AN21" s="38"/>
      <c r="AO21" s="38"/>
      <c r="AP21" s="38"/>
      <c r="AQ21" s="38"/>
      <c r="AR21" s="38"/>
      <c r="AS21" s="38"/>
      <c r="AT21" s="37">
        <v>0</v>
      </c>
      <c r="AU21" s="37">
        <v>529</v>
      </c>
      <c r="AV21" s="37">
        <v>529</v>
      </c>
      <c r="AW21" s="37">
        <v>529</v>
      </c>
      <c r="AX21" s="37">
        <v>527</v>
      </c>
      <c r="AY21" s="37">
        <v>527</v>
      </c>
      <c r="AZ21" s="37">
        <v>527</v>
      </c>
      <c r="BA21" s="36">
        <f t="shared" si="20"/>
        <v>0</v>
      </c>
      <c r="BB21" s="36">
        <f t="shared" si="21"/>
        <v>529</v>
      </c>
      <c r="BC21" s="36">
        <f t="shared" si="13"/>
        <v>529</v>
      </c>
      <c r="BD21" s="36">
        <f t="shared" si="6"/>
        <v>529</v>
      </c>
      <c r="BE21" s="36">
        <f aca="true" t="shared" si="29" ref="BE21:BE55">AQ21+AX21</f>
        <v>527</v>
      </c>
      <c r="BF21" s="36">
        <f t="shared" si="26"/>
        <v>527</v>
      </c>
      <c r="BG21" s="36">
        <f t="shared" si="8"/>
        <v>527</v>
      </c>
      <c r="BH21" s="35">
        <f t="shared" si="24"/>
        <v>5678</v>
      </c>
      <c r="BI21" s="35">
        <f t="shared" si="27"/>
        <v>6207</v>
      </c>
      <c r="BJ21" s="35">
        <f t="shared" si="15"/>
        <v>6834</v>
      </c>
      <c r="BK21" s="35">
        <f t="shared" si="9"/>
        <v>6207</v>
      </c>
      <c r="BL21" s="35">
        <f t="shared" si="28"/>
        <v>1934</v>
      </c>
      <c r="BM21" s="35">
        <f t="shared" si="16"/>
        <v>4747</v>
      </c>
      <c r="BN21" s="35">
        <f t="shared" si="10"/>
        <v>6153</v>
      </c>
      <c r="BO21" s="130">
        <f t="shared" si="11"/>
        <v>0.9913001449975833</v>
      </c>
    </row>
    <row r="22" spans="1:67" s="131" customFormat="1" ht="15">
      <c r="A22" s="152">
        <v>17</v>
      </c>
      <c r="B22" s="37">
        <v>381183</v>
      </c>
      <c r="C22" s="24" t="s">
        <v>192</v>
      </c>
      <c r="D22" s="24">
        <v>5282</v>
      </c>
      <c r="E22" s="24">
        <v>5379</v>
      </c>
      <c r="F22" s="24">
        <v>5436</v>
      </c>
      <c r="G22" s="24">
        <v>5514</v>
      </c>
      <c r="H22" s="24">
        <v>2566</v>
      </c>
      <c r="I22" s="24">
        <v>4149</v>
      </c>
      <c r="J22" s="24">
        <v>6098</v>
      </c>
      <c r="K22" s="24">
        <v>1467</v>
      </c>
      <c r="L22" s="24">
        <v>1493</v>
      </c>
      <c r="M22" s="24">
        <v>1508</v>
      </c>
      <c r="N22" s="24">
        <v>1530</v>
      </c>
      <c r="O22" s="24">
        <v>696</v>
      </c>
      <c r="P22" s="24">
        <v>1134</v>
      </c>
      <c r="Q22" s="24">
        <v>1670</v>
      </c>
      <c r="R22" s="24">
        <v>9722</v>
      </c>
      <c r="S22" s="24">
        <v>9722</v>
      </c>
      <c r="T22" s="24">
        <v>9722</v>
      </c>
      <c r="U22" s="221">
        <f>'7.K.részletező'!U104</f>
        <v>11627</v>
      </c>
      <c r="V22" s="24">
        <v>4151</v>
      </c>
      <c r="W22" s="24">
        <v>7674</v>
      </c>
      <c r="X22" s="24">
        <v>10986</v>
      </c>
      <c r="Y22" s="24"/>
      <c r="Z22" s="24"/>
      <c r="AA22" s="24"/>
      <c r="AB22" s="24"/>
      <c r="AC22" s="24"/>
      <c r="AD22" s="24"/>
      <c r="AE22" s="24"/>
      <c r="AF22" s="38">
        <f t="shared" si="18"/>
        <v>16471</v>
      </c>
      <c r="AG22" s="38">
        <f t="shared" si="25"/>
        <v>16594</v>
      </c>
      <c r="AH22" s="38">
        <f t="shared" si="12"/>
        <v>16666</v>
      </c>
      <c r="AI22" s="38">
        <f t="shared" si="3"/>
        <v>18671</v>
      </c>
      <c r="AJ22" s="38">
        <f t="shared" si="22"/>
        <v>7413</v>
      </c>
      <c r="AK22" s="38">
        <f t="shared" si="23"/>
        <v>12957</v>
      </c>
      <c r="AL22" s="38">
        <f t="shared" si="5"/>
        <v>18754</v>
      </c>
      <c r="AM22" s="38"/>
      <c r="AN22" s="38"/>
      <c r="AO22" s="38"/>
      <c r="AP22" s="38"/>
      <c r="AQ22" s="38"/>
      <c r="AR22" s="38"/>
      <c r="AS22" s="38"/>
      <c r="AT22" s="24"/>
      <c r="AU22" s="24"/>
      <c r="AV22" s="24"/>
      <c r="AW22" s="24"/>
      <c r="AX22" s="24"/>
      <c r="AY22" s="24"/>
      <c r="AZ22" s="24"/>
      <c r="BA22" s="36">
        <f t="shared" si="20"/>
        <v>0</v>
      </c>
      <c r="BB22" s="36">
        <f t="shared" si="21"/>
        <v>0</v>
      </c>
      <c r="BC22" s="36">
        <f t="shared" si="13"/>
        <v>0</v>
      </c>
      <c r="BD22" s="36">
        <f t="shared" si="6"/>
        <v>0</v>
      </c>
      <c r="BE22" s="36">
        <f t="shared" si="29"/>
        <v>0</v>
      </c>
      <c r="BF22" s="36">
        <f t="shared" si="26"/>
        <v>0</v>
      </c>
      <c r="BG22" s="198">
        <f t="shared" si="8"/>
        <v>0</v>
      </c>
      <c r="BH22" s="35">
        <f t="shared" si="24"/>
        <v>16471</v>
      </c>
      <c r="BI22" s="35">
        <f t="shared" si="27"/>
        <v>16594</v>
      </c>
      <c r="BJ22" s="35">
        <f t="shared" si="15"/>
        <v>16666</v>
      </c>
      <c r="BK22" s="35">
        <f t="shared" si="9"/>
        <v>18671</v>
      </c>
      <c r="BL22" s="35">
        <f t="shared" si="28"/>
        <v>7413</v>
      </c>
      <c r="BM22" s="35">
        <f t="shared" si="16"/>
        <v>12957</v>
      </c>
      <c r="BN22" s="35">
        <f t="shared" si="10"/>
        <v>18754</v>
      </c>
      <c r="BO22" s="130">
        <f t="shared" si="11"/>
        <v>1.0044453966043596</v>
      </c>
    </row>
    <row r="23" spans="1:67" s="131" customFormat="1" ht="15">
      <c r="A23" s="152">
        <v>18</v>
      </c>
      <c r="B23" s="37">
        <v>522001</v>
      </c>
      <c r="C23" s="24" t="s">
        <v>190</v>
      </c>
      <c r="D23" s="24">
        <v>3781</v>
      </c>
      <c r="E23" s="24">
        <v>3867</v>
      </c>
      <c r="F23" s="24">
        <v>3900</v>
      </c>
      <c r="G23" s="24">
        <v>3917</v>
      </c>
      <c r="H23" s="24">
        <v>1832</v>
      </c>
      <c r="I23" s="24">
        <v>2579</v>
      </c>
      <c r="J23" s="24">
        <v>3629</v>
      </c>
      <c r="K23" s="24">
        <v>1048</v>
      </c>
      <c r="L23" s="24">
        <v>1071</v>
      </c>
      <c r="M23" s="24">
        <v>1080</v>
      </c>
      <c r="N23" s="24">
        <v>1085</v>
      </c>
      <c r="O23" s="24">
        <v>495</v>
      </c>
      <c r="P23" s="24">
        <v>731</v>
      </c>
      <c r="Q23" s="24">
        <v>1046</v>
      </c>
      <c r="R23" s="24">
        <v>5008</v>
      </c>
      <c r="S23" s="24">
        <v>5008</v>
      </c>
      <c r="T23" s="24">
        <v>5008</v>
      </c>
      <c r="U23" s="221">
        <f>'7.K.részletező'!V104</f>
        <v>2348</v>
      </c>
      <c r="V23" s="24">
        <v>521</v>
      </c>
      <c r="W23" s="24">
        <v>556</v>
      </c>
      <c r="X23" s="24">
        <v>2265</v>
      </c>
      <c r="Y23" s="24"/>
      <c r="Z23" s="24"/>
      <c r="AA23" s="24"/>
      <c r="AB23" s="24"/>
      <c r="AC23" s="24"/>
      <c r="AD23" s="24"/>
      <c r="AE23" s="24"/>
      <c r="AF23" s="38">
        <f t="shared" si="18"/>
        <v>9837</v>
      </c>
      <c r="AG23" s="38">
        <f t="shared" si="25"/>
        <v>9946</v>
      </c>
      <c r="AH23" s="38">
        <f t="shared" si="12"/>
        <v>9988</v>
      </c>
      <c r="AI23" s="38">
        <f t="shared" si="3"/>
        <v>7350</v>
      </c>
      <c r="AJ23" s="38">
        <f t="shared" si="22"/>
        <v>2848</v>
      </c>
      <c r="AK23" s="38">
        <f t="shared" si="23"/>
        <v>3866</v>
      </c>
      <c r="AL23" s="38">
        <f t="shared" si="5"/>
        <v>6940</v>
      </c>
      <c r="AM23" s="38"/>
      <c r="AN23" s="38"/>
      <c r="AO23" s="38"/>
      <c r="AP23" s="38"/>
      <c r="AQ23" s="38"/>
      <c r="AR23" s="38"/>
      <c r="AS23" s="38"/>
      <c r="AT23" s="24"/>
      <c r="AU23" s="24"/>
      <c r="AV23" s="24"/>
      <c r="AW23" s="24"/>
      <c r="AX23" s="24"/>
      <c r="AY23" s="24"/>
      <c r="AZ23" s="24"/>
      <c r="BA23" s="36">
        <f t="shared" si="20"/>
        <v>0</v>
      </c>
      <c r="BB23" s="36">
        <f t="shared" si="21"/>
        <v>0</v>
      </c>
      <c r="BC23" s="36">
        <f t="shared" si="13"/>
        <v>0</v>
      </c>
      <c r="BD23" s="36">
        <f t="shared" si="6"/>
        <v>0</v>
      </c>
      <c r="BE23" s="36">
        <f t="shared" si="29"/>
        <v>0</v>
      </c>
      <c r="BF23" s="36">
        <f t="shared" si="26"/>
        <v>0</v>
      </c>
      <c r="BG23" s="198">
        <f t="shared" si="8"/>
        <v>0</v>
      </c>
      <c r="BH23" s="35">
        <f t="shared" si="24"/>
        <v>9837</v>
      </c>
      <c r="BI23" s="35">
        <f t="shared" si="27"/>
        <v>9946</v>
      </c>
      <c r="BJ23" s="35">
        <f t="shared" si="15"/>
        <v>9988</v>
      </c>
      <c r="BK23" s="35">
        <f t="shared" si="9"/>
        <v>7350</v>
      </c>
      <c r="BL23" s="35">
        <f t="shared" si="28"/>
        <v>2848</v>
      </c>
      <c r="BM23" s="35">
        <f t="shared" si="16"/>
        <v>3866</v>
      </c>
      <c r="BN23" s="35">
        <f t="shared" si="10"/>
        <v>6940</v>
      </c>
      <c r="BO23" s="130">
        <f t="shared" si="11"/>
        <v>0.9442176870748299</v>
      </c>
    </row>
    <row r="24" spans="1:68" s="131" customFormat="1" ht="15">
      <c r="A24" s="152">
        <v>19</v>
      </c>
      <c r="B24" s="24">
        <v>562912</v>
      </c>
      <c r="C24" s="24" t="s">
        <v>186</v>
      </c>
      <c r="D24" s="24"/>
      <c r="E24" s="24"/>
      <c r="F24" s="24"/>
      <c r="G24" s="24"/>
      <c r="H24" s="24"/>
      <c r="I24" s="24"/>
      <c r="J24" s="174"/>
      <c r="K24" s="24"/>
      <c r="L24" s="24"/>
      <c r="M24" s="24"/>
      <c r="N24" s="24"/>
      <c r="O24" s="24"/>
      <c r="P24" s="24"/>
      <c r="Q24" s="174"/>
      <c r="R24" s="24">
        <v>3362</v>
      </c>
      <c r="S24" s="24">
        <v>3362</v>
      </c>
      <c r="T24" s="24">
        <v>3363</v>
      </c>
      <c r="U24" s="221">
        <f>'7.K.részletező'!W104</f>
        <v>3363</v>
      </c>
      <c r="V24" s="24">
        <v>1651</v>
      </c>
      <c r="W24" s="24">
        <v>2351</v>
      </c>
      <c r="X24" s="24">
        <v>3593</v>
      </c>
      <c r="Y24" s="24"/>
      <c r="Z24" s="24"/>
      <c r="AA24" s="24"/>
      <c r="AB24" s="24"/>
      <c r="AC24" s="24"/>
      <c r="AD24" s="24"/>
      <c r="AE24" s="24"/>
      <c r="AF24" s="38">
        <f t="shared" si="18"/>
        <v>3362</v>
      </c>
      <c r="AG24" s="38">
        <f t="shared" si="25"/>
        <v>3362</v>
      </c>
      <c r="AH24" s="38">
        <f t="shared" si="12"/>
        <v>3363</v>
      </c>
      <c r="AI24" s="38">
        <f t="shared" si="3"/>
        <v>3363</v>
      </c>
      <c r="AJ24" s="38">
        <f t="shared" si="22"/>
        <v>1651</v>
      </c>
      <c r="AK24" s="38">
        <f t="shared" si="23"/>
        <v>2351</v>
      </c>
      <c r="AL24" s="38">
        <f t="shared" si="5"/>
        <v>3593</v>
      </c>
      <c r="AM24" s="38"/>
      <c r="AN24" s="38"/>
      <c r="AO24" s="38"/>
      <c r="AP24" s="38"/>
      <c r="AQ24" s="38"/>
      <c r="AR24" s="38"/>
      <c r="AS24" s="38"/>
      <c r="AT24" s="24"/>
      <c r="AU24" s="24"/>
      <c r="AV24" s="24"/>
      <c r="AW24" s="24"/>
      <c r="AX24" s="24"/>
      <c r="AY24" s="24"/>
      <c r="AZ24" s="24"/>
      <c r="BA24" s="36">
        <f t="shared" si="20"/>
        <v>0</v>
      </c>
      <c r="BB24" s="36">
        <f t="shared" si="21"/>
        <v>0</v>
      </c>
      <c r="BC24" s="36">
        <f t="shared" si="13"/>
        <v>0</v>
      </c>
      <c r="BD24" s="36">
        <f t="shared" si="6"/>
        <v>0</v>
      </c>
      <c r="BE24" s="36">
        <f t="shared" si="29"/>
        <v>0</v>
      </c>
      <c r="BF24" s="36">
        <f t="shared" si="26"/>
        <v>0</v>
      </c>
      <c r="BG24" s="198">
        <f t="shared" si="8"/>
        <v>0</v>
      </c>
      <c r="BH24" s="35">
        <f t="shared" si="24"/>
        <v>3362</v>
      </c>
      <c r="BI24" s="35">
        <f t="shared" si="27"/>
        <v>3362</v>
      </c>
      <c r="BJ24" s="35">
        <f t="shared" si="15"/>
        <v>3363</v>
      </c>
      <c r="BK24" s="35">
        <f t="shared" si="9"/>
        <v>3363</v>
      </c>
      <c r="BL24" s="35">
        <f t="shared" si="28"/>
        <v>1651</v>
      </c>
      <c r="BM24" s="35">
        <f t="shared" si="16"/>
        <v>2351</v>
      </c>
      <c r="BN24" s="35">
        <f t="shared" si="10"/>
        <v>3593</v>
      </c>
      <c r="BO24" s="130">
        <f t="shared" si="11"/>
        <v>1.0683913172762414</v>
      </c>
      <c r="BP24" s="131">
        <v>3592</v>
      </c>
    </row>
    <row r="25" spans="1:68" s="131" customFormat="1" ht="15">
      <c r="A25" s="152">
        <v>20</v>
      </c>
      <c r="B25" s="24">
        <v>562913</v>
      </c>
      <c r="C25" s="24" t="s">
        <v>187</v>
      </c>
      <c r="D25" s="24">
        <v>7754</v>
      </c>
      <c r="E25" s="24">
        <v>7858</v>
      </c>
      <c r="F25" s="24">
        <v>7909</v>
      </c>
      <c r="G25" s="24">
        <v>7948</v>
      </c>
      <c r="H25" s="24">
        <v>3629</v>
      </c>
      <c r="I25" s="24">
        <v>5423</v>
      </c>
      <c r="J25" s="24">
        <v>7865</v>
      </c>
      <c r="K25" s="24">
        <v>2142</v>
      </c>
      <c r="L25" s="24">
        <v>2164</v>
      </c>
      <c r="M25" s="24">
        <v>2176</v>
      </c>
      <c r="N25" s="24">
        <v>2195</v>
      </c>
      <c r="O25" s="24">
        <v>987</v>
      </c>
      <c r="P25" s="24">
        <v>1482</v>
      </c>
      <c r="Q25" s="24">
        <v>2147</v>
      </c>
      <c r="R25" s="24">
        <v>18915</v>
      </c>
      <c r="S25" s="24">
        <v>18915</v>
      </c>
      <c r="T25" s="24">
        <v>18915</v>
      </c>
      <c r="U25" s="221">
        <f>'7.K.részletező'!X104</f>
        <v>13910</v>
      </c>
      <c r="V25" s="24">
        <v>7501</v>
      </c>
      <c r="W25" s="24">
        <f>16490-2351-730-2392</f>
        <v>11017</v>
      </c>
      <c r="X25" s="24">
        <v>13976</v>
      </c>
      <c r="Y25" s="24"/>
      <c r="Z25" s="24"/>
      <c r="AA25" s="24"/>
      <c r="AB25" s="24"/>
      <c r="AC25" s="24"/>
      <c r="AD25" s="24"/>
      <c r="AE25" s="24"/>
      <c r="AF25" s="38">
        <f t="shared" si="18"/>
        <v>28811</v>
      </c>
      <c r="AG25" s="38">
        <f t="shared" si="25"/>
        <v>28937</v>
      </c>
      <c r="AH25" s="38">
        <f t="shared" si="12"/>
        <v>29000</v>
      </c>
      <c r="AI25" s="38">
        <f t="shared" si="3"/>
        <v>24053</v>
      </c>
      <c r="AJ25" s="38">
        <f t="shared" si="22"/>
        <v>12117</v>
      </c>
      <c r="AK25" s="38">
        <f t="shared" si="23"/>
        <v>17922</v>
      </c>
      <c r="AL25" s="38">
        <f t="shared" si="5"/>
        <v>23988</v>
      </c>
      <c r="AM25" s="38"/>
      <c r="AN25" s="38"/>
      <c r="AO25" s="38"/>
      <c r="AP25" s="38"/>
      <c r="AQ25" s="38"/>
      <c r="AR25" s="38"/>
      <c r="AS25" s="38"/>
      <c r="AT25" s="24">
        <v>318</v>
      </c>
      <c r="AU25" s="24">
        <v>318</v>
      </c>
      <c r="AV25" s="24">
        <v>318</v>
      </c>
      <c r="AW25" s="24">
        <v>318</v>
      </c>
      <c r="AX25" s="24">
        <v>0</v>
      </c>
      <c r="AY25" s="24">
        <v>121</v>
      </c>
      <c r="AZ25" s="24">
        <v>381</v>
      </c>
      <c r="BA25" s="36">
        <f t="shared" si="20"/>
        <v>318</v>
      </c>
      <c r="BB25" s="36">
        <f t="shared" si="21"/>
        <v>318</v>
      </c>
      <c r="BC25" s="36">
        <f t="shared" si="13"/>
        <v>318</v>
      </c>
      <c r="BD25" s="36">
        <f t="shared" si="6"/>
        <v>318</v>
      </c>
      <c r="BE25" s="36">
        <f t="shared" si="29"/>
        <v>0</v>
      </c>
      <c r="BF25" s="36">
        <f t="shared" si="26"/>
        <v>121</v>
      </c>
      <c r="BG25" s="36">
        <f t="shared" si="8"/>
        <v>381</v>
      </c>
      <c r="BH25" s="35">
        <f t="shared" si="24"/>
        <v>29129</v>
      </c>
      <c r="BI25" s="35">
        <f t="shared" si="27"/>
        <v>29255</v>
      </c>
      <c r="BJ25" s="35">
        <f t="shared" si="15"/>
        <v>29318</v>
      </c>
      <c r="BK25" s="35">
        <f t="shared" si="9"/>
        <v>24371</v>
      </c>
      <c r="BL25" s="35">
        <f t="shared" si="28"/>
        <v>12117</v>
      </c>
      <c r="BM25" s="35">
        <f t="shared" si="16"/>
        <v>18043</v>
      </c>
      <c r="BN25" s="35">
        <f t="shared" si="10"/>
        <v>24369</v>
      </c>
      <c r="BO25" s="130">
        <f t="shared" si="11"/>
        <v>0.999917935250913</v>
      </c>
      <c r="BP25" s="131">
        <v>24406</v>
      </c>
    </row>
    <row r="26" spans="1:67" s="131" customFormat="1" ht="15">
      <c r="A26" s="152">
        <v>21</v>
      </c>
      <c r="B26" s="24">
        <v>562915</v>
      </c>
      <c r="C26" s="24" t="s">
        <v>188</v>
      </c>
      <c r="D26" s="24"/>
      <c r="E26" s="24"/>
      <c r="F26" s="24"/>
      <c r="G26" s="24"/>
      <c r="H26" s="24"/>
      <c r="I26" s="24"/>
      <c r="J26" s="174"/>
      <c r="K26" s="24"/>
      <c r="L26" s="24"/>
      <c r="M26" s="24"/>
      <c r="N26" s="24"/>
      <c r="O26" s="24"/>
      <c r="P26" s="24"/>
      <c r="Q26" s="174"/>
      <c r="R26" s="24">
        <v>3292</v>
      </c>
      <c r="S26" s="24">
        <v>3292</v>
      </c>
      <c r="T26" s="24">
        <v>3292</v>
      </c>
      <c r="U26" s="221">
        <f>'7.K.részletező'!Z104</f>
        <v>3292</v>
      </c>
      <c r="V26" s="24">
        <v>808</v>
      </c>
      <c r="W26" s="24">
        <v>2392</v>
      </c>
      <c r="X26" s="24">
        <v>2692</v>
      </c>
      <c r="Y26" s="24"/>
      <c r="Z26" s="24"/>
      <c r="AA26" s="24"/>
      <c r="AB26" s="24"/>
      <c r="AC26" s="24"/>
      <c r="AD26" s="24"/>
      <c r="AE26" s="24"/>
      <c r="AF26" s="38">
        <f t="shared" si="18"/>
        <v>3292</v>
      </c>
      <c r="AG26" s="38">
        <f t="shared" si="25"/>
        <v>3292</v>
      </c>
      <c r="AH26" s="38">
        <f t="shared" si="12"/>
        <v>3292</v>
      </c>
      <c r="AI26" s="38">
        <f t="shared" si="3"/>
        <v>3292</v>
      </c>
      <c r="AJ26" s="38">
        <f t="shared" si="22"/>
        <v>808</v>
      </c>
      <c r="AK26" s="38">
        <f t="shared" si="23"/>
        <v>2392</v>
      </c>
      <c r="AL26" s="38">
        <f t="shared" si="5"/>
        <v>2692</v>
      </c>
      <c r="AM26" s="38"/>
      <c r="AN26" s="38"/>
      <c r="AO26" s="38"/>
      <c r="AP26" s="38"/>
      <c r="AQ26" s="38"/>
      <c r="AR26" s="38"/>
      <c r="AS26" s="38"/>
      <c r="AT26" s="24"/>
      <c r="AU26" s="24"/>
      <c r="AV26" s="24"/>
      <c r="AW26" s="24"/>
      <c r="AX26" s="24"/>
      <c r="AY26" s="24"/>
      <c r="AZ26" s="24"/>
      <c r="BA26" s="36">
        <f t="shared" si="20"/>
        <v>0</v>
      </c>
      <c r="BB26" s="36">
        <f t="shared" si="21"/>
        <v>0</v>
      </c>
      <c r="BC26" s="36">
        <f t="shared" si="13"/>
        <v>0</v>
      </c>
      <c r="BD26" s="36">
        <f t="shared" si="6"/>
        <v>0</v>
      </c>
      <c r="BE26" s="36">
        <f t="shared" si="29"/>
        <v>0</v>
      </c>
      <c r="BF26" s="36">
        <f t="shared" si="26"/>
        <v>0</v>
      </c>
      <c r="BG26" s="198">
        <f t="shared" si="8"/>
        <v>0</v>
      </c>
      <c r="BH26" s="35">
        <f t="shared" si="24"/>
        <v>3292</v>
      </c>
      <c r="BI26" s="35">
        <f t="shared" si="27"/>
        <v>3292</v>
      </c>
      <c r="BJ26" s="35">
        <f t="shared" si="15"/>
        <v>3292</v>
      </c>
      <c r="BK26" s="35">
        <f t="shared" si="9"/>
        <v>3292</v>
      </c>
      <c r="BL26" s="35">
        <f t="shared" si="28"/>
        <v>808</v>
      </c>
      <c r="BM26" s="35">
        <f t="shared" si="16"/>
        <v>2392</v>
      </c>
      <c r="BN26" s="35">
        <f t="shared" si="10"/>
        <v>2692</v>
      </c>
      <c r="BO26" s="130">
        <f t="shared" si="11"/>
        <v>0.8177399756986634</v>
      </c>
    </row>
    <row r="27" spans="1:67" s="131" customFormat="1" ht="15">
      <c r="A27" s="152">
        <v>22</v>
      </c>
      <c r="B27" s="24">
        <v>562917</v>
      </c>
      <c r="C27" s="24" t="s">
        <v>24</v>
      </c>
      <c r="D27" s="24"/>
      <c r="E27" s="24"/>
      <c r="F27" s="24"/>
      <c r="G27" s="24"/>
      <c r="H27" s="24"/>
      <c r="I27" s="24"/>
      <c r="J27" s="174"/>
      <c r="K27" s="24"/>
      <c r="L27" s="24"/>
      <c r="M27" s="24"/>
      <c r="N27" s="24"/>
      <c r="O27" s="24"/>
      <c r="P27" s="24"/>
      <c r="Q27" s="174"/>
      <c r="R27" s="24">
        <v>2862</v>
      </c>
      <c r="S27" s="24">
        <v>2862</v>
      </c>
      <c r="T27" s="24">
        <v>2862</v>
      </c>
      <c r="U27" s="221">
        <f>'7.K.részletező'!Y104</f>
        <v>2862</v>
      </c>
      <c r="V27" s="24">
        <v>960</v>
      </c>
      <c r="W27" s="24"/>
      <c r="X27" s="24">
        <v>1757</v>
      </c>
      <c r="Y27" s="24"/>
      <c r="Z27" s="24"/>
      <c r="AA27" s="24"/>
      <c r="AB27" s="24"/>
      <c r="AC27" s="24"/>
      <c r="AD27" s="24"/>
      <c r="AE27" s="24"/>
      <c r="AF27" s="38">
        <f t="shared" si="18"/>
        <v>2862</v>
      </c>
      <c r="AG27" s="38">
        <f aca="true" t="shared" si="30" ref="AG27:AG55">Z27+S27+L27+E27</f>
        <v>2862</v>
      </c>
      <c r="AH27" s="38">
        <f t="shared" si="12"/>
        <v>2862</v>
      </c>
      <c r="AI27" s="38">
        <f t="shared" si="3"/>
        <v>2862</v>
      </c>
      <c r="AJ27" s="38">
        <f t="shared" si="22"/>
        <v>960</v>
      </c>
      <c r="AK27" s="38">
        <f t="shared" si="23"/>
        <v>0</v>
      </c>
      <c r="AL27" s="38">
        <f t="shared" si="5"/>
        <v>1757</v>
      </c>
      <c r="AM27" s="38"/>
      <c r="AN27" s="38"/>
      <c r="AO27" s="38"/>
      <c r="AP27" s="38"/>
      <c r="AQ27" s="38"/>
      <c r="AR27" s="38"/>
      <c r="AS27" s="38"/>
      <c r="AT27" s="24"/>
      <c r="AU27" s="24"/>
      <c r="AV27" s="24"/>
      <c r="AW27" s="24"/>
      <c r="AX27" s="24"/>
      <c r="AY27" s="24"/>
      <c r="AZ27" s="24"/>
      <c r="BA27" s="36">
        <f t="shared" si="20"/>
        <v>0</v>
      </c>
      <c r="BB27" s="36">
        <f t="shared" si="21"/>
        <v>0</v>
      </c>
      <c r="BC27" s="36">
        <f t="shared" si="13"/>
        <v>0</v>
      </c>
      <c r="BD27" s="36">
        <f t="shared" si="6"/>
        <v>0</v>
      </c>
      <c r="BE27" s="36">
        <f t="shared" si="29"/>
        <v>0</v>
      </c>
      <c r="BF27" s="36">
        <f t="shared" si="26"/>
        <v>0</v>
      </c>
      <c r="BG27" s="198">
        <f t="shared" si="8"/>
        <v>0</v>
      </c>
      <c r="BH27" s="35">
        <f t="shared" si="24"/>
        <v>2862</v>
      </c>
      <c r="BI27" s="35">
        <f t="shared" si="27"/>
        <v>2862</v>
      </c>
      <c r="BJ27" s="35">
        <f t="shared" si="15"/>
        <v>2862</v>
      </c>
      <c r="BK27" s="35">
        <f t="shared" si="9"/>
        <v>2862</v>
      </c>
      <c r="BL27" s="35">
        <f t="shared" si="28"/>
        <v>960</v>
      </c>
      <c r="BM27" s="35">
        <f t="shared" si="16"/>
        <v>0</v>
      </c>
      <c r="BN27" s="35">
        <f t="shared" si="10"/>
        <v>1757</v>
      </c>
      <c r="BO27" s="130">
        <f t="shared" si="11"/>
        <v>0.6139063591893781</v>
      </c>
    </row>
    <row r="28" spans="1:68" s="131" customFormat="1" ht="15">
      <c r="A28" s="152">
        <v>23</v>
      </c>
      <c r="B28" s="37">
        <v>680001</v>
      </c>
      <c r="C28" s="37" t="s">
        <v>168</v>
      </c>
      <c r="D28" s="152"/>
      <c r="E28" s="152"/>
      <c r="F28" s="152"/>
      <c r="G28" s="152"/>
      <c r="H28" s="152"/>
      <c r="I28" s="152"/>
      <c r="J28" s="194"/>
      <c r="K28" s="152"/>
      <c r="L28" s="152"/>
      <c r="M28" s="152"/>
      <c r="N28" s="152"/>
      <c r="O28" s="152"/>
      <c r="P28" s="152"/>
      <c r="Q28" s="194"/>
      <c r="R28" s="37">
        <v>127</v>
      </c>
      <c r="S28" s="37">
        <v>127</v>
      </c>
      <c r="T28" s="37">
        <v>127</v>
      </c>
      <c r="U28" s="222">
        <f>'7.K.részletező'!AA104</f>
        <v>127</v>
      </c>
      <c r="V28" s="37">
        <v>26</v>
      </c>
      <c r="W28" s="37">
        <v>26</v>
      </c>
      <c r="X28" s="177">
        <v>319</v>
      </c>
      <c r="Y28" s="24"/>
      <c r="Z28" s="24"/>
      <c r="AA28" s="24"/>
      <c r="AB28" s="24"/>
      <c r="AC28" s="24"/>
      <c r="AD28" s="24"/>
      <c r="AE28" s="24"/>
      <c r="AF28" s="38">
        <f t="shared" si="18"/>
        <v>127</v>
      </c>
      <c r="AG28" s="38">
        <f t="shared" si="30"/>
        <v>127</v>
      </c>
      <c r="AH28" s="38">
        <f t="shared" si="12"/>
        <v>127</v>
      </c>
      <c r="AI28" s="38">
        <f t="shared" si="3"/>
        <v>127</v>
      </c>
      <c r="AJ28" s="38">
        <f t="shared" si="22"/>
        <v>26</v>
      </c>
      <c r="AK28" s="38">
        <f t="shared" si="23"/>
        <v>26</v>
      </c>
      <c r="AL28" s="38">
        <f t="shared" si="5"/>
        <v>319</v>
      </c>
      <c r="AM28" s="38"/>
      <c r="AN28" s="38"/>
      <c r="AO28" s="38"/>
      <c r="AP28" s="38"/>
      <c r="AQ28" s="38"/>
      <c r="AR28" s="38"/>
      <c r="AS28" s="38"/>
      <c r="AT28" s="152"/>
      <c r="AU28" s="152"/>
      <c r="AV28" s="152"/>
      <c r="AW28" s="152"/>
      <c r="AX28" s="152"/>
      <c r="AY28" s="152"/>
      <c r="AZ28" s="152"/>
      <c r="BA28" s="36">
        <f t="shared" si="20"/>
        <v>0</v>
      </c>
      <c r="BB28" s="36">
        <f t="shared" si="21"/>
        <v>0</v>
      </c>
      <c r="BC28" s="36">
        <f t="shared" si="13"/>
        <v>0</v>
      </c>
      <c r="BD28" s="36">
        <f t="shared" si="6"/>
        <v>0</v>
      </c>
      <c r="BE28" s="36">
        <f t="shared" si="29"/>
        <v>0</v>
      </c>
      <c r="BF28" s="36">
        <f t="shared" si="26"/>
        <v>0</v>
      </c>
      <c r="BG28" s="198">
        <f t="shared" si="8"/>
        <v>0</v>
      </c>
      <c r="BH28" s="35">
        <f t="shared" si="24"/>
        <v>127</v>
      </c>
      <c r="BI28" s="35">
        <f t="shared" si="27"/>
        <v>127</v>
      </c>
      <c r="BJ28" s="35">
        <f t="shared" si="15"/>
        <v>127</v>
      </c>
      <c r="BK28" s="35">
        <f t="shared" si="9"/>
        <v>127</v>
      </c>
      <c r="BL28" s="35">
        <f t="shared" si="28"/>
        <v>26</v>
      </c>
      <c r="BM28" s="35">
        <f t="shared" si="16"/>
        <v>26</v>
      </c>
      <c r="BN28" s="35">
        <f t="shared" si="10"/>
        <v>319</v>
      </c>
      <c r="BO28" s="130">
        <f t="shared" si="11"/>
        <v>2.5118110236220472</v>
      </c>
      <c r="BP28" s="131">
        <v>318505</v>
      </c>
    </row>
    <row r="29" spans="1:67" s="131" customFormat="1" ht="15">
      <c r="A29" s="152">
        <v>24</v>
      </c>
      <c r="B29" s="37">
        <v>680002</v>
      </c>
      <c r="C29" s="37" t="s">
        <v>169</v>
      </c>
      <c r="D29" s="152"/>
      <c r="E29" s="152"/>
      <c r="F29" s="152"/>
      <c r="G29" s="152"/>
      <c r="H29" s="152"/>
      <c r="I29" s="152"/>
      <c r="J29" s="194"/>
      <c r="K29" s="152"/>
      <c r="L29" s="152"/>
      <c r="M29" s="152"/>
      <c r="N29" s="152"/>
      <c r="O29" s="152"/>
      <c r="P29" s="152"/>
      <c r="Q29" s="194"/>
      <c r="R29" s="24">
        <v>5715</v>
      </c>
      <c r="S29" s="24">
        <v>5715</v>
      </c>
      <c r="T29" s="24">
        <v>5715</v>
      </c>
      <c r="U29" s="221">
        <f>'7.K.részletező'!AB104</f>
        <v>5715</v>
      </c>
      <c r="V29" s="24">
        <v>1871</v>
      </c>
      <c r="W29" s="24">
        <v>3745</v>
      </c>
      <c r="X29" s="174">
        <v>4735</v>
      </c>
      <c r="Y29" s="24"/>
      <c r="Z29" s="24"/>
      <c r="AA29" s="24"/>
      <c r="AB29" s="24"/>
      <c r="AC29" s="24"/>
      <c r="AD29" s="24"/>
      <c r="AE29" s="24"/>
      <c r="AF29" s="38">
        <f t="shared" si="18"/>
        <v>5715</v>
      </c>
      <c r="AG29" s="38">
        <f t="shared" si="30"/>
        <v>5715</v>
      </c>
      <c r="AH29" s="38">
        <f t="shared" si="12"/>
        <v>5715</v>
      </c>
      <c r="AI29" s="38">
        <f t="shared" si="3"/>
        <v>5715</v>
      </c>
      <c r="AJ29" s="38">
        <f t="shared" si="22"/>
        <v>1871</v>
      </c>
      <c r="AK29" s="38">
        <f t="shared" si="23"/>
        <v>3745</v>
      </c>
      <c r="AL29" s="38">
        <f t="shared" si="5"/>
        <v>4735</v>
      </c>
      <c r="AM29" s="38"/>
      <c r="AN29" s="38"/>
      <c r="AO29" s="38"/>
      <c r="AP29" s="38"/>
      <c r="AQ29" s="38"/>
      <c r="AR29" s="38"/>
      <c r="AS29" s="38"/>
      <c r="AT29" s="152"/>
      <c r="AU29" s="152"/>
      <c r="AV29" s="152"/>
      <c r="AW29" s="152"/>
      <c r="AX29" s="152"/>
      <c r="AY29" s="152"/>
      <c r="AZ29" s="152"/>
      <c r="BA29" s="36">
        <f t="shared" si="20"/>
        <v>0</v>
      </c>
      <c r="BB29" s="36">
        <f t="shared" si="21"/>
        <v>0</v>
      </c>
      <c r="BC29" s="36">
        <f t="shared" si="13"/>
        <v>0</v>
      </c>
      <c r="BD29" s="36">
        <f t="shared" si="6"/>
        <v>0</v>
      </c>
      <c r="BE29" s="36">
        <f t="shared" si="29"/>
        <v>0</v>
      </c>
      <c r="BF29" s="36">
        <f t="shared" si="26"/>
        <v>0</v>
      </c>
      <c r="BG29" s="198">
        <f t="shared" si="8"/>
        <v>0</v>
      </c>
      <c r="BH29" s="35">
        <f t="shared" si="24"/>
        <v>5715</v>
      </c>
      <c r="BI29" s="35">
        <f t="shared" si="27"/>
        <v>5715</v>
      </c>
      <c r="BJ29" s="35">
        <f t="shared" si="15"/>
        <v>5715</v>
      </c>
      <c r="BK29" s="35">
        <f t="shared" si="9"/>
        <v>5715</v>
      </c>
      <c r="BL29" s="35">
        <f t="shared" si="28"/>
        <v>1871</v>
      </c>
      <c r="BM29" s="35">
        <f t="shared" si="16"/>
        <v>3745</v>
      </c>
      <c r="BN29" s="35">
        <f t="shared" si="10"/>
        <v>4735</v>
      </c>
      <c r="BO29" s="130">
        <f t="shared" si="11"/>
        <v>0.8285214348206474</v>
      </c>
    </row>
    <row r="30" spans="1:67" s="131" customFormat="1" ht="15">
      <c r="A30" s="152">
        <v>25</v>
      </c>
      <c r="B30" s="37">
        <v>750000</v>
      </c>
      <c r="C30" s="37" t="s">
        <v>170</v>
      </c>
      <c r="D30" s="152"/>
      <c r="E30" s="152"/>
      <c r="F30" s="152"/>
      <c r="G30" s="152"/>
      <c r="H30" s="152"/>
      <c r="I30" s="152"/>
      <c r="J30" s="194"/>
      <c r="K30" s="152"/>
      <c r="L30" s="152"/>
      <c r="M30" s="152"/>
      <c r="N30" s="152"/>
      <c r="O30" s="152"/>
      <c r="P30" s="152"/>
      <c r="Q30" s="194"/>
      <c r="R30" s="37">
        <v>250</v>
      </c>
      <c r="S30" s="37">
        <v>250</v>
      </c>
      <c r="T30" s="37">
        <v>250</v>
      </c>
      <c r="U30" s="222">
        <f>'7.K.részletező'!AC104</f>
        <v>250</v>
      </c>
      <c r="V30" s="37">
        <v>0</v>
      </c>
      <c r="W30" s="37">
        <v>250</v>
      </c>
      <c r="X30" s="37">
        <v>250</v>
      </c>
      <c r="Y30" s="152"/>
      <c r="Z30" s="152"/>
      <c r="AA30" s="152"/>
      <c r="AB30" s="152"/>
      <c r="AC30" s="152"/>
      <c r="AD30" s="152"/>
      <c r="AE30" s="152"/>
      <c r="AF30" s="38">
        <f t="shared" si="18"/>
        <v>250</v>
      </c>
      <c r="AG30" s="38">
        <f t="shared" si="30"/>
        <v>250</v>
      </c>
      <c r="AH30" s="38">
        <f t="shared" si="12"/>
        <v>250</v>
      </c>
      <c r="AI30" s="38">
        <f t="shared" si="3"/>
        <v>250</v>
      </c>
      <c r="AJ30" s="38">
        <f t="shared" si="22"/>
        <v>0</v>
      </c>
      <c r="AK30" s="38">
        <f t="shared" si="23"/>
        <v>250</v>
      </c>
      <c r="AL30" s="38">
        <f t="shared" si="5"/>
        <v>250</v>
      </c>
      <c r="AM30" s="38"/>
      <c r="AN30" s="38"/>
      <c r="AO30" s="38"/>
      <c r="AP30" s="38"/>
      <c r="AQ30" s="38"/>
      <c r="AR30" s="38"/>
      <c r="AS30" s="38"/>
      <c r="AT30" s="152"/>
      <c r="AU30" s="152"/>
      <c r="AV30" s="152"/>
      <c r="AW30" s="152"/>
      <c r="AX30" s="152"/>
      <c r="AY30" s="152"/>
      <c r="AZ30" s="152"/>
      <c r="BA30" s="36">
        <f t="shared" si="20"/>
        <v>0</v>
      </c>
      <c r="BB30" s="36">
        <f t="shared" si="21"/>
        <v>0</v>
      </c>
      <c r="BC30" s="36">
        <f t="shared" si="13"/>
        <v>0</v>
      </c>
      <c r="BD30" s="36">
        <f t="shared" si="6"/>
        <v>0</v>
      </c>
      <c r="BE30" s="36">
        <f t="shared" si="29"/>
        <v>0</v>
      </c>
      <c r="BF30" s="36">
        <f t="shared" si="26"/>
        <v>0</v>
      </c>
      <c r="BG30" s="198">
        <f t="shared" si="8"/>
        <v>0</v>
      </c>
      <c r="BH30" s="35">
        <f t="shared" si="24"/>
        <v>250</v>
      </c>
      <c r="BI30" s="35">
        <f t="shared" si="27"/>
        <v>250</v>
      </c>
      <c r="BJ30" s="35">
        <f t="shared" si="15"/>
        <v>250</v>
      </c>
      <c r="BK30" s="35">
        <f t="shared" si="9"/>
        <v>250</v>
      </c>
      <c r="BL30" s="35">
        <f t="shared" si="28"/>
        <v>0</v>
      </c>
      <c r="BM30" s="35">
        <f t="shared" si="16"/>
        <v>250</v>
      </c>
      <c r="BN30" s="35">
        <f t="shared" si="10"/>
        <v>250</v>
      </c>
      <c r="BO30" s="130">
        <f t="shared" si="11"/>
        <v>1</v>
      </c>
    </row>
    <row r="31" spans="1:67" s="131" customFormat="1" ht="15">
      <c r="A31" s="152">
        <v>26</v>
      </c>
      <c r="B31" s="37">
        <v>841358</v>
      </c>
      <c r="C31" s="37" t="s">
        <v>171</v>
      </c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220"/>
      <c r="V31" s="152"/>
      <c r="W31" s="152"/>
      <c r="X31" s="152"/>
      <c r="Y31" s="24">
        <v>3600</v>
      </c>
      <c r="Z31" s="24">
        <v>3600</v>
      </c>
      <c r="AA31" s="24">
        <v>3600</v>
      </c>
      <c r="AB31" s="24">
        <v>3600</v>
      </c>
      <c r="AC31" s="24">
        <v>1800</v>
      </c>
      <c r="AD31" s="24">
        <v>2700</v>
      </c>
      <c r="AE31" s="24">
        <v>3600</v>
      </c>
      <c r="AF31" s="38">
        <f t="shared" si="18"/>
        <v>3600</v>
      </c>
      <c r="AG31" s="38">
        <f t="shared" si="30"/>
        <v>3600</v>
      </c>
      <c r="AH31" s="38">
        <f t="shared" si="12"/>
        <v>3600</v>
      </c>
      <c r="AI31" s="38">
        <f t="shared" si="3"/>
        <v>3600</v>
      </c>
      <c r="AJ31" s="38">
        <f t="shared" si="22"/>
        <v>1800</v>
      </c>
      <c r="AK31" s="38">
        <f t="shared" si="23"/>
        <v>2700</v>
      </c>
      <c r="AL31" s="38">
        <f t="shared" si="5"/>
        <v>3600</v>
      </c>
      <c r="AM31" s="38"/>
      <c r="AN31" s="38"/>
      <c r="AO31" s="38"/>
      <c r="AP31" s="38"/>
      <c r="AQ31" s="38"/>
      <c r="AR31" s="38"/>
      <c r="AS31" s="38"/>
      <c r="AT31" s="152"/>
      <c r="AU31" s="152"/>
      <c r="AV31" s="152"/>
      <c r="AW31" s="152"/>
      <c r="AX31" s="152"/>
      <c r="AY31" s="152"/>
      <c r="AZ31" s="152"/>
      <c r="BA31" s="36">
        <f t="shared" si="20"/>
        <v>0</v>
      </c>
      <c r="BB31" s="36">
        <f t="shared" si="21"/>
        <v>0</v>
      </c>
      <c r="BC31" s="36">
        <f t="shared" si="13"/>
        <v>0</v>
      </c>
      <c r="BD31" s="36">
        <f t="shared" si="6"/>
        <v>0</v>
      </c>
      <c r="BE31" s="36">
        <f t="shared" si="29"/>
        <v>0</v>
      </c>
      <c r="BF31" s="36">
        <f t="shared" si="26"/>
        <v>0</v>
      </c>
      <c r="BG31" s="36">
        <f t="shared" si="8"/>
        <v>0</v>
      </c>
      <c r="BH31" s="35">
        <f t="shared" si="24"/>
        <v>3600</v>
      </c>
      <c r="BI31" s="35">
        <f t="shared" si="27"/>
        <v>3600</v>
      </c>
      <c r="BJ31" s="35">
        <f t="shared" si="15"/>
        <v>3600</v>
      </c>
      <c r="BK31" s="35">
        <f t="shared" si="9"/>
        <v>3600</v>
      </c>
      <c r="BL31" s="35">
        <f t="shared" si="28"/>
        <v>1800</v>
      </c>
      <c r="BM31" s="35">
        <f t="shared" si="16"/>
        <v>2700</v>
      </c>
      <c r="BN31" s="35">
        <f t="shared" si="10"/>
        <v>3600</v>
      </c>
      <c r="BO31" s="130">
        <f t="shared" si="11"/>
        <v>1</v>
      </c>
    </row>
    <row r="32" spans="1:67" s="131" customFormat="1" ht="15">
      <c r="A32" s="152">
        <v>27</v>
      </c>
      <c r="B32" s="37">
        <v>811000</v>
      </c>
      <c r="C32" s="24" t="s">
        <v>191</v>
      </c>
      <c r="D32" s="24">
        <v>5282</v>
      </c>
      <c r="E32" s="24">
        <v>5389</v>
      </c>
      <c r="F32" s="24">
        <v>5437</v>
      </c>
      <c r="G32" s="24">
        <v>5481</v>
      </c>
      <c r="H32" s="24">
        <v>2564</v>
      </c>
      <c r="I32" s="24">
        <v>3418</v>
      </c>
      <c r="J32" s="174">
        <v>4708</v>
      </c>
      <c r="K32" s="24">
        <v>1467</v>
      </c>
      <c r="L32" s="24">
        <v>1495</v>
      </c>
      <c r="M32" s="24">
        <v>1507</v>
      </c>
      <c r="N32" s="24">
        <v>1521</v>
      </c>
      <c r="O32" s="24">
        <v>662</v>
      </c>
      <c r="P32" s="24">
        <v>906</v>
      </c>
      <c r="Q32" s="174">
        <v>1263</v>
      </c>
      <c r="R32" s="24">
        <v>216</v>
      </c>
      <c r="S32" s="24">
        <v>367</v>
      </c>
      <c r="T32" s="24">
        <v>366</v>
      </c>
      <c r="U32" s="221">
        <f>'7.K.részletező'!AE104</f>
        <v>366</v>
      </c>
      <c r="V32" s="24">
        <v>152</v>
      </c>
      <c r="W32" s="24">
        <v>197</v>
      </c>
      <c r="X32" s="174">
        <v>197</v>
      </c>
      <c r="Y32" s="24"/>
      <c r="Z32" s="24"/>
      <c r="AA32" s="24"/>
      <c r="AB32" s="24"/>
      <c r="AC32" s="24"/>
      <c r="AD32" s="24"/>
      <c r="AE32" s="24"/>
      <c r="AF32" s="38">
        <f t="shared" si="18"/>
        <v>6965</v>
      </c>
      <c r="AG32" s="38">
        <f t="shared" si="30"/>
        <v>7251</v>
      </c>
      <c r="AH32" s="38">
        <f t="shared" si="12"/>
        <v>7310</v>
      </c>
      <c r="AI32" s="38">
        <f t="shared" si="3"/>
        <v>7368</v>
      </c>
      <c r="AJ32" s="38">
        <f t="shared" si="22"/>
        <v>3378</v>
      </c>
      <c r="AK32" s="38">
        <f t="shared" si="23"/>
        <v>4521</v>
      </c>
      <c r="AL32" s="38">
        <f t="shared" si="5"/>
        <v>6168</v>
      </c>
      <c r="AM32" s="38"/>
      <c r="AN32" s="38"/>
      <c r="AO32" s="38"/>
      <c r="AP32" s="38"/>
      <c r="AQ32" s="38"/>
      <c r="AR32" s="38"/>
      <c r="AS32" s="38"/>
      <c r="AT32" s="24"/>
      <c r="AU32" s="24"/>
      <c r="AV32" s="24"/>
      <c r="AW32" s="24"/>
      <c r="AX32" s="24"/>
      <c r="AY32" s="24"/>
      <c r="AZ32" s="24"/>
      <c r="BA32" s="36">
        <f t="shared" si="20"/>
        <v>0</v>
      </c>
      <c r="BB32" s="36">
        <f t="shared" si="21"/>
        <v>0</v>
      </c>
      <c r="BC32" s="36">
        <f t="shared" si="13"/>
        <v>0</v>
      </c>
      <c r="BD32" s="36">
        <f t="shared" si="6"/>
        <v>0</v>
      </c>
      <c r="BE32" s="36">
        <f t="shared" si="29"/>
        <v>0</v>
      </c>
      <c r="BF32" s="36">
        <f t="shared" si="26"/>
        <v>0</v>
      </c>
      <c r="BG32" s="198">
        <f t="shared" si="8"/>
        <v>0</v>
      </c>
      <c r="BH32" s="35">
        <f t="shared" si="24"/>
        <v>6965</v>
      </c>
      <c r="BI32" s="35">
        <f t="shared" si="27"/>
        <v>7251</v>
      </c>
      <c r="BJ32" s="35">
        <f t="shared" si="15"/>
        <v>7310</v>
      </c>
      <c r="BK32" s="35">
        <f t="shared" si="9"/>
        <v>7368</v>
      </c>
      <c r="BL32" s="35">
        <f t="shared" si="28"/>
        <v>3378</v>
      </c>
      <c r="BM32" s="35">
        <f t="shared" si="16"/>
        <v>4521</v>
      </c>
      <c r="BN32" s="35">
        <f t="shared" si="10"/>
        <v>6168</v>
      </c>
      <c r="BO32" s="130">
        <f t="shared" si="11"/>
        <v>0.8371335504885994</v>
      </c>
    </row>
    <row r="33" spans="1:67" s="131" customFormat="1" ht="15">
      <c r="A33" s="152">
        <v>28</v>
      </c>
      <c r="B33" s="37">
        <v>813000</v>
      </c>
      <c r="C33" s="24" t="s">
        <v>189</v>
      </c>
      <c r="D33" s="24">
        <v>14093</v>
      </c>
      <c r="E33" s="24">
        <v>14315</v>
      </c>
      <c r="F33" s="24">
        <v>14426</v>
      </c>
      <c r="G33" s="24">
        <v>14446</v>
      </c>
      <c r="H33" s="24">
        <v>6265</v>
      </c>
      <c r="I33" s="24">
        <v>9848</v>
      </c>
      <c r="J33" s="24">
        <v>13432</v>
      </c>
      <c r="K33" s="24">
        <v>3859</v>
      </c>
      <c r="L33" s="24">
        <v>3917</v>
      </c>
      <c r="M33" s="24">
        <v>3944</v>
      </c>
      <c r="N33" s="24">
        <v>3964</v>
      </c>
      <c r="O33" s="24">
        <v>1679</v>
      </c>
      <c r="P33" s="24">
        <v>2668</v>
      </c>
      <c r="Q33" s="24">
        <v>3642</v>
      </c>
      <c r="R33" s="24">
        <v>11692</v>
      </c>
      <c r="S33" s="24">
        <v>11692</v>
      </c>
      <c r="T33" s="24">
        <v>11692</v>
      </c>
      <c r="U33" s="221">
        <f>'7.K.részletező'!AF104</f>
        <v>11092</v>
      </c>
      <c r="V33" s="24">
        <v>5108</v>
      </c>
      <c r="W33" s="24">
        <v>8415</v>
      </c>
      <c r="X33" s="24">
        <v>10456</v>
      </c>
      <c r="Y33" s="24"/>
      <c r="Z33" s="24"/>
      <c r="AA33" s="24"/>
      <c r="AB33" s="24"/>
      <c r="AC33" s="24"/>
      <c r="AD33" s="24"/>
      <c r="AE33" s="24"/>
      <c r="AF33" s="38">
        <f t="shared" si="18"/>
        <v>29644</v>
      </c>
      <c r="AG33" s="38">
        <f t="shared" si="30"/>
        <v>29924</v>
      </c>
      <c r="AH33" s="38">
        <f t="shared" si="12"/>
        <v>30062</v>
      </c>
      <c r="AI33" s="38">
        <f t="shared" si="3"/>
        <v>29502</v>
      </c>
      <c r="AJ33" s="38">
        <f t="shared" si="22"/>
        <v>13052</v>
      </c>
      <c r="AK33" s="38">
        <f t="shared" si="23"/>
        <v>20931</v>
      </c>
      <c r="AL33" s="38">
        <f t="shared" si="5"/>
        <v>27530</v>
      </c>
      <c r="AM33" s="38"/>
      <c r="AN33" s="38"/>
      <c r="AO33" s="38"/>
      <c r="AP33" s="38"/>
      <c r="AQ33" s="38"/>
      <c r="AR33" s="38"/>
      <c r="AS33" s="38"/>
      <c r="AT33" s="24">
        <v>3100</v>
      </c>
      <c r="AU33" s="24">
        <v>5382</v>
      </c>
      <c r="AV33" s="24">
        <v>4290</v>
      </c>
      <c r="AW33" s="24">
        <v>4290</v>
      </c>
      <c r="AX33" s="24">
        <v>5465</v>
      </c>
      <c r="AY33" s="24">
        <v>5806</v>
      </c>
      <c r="AZ33" s="24">
        <v>5820</v>
      </c>
      <c r="BA33" s="36">
        <f t="shared" si="20"/>
        <v>3100</v>
      </c>
      <c r="BB33" s="36">
        <f t="shared" si="21"/>
        <v>5382</v>
      </c>
      <c r="BC33" s="36">
        <f t="shared" si="13"/>
        <v>4290</v>
      </c>
      <c r="BD33" s="36">
        <f t="shared" si="6"/>
        <v>4290</v>
      </c>
      <c r="BE33" s="36">
        <f t="shared" si="29"/>
        <v>5465</v>
      </c>
      <c r="BF33" s="36">
        <f t="shared" si="26"/>
        <v>5806</v>
      </c>
      <c r="BG33" s="36">
        <f t="shared" si="8"/>
        <v>5820</v>
      </c>
      <c r="BH33" s="35">
        <f t="shared" si="24"/>
        <v>32744</v>
      </c>
      <c r="BI33" s="35">
        <f t="shared" si="27"/>
        <v>35306</v>
      </c>
      <c r="BJ33" s="35">
        <f t="shared" si="15"/>
        <v>34352</v>
      </c>
      <c r="BK33" s="35">
        <f t="shared" si="9"/>
        <v>33792</v>
      </c>
      <c r="BL33" s="35">
        <f t="shared" si="28"/>
        <v>18517</v>
      </c>
      <c r="BM33" s="35">
        <f t="shared" si="16"/>
        <v>26737</v>
      </c>
      <c r="BN33" s="35">
        <f t="shared" si="10"/>
        <v>33350</v>
      </c>
      <c r="BO33" s="130">
        <f t="shared" si="11"/>
        <v>0.9869199810606061</v>
      </c>
    </row>
    <row r="34" spans="1:68" s="131" customFormat="1" ht="15">
      <c r="A34" s="152">
        <v>29</v>
      </c>
      <c r="B34" s="37">
        <v>841154</v>
      </c>
      <c r="C34" s="37" t="s">
        <v>173</v>
      </c>
      <c r="D34" s="37">
        <v>14746</v>
      </c>
      <c r="E34" s="37">
        <v>14966</v>
      </c>
      <c r="F34" s="37">
        <v>15144</v>
      </c>
      <c r="G34" s="37">
        <v>15642</v>
      </c>
      <c r="H34" s="37">
        <f>6258-137</f>
        <v>6121</v>
      </c>
      <c r="I34" s="37">
        <v>9872</v>
      </c>
      <c r="J34" s="177">
        <v>14790</v>
      </c>
      <c r="K34" s="37">
        <v>5380</v>
      </c>
      <c r="L34" s="37">
        <v>5426</v>
      </c>
      <c r="M34" s="37">
        <v>5473</v>
      </c>
      <c r="N34" s="37">
        <v>5627</v>
      </c>
      <c r="O34" s="37">
        <f>3262+3+138</f>
        <v>3403</v>
      </c>
      <c r="P34" s="37">
        <v>4312</v>
      </c>
      <c r="Q34" s="177">
        <v>5458</v>
      </c>
      <c r="R34" s="37">
        <v>16974</v>
      </c>
      <c r="S34" s="37">
        <v>17285</v>
      </c>
      <c r="T34" s="37">
        <v>17252</v>
      </c>
      <c r="U34" s="222">
        <f>'7.K.részletező'!AG104</f>
        <v>16831</v>
      </c>
      <c r="V34" s="37">
        <f>6977+45</f>
        <v>7022</v>
      </c>
      <c r="W34" s="37">
        <v>10440</v>
      </c>
      <c r="X34" s="177">
        <f>14903-216</f>
        <v>14687</v>
      </c>
      <c r="Y34" s="152"/>
      <c r="Z34" s="152"/>
      <c r="AA34" s="152"/>
      <c r="AB34" s="152"/>
      <c r="AC34" s="152"/>
      <c r="AD34" s="152"/>
      <c r="AE34" s="152"/>
      <c r="AF34" s="38">
        <f t="shared" si="18"/>
        <v>37100</v>
      </c>
      <c r="AG34" s="38">
        <f t="shared" si="30"/>
        <v>37677</v>
      </c>
      <c r="AH34" s="38">
        <f t="shared" si="12"/>
        <v>37869</v>
      </c>
      <c r="AI34" s="38">
        <f t="shared" si="3"/>
        <v>38100</v>
      </c>
      <c r="AJ34" s="38">
        <f t="shared" si="22"/>
        <v>16546</v>
      </c>
      <c r="AK34" s="38">
        <f t="shared" si="23"/>
        <v>24624</v>
      </c>
      <c r="AL34" s="38">
        <f t="shared" si="5"/>
        <v>34935</v>
      </c>
      <c r="AM34" s="38"/>
      <c r="AN34" s="38"/>
      <c r="AO34" s="38"/>
      <c r="AP34" s="38"/>
      <c r="AQ34" s="38"/>
      <c r="AR34" s="38"/>
      <c r="AS34" s="38"/>
      <c r="AT34" s="37">
        <v>191</v>
      </c>
      <c r="AU34" s="37">
        <v>191</v>
      </c>
      <c r="AV34" s="37">
        <v>191</v>
      </c>
      <c r="AW34" s="37">
        <v>210</v>
      </c>
      <c r="AX34" s="37">
        <v>209</v>
      </c>
      <c r="AY34" s="37">
        <v>209</v>
      </c>
      <c r="AZ34" s="37">
        <v>209</v>
      </c>
      <c r="BA34" s="36">
        <f t="shared" si="20"/>
        <v>191</v>
      </c>
      <c r="BB34" s="36">
        <f t="shared" si="21"/>
        <v>191</v>
      </c>
      <c r="BC34" s="36">
        <f t="shared" si="13"/>
        <v>191</v>
      </c>
      <c r="BD34" s="36">
        <f t="shared" si="6"/>
        <v>210</v>
      </c>
      <c r="BE34" s="36">
        <f t="shared" si="29"/>
        <v>209</v>
      </c>
      <c r="BF34" s="36">
        <f t="shared" si="26"/>
        <v>209</v>
      </c>
      <c r="BG34" s="198">
        <f t="shared" si="8"/>
        <v>209</v>
      </c>
      <c r="BH34" s="35">
        <f t="shared" si="24"/>
        <v>37291</v>
      </c>
      <c r="BI34" s="35">
        <f t="shared" si="27"/>
        <v>37868</v>
      </c>
      <c r="BJ34" s="35">
        <f t="shared" si="15"/>
        <v>38060</v>
      </c>
      <c r="BK34" s="35">
        <f t="shared" si="9"/>
        <v>38310</v>
      </c>
      <c r="BL34" s="35">
        <f t="shared" si="28"/>
        <v>16755</v>
      </c>
      <c r="BM34" s="35">
        <f t="shared" si="16"/>
        <v>24833</v>
      </c>
      <c r="BN34" s="35">
        <f t="shared" si="10"/>
        <v>35144</v>
      </c>
      <c r="BO34" s="130">
        <f t="shared" si="11"/>
        <v>0.917358392064735</v>
      </c>
      <c r="BP34" s="131" t="s">
        <v>666</v>
      </c>
    </row>
    <row r="35" spans="1:67" s="131" customFormat="1" ht="15">
      <c r="A35" s="152">
        <v>30</v>
      </c>
      <c r="B35" s="37">
        <v>841402</v>
      </c>
      <c r="C35" s="37" t="s">
        <v>172</v>
      </c>
      <c r="D35" s="152"/>
      <c r="E35" s="152"/>
      <c r="F35" s="152"/>
      <c r="G35" s="152"/>
      <c r="H35" s="152"/>
      <c r="I35" s="152"/>
      <c r="J35" s="194"/>
      <c r="K35" s="152"/>
      <c r="L35" s="152"/>
      <c r="M35" s="152"/>
      <c r="N35" s="152"/>
      <c r="O35" s="152"/>
      <c r="P35" s="152"/>
      <c r="Q35" s="194"/>
      <c r="R35" s="37">
        <v>17780</v>
      </c>
      <c r="S35" s="37">
        <v>17780</v>
      </c>
      <c r="T35" s="37">
        <v>17780</v>
      </c>
      <c r="U35" s="222">
        <f>'7.K.részletező'!AH104</f>
        <v>12919</v>
      </c>
      <c r="V35" s="37">
        <v>7090</v>
      </c>
      <c r="W35" s="37">
        <v>10059</v>
      </c>
      <c r="X35" s="37">
        <v>12918</v>
      </c>
      <c r="Y35" s="152"/>
      <c r="Z35" s="152"/>
      <c r="AA35" s="152"/>
      <c r="AB35" s="152"/>
      <c r="AC35" s="152"/>
      <c r="AD35" s="152"/>
      <c r="AE35" s="152"/>
      <c r="AF35" s="38">
        <f t="shared" si="18"/>
        <v>17780</v>
      </c>
      <c r="AG35" s="38">
        <f t="shared" si="30"/>
        <v>17780</v>
      </c>
      <c r="AH35" s="38">
        <f t="shared" si="12"/>
        <v>17780</v>
      </c>
      <c r="AI35" s="38">
        <f t="shared" si="3"/>
        <v>12919</v>
      </c>
      <c r="AJ35" s="38">
        <f t="shared" si="22"/>
        <v>7090</v>
      </c>
      <c r="AK35" s="38">
        <f t="shared" si="23"/>
        <v>10059</v>
      </c>
      <c r="AL35" s="38">
        <f t="shared" si="5"/>
        <v>12918</v>
      </c>
      <c r="AM35" s="38"/>
      <c r="AN35" s="38"/>
      <c r="AO35" s="38"/>
      <c r="AP35" s="38"/>
      <c r="AQ35" s="38"/>
      <c r="AR35" s="38"/>
      <c r="AS35" s="38"/>
      <c r="AT35" s="152"/>
      <c r="AU35" s="152"/>
      <c r="AV35" s="152"/>
      <c r="AW35" s="152"/>
      <c r="AX35" s="152"/>
      <c r="AY35" s="152"/>
      <c r="AZ35" s="152"/>
      <c r="BA35" s="36">
        <f t="shared" si="20"/>
        <v>0</v>
      </c>
      <c r="BB35" s="36">
        <f t="shared" si="21"/>
        <v>0</v>
      </c>
      <c r="BC35" s="36">
        <f t="shared" si="13"/>
        <v>0</v>
      </c>
      <c r="BD35" s="36">
        <f t="shared" si="6"/>
        <v>0</v>
      </c>
      <c r="BE35" s="36">
        <f t="shared" si="29"/>
        <v>0</v>
      </c>
      <c r="BF35" s="36">
        <f t="shared" si="26"/>
        <v>0</v>
      </c>
      <c r="BG35" s="198">
        <f t="shared" si="8"/>
        <v>0</v>
      </c>
      <c r="BH35" s="35">
        <f t="shared" si="24"/>
        <v>17780</v>
      </c>
      <c r="BI35" s="35">
        <f t="shared" si="27"/>
        <v>17780</v>
      </c>
      <c r="BJ35" s="35">
        <f t="shared" si="15"/>
        <v>17780</v>
      </c>
      <c r="BK35" s="35">
        <f t="shared" si="9"/>
        <v>12919</v>
      </c>
      <c r="BL35" s="35">
        <f t="shared" si="28"/>
        <v>7090</v>
      </c>
      <c r="BM35" s="35">
        <f t="shared" si="16"/>
        <v>10059</v>
      </c>
      <c r="BN35" s="35">
        <f t="shared" si="10"/>
        <v>12918</v>
      </c>
      <c r="BO35" s="130">
        <f t="shared" si="11"/>
        <v>0.9999225946280672</v>
      </c>
    </row>
    <row r="36" spans="1:68" s="131" customFormat="1" ht="15">
      <c r="A36" s="152">
        <v>31</v>
      </c>
      <c r="B36" s="37">
        <v>841403</v>
      </c>
      <c r="C36" s="37" t="s">
        <v>174</v>
      </c>
      <c r="D36" s="152"/>
      <c r="E36" s="152"/>
      <c r="F36" s="152"/>
      <c r="G36" s="152">
        <v>519</v>
      </c>
      <c r="H36" s="152">
        <v>84</v>
      </c>
      <c r="I36" s="152">
        <v>532</v>
      </c>
      <c r="J36" s="152">
        <v>902</v>
      </c>
      <c r="K36" s="152"/>
      <c r="L36" s="152"/>
      <c r="M36" s="152"/>
      <c r="N36" s="152">
        <v>141</v>
      </c>
      <c r="O36" s="152">
        <v>23</v>
      </c>
      <c r="P36" s="152">
        <v>145</v>
      </c>
      <c r="Q36" s="152">
        <v>166</v>
      </c>
      <c r="R36" s="24">
        <v>17202</v>
      </c>
      <c r="S36" s="24">
        <v>19408</v>
      </c>
      <c r="T36" s="24">
        <v>19408</v>
      </c>
      <c r="U36" s="221">
        <f>'7.K.részletező'!AI104</f>
        <v>20736</v>
      </c>
      <c r="V36" s="24">
        <v>4124</v>
      </c>
      <c r="W36" s="24">
        <v>10830</v>
      </c>
      <c r="X36" s="24">
        <v>14127</v>
      </c>
      <c r="Y36" s="24"/>
      <c r="Z36" s="24"/>
      <c r="AA36" s="24"/>
      <c r="AB36" s="24"/>
      <c r="AC36" s="24"/>
      <c r="AD36" s="24"/>
      <c r="AE36" s="24"/>
      <c r="AF36" s="38">
        <f t="shared" si="18"/>
        <v>17202</v>
      </c>
      <c r="AG36" s="38">
        <f t="shared" si="30"/>
        <v>19408</v>
      </c>
      <c r="AH36" s="38">
        <f t="shared" si="12"/>
        <v>19408</v>
      </c>
      <c r="AI36" s="38">
        <f t="shared" si="3"/>
        <v>21396</v>
      </c>
      <c r="AJ36" s="38">
        <f t="shared" si="22"/>
        <v>4231</v>
      </c>
      <c r="AK36" s="38">
        <f t="shared" si="23"/>
        <v>11507</v>
      </c>
      <c r="AL36" s="38">
        <f t="shared" si="5"/>
        <v>15195</v>
      </c>
      <c r="AM36" s="38">
        <v>2500</v>
      </c>
      <c r="AN36" s="38">
        <v>2500</v>
      </c>
      <c r="AO36" s="38">
        <v>2500</v>
      </c>
      <c r="AP36" s="38">
        <v>2500</v>
      </c>
      <c r="AQ36" s="38">
        <v>687</v>
      </c>
      <c r="AR36" s="38">
        <v>687</v>
      </c>
      <c r="AS36" s="38">
        <v>2070</v>
      </c>
      <c r="AT36" s="24">
        <v>49093</v>
      </c>
      <c r="AU36" s="24">
        <v>10604</v>
      </c>
      <c r="AV36" s="24">
        <v>11696</v>
      </c>
      <c r="AW36" s="24">
        <v>12035</v>
      </c>
      <c r="AX36" s="24">
        <v>3701</v>
      </c>
      <c r="AY36" s="24">
        <v>4906</v>
      </c>
      <c r="AZ36" s="24">
        <v>5311</v>
      </c>
      <c r="BA36" s="36">
        <f t="shared" si="20"/>
        <v>51593</v>
      </c>
      <c r="BB36" s="36">
        <f t="shared" si="21"/>
        <v>13104</v>
      </c>
      <c r="BC36" s="36">
        <f t="shared" si="13"/>
        <v>14196</v>
      </c>
      <c r="BD36" s="36">
        <f t="shared" si="6"/>
        <v>14535</v>
      </c>
      <c r="BE36" s="36">
        <f t="shared" si="29"/>
        <v>4388</v>
      </c>
      <c r="BF36" s="36">
        <f t="shared" si="26"/>
        <v>5593</v>
      </c>
      <c r="BG36" s="36">
        <v>7381</v>
      </c>
      <c r="BH36" s="35">
        <f t="shared" si="24"/>
        <v>68795</v>
      </c>
      <c r="BI36" s="35">
        <f t="shared" si="27"/>
        <v>32512</v>
      </c>
      <c r="BJ36" s="35">
        <f t="shared" si="15"/>
        <v>33604</v>
      </c>
      <c r="BK36" s="35">
        <f t="shared" si="9"/>
        <v>35931</v>
      </c>
      <c r="BL36" s="35">
        <f t="shared" si="28"/>
        <v>8619</v>
      </c>
      <c r="BM36" s="35">
        <f t="shared" si="16"/>
        <v>17100</v>
      </c>
      <c r="BN36" s="35">
        <f t="shared" si="10"/>
        <v>22576</v>
      </c>
      <c r="BO36" s="130">
        <f t="shared" si="11"/>
        <v>0.6283153822604436</v>
      </c>
      <c r="BP36" s="131">
        <v>22574</v>
      </c>
    </row>
    <row r="37" spans="1:68" s="131" customFormat="1" ht="15">
      <c r="A37" s="152">
        <v>32</v>
      </c>
      <c r="B37" s="37">
        <v>842155</v>
      </c>
      <c r="C37" s="37" t="s">
        <v>175</v>
      </c>
      <c r="D37" s="152"/>
      <c r="E37" s="152"/>
      <c r="F37" s="152"/>
      <c r="G37" s="152"/>
      <c r="H37" s="152"/>
      <c r="I37" s="152"/>
      <c r="J37" s="194"/>
      <c r="K37" s="152"/>
      <c r="L37" s="152"/>
      <c r="M37" s="152"/>
      <c r="N37" s="152"/>
      <c r="O37" s="152"/>
      <c r="P37" s="152"/>
      <c r="Q37" s="194"/>
      <c r="R37" s="24">
        <v>635</v>
      </c>
      <c r="S37" s="24">
        <v>635</v>
      </c>
      <c r="T37" s="24">
        <v>635</v>
      </c>
      <c r="U37" s="221">
        <f>'7.K.részletező'!AJ104</f>
        <v>635</v>
      </c>
      <c r="V37" s="24">
        <v>0</v>
      </c>
      <c r="W37" s="24">
        <v>919</v>
      </c>
      <c r="X37" s="24">
        <v>937</v>
      </c>
      <c r="Y37" s="24"/>
      <c r="Z37" s="24"/>
      <c r="AA37" s="24"/>
      <c r="AB37" s="24"/>
      <c r="AC37" s="24"/>
      <c r="AD37" s="24"/>
      <c r="AE37" s="24"/>
      <c r="AF37" s="38">
        <f t="shared" si="18"/>
        <v>635</v>
      </c>
      <c r="AG37" s="38">
        <f t="shared" si="30"/>
        <v>635</v>
      </c>
      <c r="AH37" s="38">
        <f t="shared" si="12"/>
        <v>635</v>
      </c>
      <c r="AI37" s="38">
        <f t="shared" si="3"/>
        <v>635</v>
      </c>
      <c r="AJ37" s="38">
        <f t="shared" si="22"/>
        <v>0</v>
      </c>
      <c r="AK37" s="38">
        <f t="shared" si="23"/>
        <v>919</v>
      </c>
      <c r="AL37" s="38">
        <f t="shared" si="5"/>
        <v>937</v>
      </c>
      <c r="AM37" s="38"/>
      <c r="AN37" s="38"/>
      <c r="AO37" s="38"/>
      <c r="AP37" s="38"/>
      <c r="AQ37" s="38"/>
      <c r="AR37" s="38"/>
      <c r="AS37" s="38"/>
      <c r="AT37" s="24"/>
      <c r="AU37" s="24"/>
      <c r="AV37" s="24"/>
      <c r="AW37" s="24"/>
      <c r="AX37" s="24"/>
      <c r="AY37" s="24"/>
      <c r="AZ37" s="24"/>
      <c r="BA37" s="36">
        <f t="shared" si="20"/>
        <v>0</v>
      </c>
      <c r="BB37" s="36">
        <f t="shared" si="21"/>
        <v>0</v>
      </c>
      <c r="BC37" s="36">
        <f t="shared" si="13"/>
        <v>0</v>
      </c>
      <c r="BD37" s="36">
        <f t="shared" si="6"/>
        <v>0</v>
      </c>
      <c r="BE37" s="36">
        <f t="shared" si="29"/>
        <v>0</v>
      </c>
      <c r="BF37" s="36">
        <f t="shared" si="26"/>
        <v>0</v>
      </c>
      <c r="BG37" s="198">
        <f t="shared" si="8"/>
        <v>0</v>
      </c>
      <c r="BH37" s="35">
        <f t="shared" si="24"/>
        <v>635</v>
      </c>
      <c r="BI37" s="35">
        <f t="shared" si="27"/>
        <v>635</v>
      </c>
      <c r="BJ37" s="35">
        <f t="shared" si="15"/>
        <v>635</v>
      </c>
      <c r="BK37" s="35">
        <f t="shared" si="9"/>
        <v>635</v>
      </c>
      <c r="BL37" s="35">
        <f t="shared" si="28"/>
        <v>0</v>
      </c>
      <c r="BM37" s="35">
        <f t="shared" si="16"/>
        <v>919</v>
      </c>
      <c r="BN37" s="35">
        <f t="shared" si="10"/>
        <v>937</v>
      </c>
      <c r="BO37" s="130">
        <f t="shared" si="11"/>
        <v>1.4755905511811023</v>
      </c>
      <c r="BP37" s="131">
        <v>936</v>
      </c>
    </row>
    <row r="38" spans="1:67" s="131" customFormat="1" ht="15">
      <c r="A38" s="152">
        <v>33</v>
      </c>
      <c r="B38" s="37">
        <v>852011</v>
      </c>
      <c r="C38" s="37" t="s">
        <v>583</v>
      </c>
      <c r="D38" s="37">
        <v>3296</v>
      </c>
      <c r="E38" s="37">
        <v>3372</v>
      </c>
      <c r="F38" s="37">
        <v>3411</v>
      </c>
      <c r="G38" s="37">
        <v>3509</v>
      </c>
      <c r="H38" s="37">
        <v>1652</v>
      </c>
      <c r="I38" s="37">
        <v>2435</v>
      </c>
      <c r="J38" s="177">
        <v>3466</v>
      </c>
      <c r="K38" s="37">
        <v>914</v>
      </c>
      <c r="L38" s="37">
        <v>933</v>
      </c>
      <c r="M38" s="37">
        <v>942</v>
      </c>
      <c r="N38" s="37">
        <v>954</v>
      </c>
      <c r="O38" s="37">
        <v>432</v>
      </c>
      <c r="P38" s="37">
        <v>650</v>
      </c>
      <c r="Q38" s="177">
        <v>914</v>
      </c>
      <c r="R38" s="24">
        <v>15293</v>
      </c>
      <c r="S38" s="24">
        <v>15178</v>
      </c>
      <c r="T38" s="24">
        <v>15308</v>
      </c>
      <c r="U38" s="221">
        <f>'7.K.részletező'!AK104</f>
        <v>15281</v>
      </c>
      <c r="V38" s="24">
        <v>9145</v>
      </c>
      <c r="W38" s="24">
        <v>10281</v>
      </c>
      <c r="X38" s="174">
        <f>14623-241</f>
        <v>14382</v>
      </c>
      <c r="Y38" s="24"/>
      <c r="Z38" s="24"/>
      <c r="AA38" s="24"/>
      <c r="AB38" s="24"/>
      <c r="AC38" s="24"/>
      <c r="AD38" s="24"/>
      <c r="AE38" s="24"/>
      <c r="AF38" s="38">
        <f t="shared" si="18"/>
        <v>19503</v>
      </c>
      <c r="AG38" s="38">
        <f t="shared" si="30"/>
        <v>19483</v>
      </c>
      <c r="AH38" s="38">
        <f t="shared" si="12"/>
        <v>19661</v>
      </c>
      <c r="AI38" s="38">
        <f t="shared" si="3"/>
        <v>19744</v>
      </c>
      <c r="AJ38" s="38">
        <f t="shared" si="22"/>
        <v>11229</v>
      </c>
      <c r="AK38" s="38">
        <f t="shared" si="23"/>
        <v>13366</v>
      </c>
      <c r="AL38" s="38">
        <f t="shared" si="5"/>
        <v>18762</v>
      </c>
      <c r="AM38" s="38"/>
      <c r="AN38" s="38"/>
      <c r="AO38" s="38"/>
      <c r="AP38" s="38"/>
      <c r="AQ38" s="38"/>
      <c r="AR38" s="38"/>
      <c r="AS38" s="38"/>
      <c r="AT38" s="152"/>
      <c r="AU38" s="152">
        <v>215</v>
      </c>
      <c r="AV38" s="152">
        <v>215</v>
      </c>
      <c r="AW38" s="152">
        <v>242</v>
      </c>
      <c r="AX38" s="152">
        <v>241</v>
      </c>
      <c r="AY38" s="152">
        <v>241</v>
      </c>
      <c r="AZ38" s="152">
        <v>241</v>
      </c>
      <c r="BA38" s="36">
        <f t="shared" si="20"/>
        <v>0</v>
      </c>
      <c r="BB38" s="36">
        <f t="shared" si="21"/>
        <v>215</v>
      </c>
      <c r="BC38" s="36">
        <f t="shared" si="13"/>
        <v>215</v>
      </c>
      <c r="BD38" s="36">
        <f t="shared" si="6"/>
        <v>242</v>
      </c>
      <c r="BE38" s="36">
        <f t="shared" si="29"/>
        <v>241</v>
      </c>
      <c r="BF38" s="36">
        <f t="shared" si="26"/>
        <v>241</v>
      </c>
      <c r="BG38" s="198">
        <f t="shared" si="8"/>
        <v>241</v>
      </c>
      <c r="BH38" s="35">
        <f t="shared" si="24"/>
        <v>19503</v>
      </c>
      <c r="BI38" s="35">
        <f t="shared" si="27"/>
        <v>19698</v>
      </c>
      <c r="BJ38" s="35">
        <f t="shared" si="15"/>
        <v>19876</v>
      </c>
      <c r="BK38" s="35">
        <f t="shared" si="9"/>
        <v>19986</v>
      </c>
      <c r="BL38" s="35">
        <f t="shared" si="28"/>
        <v>11470</v>
      </c>
      <c r="BM38" s="35">
        <f t="shared" si="16"/>
        <v>13607</v>
      </c>
      <c r="BN38" s="35">
        <f t="shared" si="10"/>
        <v>19003</v>
      </c>
      <c r="BO38" s="130">
        <f t="shared" si="11"/>
        <v>0.9508155708996298</v>
      </c>
    </row>
    <row r="39" spans="1:67" s="131" customFormat="1" ht="15">
      <c r="A39" s="152">
        <v>34</v>
      </c>
      <c r="B39" s="37">
        <v>862101</v>
      </c>
      <c r="C39" s="37" t="s">
        <v>182</v>
      </c>
      <c r="D39" s="24">
        <v>2659</v>
      </c>
      <c r="E39" s="24">
        <v>2731</v>
      </c>
      <c r="F39" s="24">
        <v>2767</v>
      </c>
      <c r="G39" s="24">
        <v>2805</v>
      </c>
      <c r="H39" s="24">
        <v>1248</v>
      </c>
      <c r="I39" s="24">
        <v>1853</v>
      </c>
      <c r="J39" s="24">
        <v>2819</v>
      </c>
      <c r="K39" s="24">
        <v>731</v>
      </c>
      <c r="L39" s="24">
        <v>750</v>
      </c>
      <c r="M39" s="24">
        <v>759</v>
      </c>
      <c r="N39" s="24">
        <v>771</v>
      </c>
      <c r="O39" s="24">
        <v>324</v>
      </c>
      <c r="P39" s="24">
        <v>490</v>
      </c>
      <c r="Q39" s="24">
        <v>743</v>
      </c>
      <c r="R39" s="37">
        <v>1724</v>
      </c>
      <c r="S39" s="37">
        <f>6065+79</f>
        <v>6144</v>
      </c>
      <c r="T39" s="37">
        <v>6144</v>
      </c>
      <c r="U39" s="222">
        <f>'7.K.részletező'!AL104</f>
        <v>6287</v>
      </c>
      <c r="V39" s="37">
        <v>2001</v>
      </c>
      <c r="W39" s="37">
        <v>4517</v>
      </c>
      <c r="X39" s="37">
        <v>7139</v>
      </c>
      <c r="Y39" s="37">
        <v>2400</v>
      </c>
      <c r="Z39" s="37">
        <v>2400</v>
      </c>
      <c r="AA39" s="37">
        <v>600</v>
      </c>
      <c r="AB39" s="37">
        <v>600</v>
      </c>
      <c r="AC39" s="37">
        <v>600</v>
      </c>
      <c r="AD39" s="37">
        <v>600</v>
      </c>
      <c r="AE39" s="37">
        <v>600</v>
      </c>
      <c r="AF39" s="38">
        <f t="shared" si="18"/>
        <v>7514</v>
      </c>
      <c r="AG39" s="38">
        <f t="shared" si="30"/>
        <v>12025</v>
      </c>
      <c r="AH39" s="38">
        <f t="shared" si="12"/>
        <v>10270</v>
      </c>
      <c r="AI39" s="38">
        <f t="shared" si="3"/>
        <v>10463</v>
      </c>
      <c r="AJ39" s="38">
        <f t="shared" si="22"/>
        <v>4173</v>
      </c>
      <c r="AK39" s="38">
        <f t="shared" si="23"/>
        <v>7460</v>
      </c>
      <c r="AL39" s="38">
        <f t="shared" si="5"/>
        <v>11301</v>
      </c>
      <c r="AM39" s="38"/>
      <c r="AN39" s="38"/>
      <c r="AO39" s="38"/>
      <c r="AP39" s="38"/>
      <c r="AQ39" s="38"/>
      <c r="AR39" s="38"/>
      <c r="AS39" s="38"/>
      <c r="AT39" s="152"/>
      <c r="AU39" s="152"/>
      <c r="AV39" s="152"/>
      <c r="AW39" s="152"/>
      <c r="AX39" s="152"/>
      <c r="AY39" s="152"/>
      <c r="AZ39" s="152"/>
      <c r="BA39" s="36">
        <f t="shared" si="20"/>
        <v>0</v>
      </c>
      <c r="BB39" s="36">
        <f t="shared" si="21"/>
        <v>0</v>
      </c>
      <c r="BC39" s="36">
        <f t="shared" si="13"/>
        <v>0</v>
      </c>
      <c r="BD39" s="36">
        <f t="shared" si="6"/>
        <v>0</v>
      </c>
      <c r="BE39" s="36">
        <f t="shared" si="29"/>
        <v>0</v>
      </c>
      <c r="BF39" s="36">
        <f t="shared" si="26"/>
        <v>0</v>
      </c>
      <c r="BG39" s="198">
        <f t="shared" si="8"/>
        <v>0</v>
      </c>
      <c r="BH39" s="35">
        <f t="shared" si="24"/>
        <v>7514</v>
      </c>
      <c r="BI39" s="35">
        <f t="shared" si="27"/>
        <v>12025</v>
      </c>
      <c r="BJ39" s="35">
        <f t="shared" si="15"/>
        <v>10270</v>
      </c>
      <c r="BK39" s="35">
        <f t="shared" si="9"/>
        <v>10463</v>
      </c>
      <c r="BL39" s="35">
        <f t="shared" si="28"/>
        <v>4173</v>
      </c>
      <c r="BM39" s="35">
        <f t="shared" si="16"/>
        <v>7460</v>
      </c>
      <c r="BN39" s="35">
        <f t="shared" si="10"/>
        <v>11301</v>
      </c>
      <c r="BO39" s="130">
        <f t="shared" si="11"/>
        <v>1.0800917518876039</v>
      </c>
    </row>
    <row r="40" spans="1:67" s="131" customFormat="1" ht="15">
      <c r="A40" s="152">
        <v>35</v>
      </c>
      <c r="B40" s="37">
        <v>862102</v>
      </c>
      <c r="C40" s="37" t="s">
        <v>185</v>
      </c>
      <c r="D40" s="152"/>
      <c r="E40" s="152"/>
      <c r="F40" s="152"/>
      <c r="G40" s="152"/>
      <c r="H40" s="152"/>
      <c r="I40" s="152"/>
      <c r="J40" s="194"/>
      <c r="K40" s="152"/>
      <c r="L40" s="152"/>
      <c r="M40" s="152"/>
      <c r="N40" s="152"/>
      <c r="O40" s="152"/>
      <c r="P40" s="152"/>
      <c r="Q40" s="194"/>
      <c r="R40" s="24">
        <v>1200</v>
      </c>
      <c r="S40" s="24">
        <v>1200</v>
      </c>
      <c r="T40" s="24">
        <v>1200</v>
      </c>
      <c r="U40" s="221">
        <f>'7.K.részletező'!AM104</f>
        <v>1334</v>
      </c>
      <c r="V40" s="24">
        <v>111</v>
      </c>
      <c r="W40" s="24">
        <v>679</v>
      </c>
      <c r="X40" s="24">
        <v>679</v>
      </c>
      <c r="Y40" s="24"/>
      <c r="Z40" s="24"/>
      <c r="AA40" s="24"/>
      <c r="AB40" s="24"/>
      <c r="AC40" s="24"/>
      <c r="AD40" s="24"/>
      <c r="AE40" s="24"/>
      <c r="AF40" s="38">
        <f t="shared" si="18"/>
        <v>1200</v>
      </c>
      <c r="AG40" s="38">
        <f t="shared" si="30"/>
        <v>1200</v>
      </c>
      <c r="AH40" s="38">
        <f t="shared" si="12"/>
        <v>1200</v>
      </c>
      <c r="AI40" s="38">
        <f t="shared" si="3"/>
        <v>1334</v>
      </c>
      <c r="AJ40" s="38">
        <f t="shared" si="22"/>
        <v>111</v>
      </c>
      <c r="AK40" s="38">
        <f t="shared" si="23"/>
        <v>679</v>
      </c>
      <c r="AL40" s="38">
        <f t="shared" si="5"/>
        <v>679</v>
      </c>
      <c r="AM40" s="38"/>
      <c r="AN40" s="38"/>
      <c r="AO40" s="38"/>
      <c r="AP40" s="38"/>
      <c r="AQ40" s="38"/>
      <c r="AR40" s="38"/>
      <c r="AS40" s="38"/>
      <c r="AT40" s="152"/>
      <c r="AU40" s="152"/>
      <c r="AV40" s="152"/>
      <c r="AW40" s="152"/>
      <c r="AX40" s="152"/>
      <c r="AY40" s="152"/>
      <c r="AZ40" s="152"/>
      <c r="BA40" s="36">
        <f t="shared" si="20"/>
        <v>0</v>
      </c>
      <c r="BB40" s="36">
        <f t="shared" si="21"/>
        <v>0</v>
      </c>
      <c r="BC40" s="36">
        <f t="shared" si="13"/>
        <v>0</v>
      </c>
      <c r="BD40" s="36">
        <f t="shared" si="6"/>
        <v>0</v>
      </c>
      <c r="BE40" s="36">
        <f t="shared" si="29"/>
        <v>0</v>
      </c>
      <c r="BF40" s="36">
        <f t="shared" si="26"/>
        <v>0</v>
      </c>
      <c r="BG40" s="198">
        <f t="shared" si="8"/>
        <v>0</v>
      </c>
      <c r="BH40" s="35">
        <f t="shared" si="24"/>
        <v>1200</v>
      </c>
      <c r="BI40" s="35">
        <f t="shared" si="27"/>
        <v>1200</v>
      </c>
      <c r="BJ40" s="35">
        <f t="shared" si="15"/>
        <v>1200</v>
      </c>
      <c r="BK40" s="35">
        <f t="shared" si="9"/>
        <v>1334</v>
      </c>
      <c r="BL40" s="35">
        <f t="shared" si="28"/>
        <v>111</v>
      </c>
      <c r="BM40" s="35">
        <f t="shared" si="16"/>
        <v>679</v>
      </c>
      <c r="BN40" s="35">
        <f t="shared" si="10"/>
        <v>679</v>
      </c>
      <c r="BO40" s="130">
        <f t="shared" si="11"/>
        <v>0.5089955022488756</v>
      </c>
    </row>
    <row r="41" spans="1:67" s="131" customFormat="1" ht="15">
      <c r="A41" s="152">
        <v>36</v>
      </c>
      <c r="B41" s="37">
        <v>862231</v>
      </c>
      <c r="C41" s="37" t="s">
        <v>183</v>
      </c>
      <c r="D41" s="152"/>
      <c r="E41" s="152"/>
      <c r="F41" s="152"/>
      <c r="G41" s="152"/>
      <c r="H41" s="152"/>
      <c r="I41" s="152"/>
      <c r="J41" s="194"/>
      <c r="K41" s="152"/>
      <c r="L41" s="152"/>
      <c r="M41" s="152"/>
      <c r="N41" s="152"/>
      <c r="O41" s="152"/>
      <c r="P41" s="152"/>
      <c r="Q41" s="194"/>
      <c r="R41" s="37">
        <v>300</v>
      </c>
      <c r="S41" s="37">
        <v>300</v>
      </c>
      <c r="T41" s="37">
        <v>300</v>
      </c>
      <c r="U41" s="222">
        <f>'7.K.részletező'!AN104</f>
        <v>300</v>
      </c>
      <c r="V41" s="37">
        <v>0</v>
      </c>
      <c r="W41" s="37">
        <v>0</v>
      </c>
      <c r="X41" s="37">
        <v>216</v>
      </c>
      <c r="Y41" s="152"/>
      <c r="Z41" s="152"/>
      <c r="AA41" s="152"/>
      <c r="AB41" s="152"/>
      <c r="AC41" s="152"/>
      <c r="AD41" s="152"/>
      <c r="AE41" s="152"/>
      <c r="AF41" s="38">
        <f t="shared" si="18"/>
        <v>300</v>
      </c>
      <c r="AG41" s="38">
        <f t="shared" si="30"/>
        <v>300</v>
      </c>
      <c r="AH41" s="38">
        <f t="shared" si="12"/>
        <v>300</v>
      </c>
      <c r="AI41" s="38">
        <f t="shared" si="3"/>
        <v>300</v>
      </c>
      <c r="AJ41" s="38">
        <f t="shared" si="22"/>
        <v>0</v>
      </c>
      <c r="AK41" s="38">
        <f t="shared" si="23"/>
        <v>0</v>
      </c>
      <c r="AL41" s="38">
        <f t="shared" si="5"/>
        <v>216</v>
      </c>
      <c r="AM41" s="38"/>
      <c r="AN41" s="38"/>
      <c r="AO41" s="38"/>
      <c r="AP41" s="38"/>
      <c r="AQ41" s="38"/>
      <c r="AR41" s="38"/>
      <c r="AS41" s="38"/>
      <c r="AT41" s="152"/>
      <c r="AU41" s="152"/>
      <c r="AV41" s="152"/>
      <c r="AW41" s="152"/>
      <c r="AX41" s="152"/>
      <c r="AY41" s="152"/>
      <c r="AZ41" s="152"/>
      <c r="BA41" s="36">
        <f t="shared" si="20"/>
        <v>0</v>
      </c>
      <c r="BB41" s="36">
        <f t="shared" si="21"/>
        <v>0</v>
      </c>
      <c r="BC41" s="36">
        <f t="shared" si="13"/>
        <v>0</v>
      </c>
      <c r="BD41" s="36">
        <f t="shared" si="6"/>
        <v>0</v>
      </c>
      <c r="BE41" s="36">
        <f t="shared" si="29"/>
        <v>0</v>
      </c>
      <c r="BF41" s="36">
        <f t="shared" si="26"/>
        <v>0</v>
      </c>
      <c r="BG41" s="198">
        <f t="shared" si="8"/>
        <v>0</v>
      </c>
      <c r="BH41" s="35">
        <f t="shared" si="24"/>
        <v>300</v>
      </c>
      <c r="BI41" s="35">
        <f t="shared" si="27"/>
        <v>300</v>
      </c>
      <c r="BJ41" s="35">
        <f t="shared" si="15"/>
        <v>300</v>
      </c>
      <c r="BK41" s="35">
        <f t="shared" si="9"/>
        <v>300</v>
      </c>
      <c r="BL41" s="35">
        <f t="shared" si="28"/>
        <v>0</v>
      </c>
      <c r="BM41" s="35">
        <f t="shared" si="16"/>
        <v>0</v>
      </c>
      <c r="BN41" s="35">
        <f t="shared" si="10"/>
        <v>216</v>
      </c>
      <c r="BO41" s="130">
        <f t="shared" si="11"/>
        <v>0.72</v>
      </c>
    </row>
    <row r="42" spans="1:67" s="131" customFormat="1" ht="17.25" customHeight="1">
      <c r="A42" s="152">
        <v>37</v>
      </c>
      <c r="B42" s="37">
        <v>862301</v>
      </c>
      <c r="C42" s="37" t="s">
        <v>184</v>
      </c>
      <c r="D42" s="152"/>
      <c r="E42" s="152"/>
      <c r="F42" s="152"/>
      <c r="G42" s="152"/>
      <c r="H42" s="152"/>
      <c r="I42" s="152"/>
      <c r="J42" s="194"/>
      <c r="K42" s="152"/>
      <c r="L42" s="152"/>
      <c r="M42" s="152"/>
      <c r="N42" s="152"/>
      <c r="O42" s="152"/>
      <c r="P42" s="152"/>
      <c r="Q42" s="194"/>
      <c r="R42" s="24">
        <v>1200</v>
      </c>
      <c r="S42" s="24">
        <v>1200</v>
      </c>
      <c r="T42" s="24">
        <v>1200</v>
      </c>
      <c r="U42" s="221">
        <f>'7.K.részletező'!AO104</f>
        <v>1200</v>
      </c>
      <c r="V42" s="24">
        <v>0</v>
      </c>
      <c r="W42" s="24">
        <v>0</v>
      </c>
      <c r="X42" s="174">
        <v>0</v>
      </c>
      <c r="Y42" s="24"/>
      <c r="Z42" s="24"/>
      <c r="AA42" s="24"/>
      <c r="AB42" s="24"/>
      <c r="AC42" s="24"/>
      <c r="AD42" s="24"/>
      <c r="AE42" s="24"/>
      <c r="AF42" s="38">
        <f t="shared" si="18"/>
        <v>1200</v>
      </c>
      <c r="AG42" s="38">
        <f t="shared" si="30"/>
        <v>1200</v>
      </c>
      <c r="AH42" s="38">
        <f t="shared" si="12"/>
        <v>1200</v>
      </c>
      <c r="AI42" s="38">
        <f t="shared" si="3"/>
        <v>1200</v>
      </c>
      <c r="AJ42" s="38">
        <f t="shared" si="22"/>
        <v>0</v>
      </c>
      <c r="AK42" s="38">
        <f t="shared" si="23"/>
        <v>0</v>
      </c>
      <c r="AL42" s="38">
        <f t="shared" si="5"/>
        <v>0</v>
      </c>
      <c r="AM42" s="38"/>
      <c r="AN42" s="38"/>
      <c r="AO42" s="38"/>
      <c r="AP42" s="38"/>
      <c r="AQ42" s="38"/>
      <c r="AR42" s="38"/>
      <c r="AS42" s="38"/>
      <c r="AT42" s="152"/>
      <c r="AU42" s="152"/>
      <c r="AV42" s="152"/>
      <c r="AW42" s="152"/>
      <c r="AX42" s="152"/>
      <c r="AY42" s="152"/>
      <c r="AZ42" s="152"/>
      <c r="BA42" s="36">
        <f t="shared" si="20"/>
        <v>0</v>
      </c>
      <c r="BB42" s="36">
        <f t="shared" si="21"/>
        <v>0</v>
      </c>
      <c r="BC42" s="36">
        <f t="shared" si="13"/>
        <v>0</v>
      </c>
      <c r="BD42" s="36">
        <f t="shared" si="6"/>
        <v>0</v>
      </c>
      <c r="BE42" s="36">
        <f t="shared" si="29"/>
        <v>0</v>
      </c>
      <c r="BF42" s="36">
        <f t="shared" si="26"/>
        <v>0</v>
      </c>
      <c r="BG42" s="198">
        <f t="shared" si="8"/>
        <v>0</v>
      </c>
      <c r="BH42" s="35">
        <f t="shared" si="24"/>
        <v>1200</v>
      </c>
      <c r="BI42" s="35">
        <f t="shared" si="27"/>
        <v>1200</v>
      </c>
      <c r="BJ42" s="35">
        <f t="shared" si="15"/>
        <v>1200</v>
      </c>
      <c r="BK42" s="35">
        <f t="shared" si="9"/>
        <v>1200</v>
      </c>
      <c r="BL42" s="35">
        <f t="shared" si="28"/>
        <v>0</v>
      </c>
      <c r="BM42" s="35">
        <f t="shared" si="16"/>
        <v>0</v>
      </c>
      <c r="BN42" s="35">
        <f t="shared" si="10"/>
        <v>0</v>
      </c>
      <c r="BO42" s="130">
        <f t="shared" si="11"/>
        <v>0</v>
      </c>
    </row>
    <row r="43" spans="1:68" s="131" customFormat="1" ht="15">
      <c r="A43" s="152">
        <v>38</v>
      </c>
      <c r="B43" s="37">
        <v>869041</v>
      </c>
      <c r="C43" s="37" t="s">
        <v>181</v>
      </c>
      <c r="D43" s="24">
        <v>2460</v>
      </c>
      <c r="E43" s="24">
        <v>2460</v>
      </c>
      <c r="F43" s="24">
        <v>2460</v>
      </c>
      <c r="G43" s="24">
        <v>2460</v>
      </c>
      <c r="H43" s="24">
        <v>1233</v>
      </c>
      <c r="I43" s="24">
        <v>1854</v>
      </c>
      <c r="J43" s="24">
        <v>2437</v>
      </c>
      <c r="K43" s="24">
        <v>633</v>
      </c>
      <c r="L43" s="24">
        <v>633</v>
      </c>
      <c r="M43" s="24">
        <v>633</v>
      </c>
      <c r="N43" s="24">
        <v>633</v>
      </c>
      <c r="O43" s="24">
        <v>315</v>
      </c>
      <c r="P43" s="24">
        <v>476</v>
      </c>
      <c r="Q43" s="24">
        <v>631</v>
      </c>
      <c r="R43" s="37">
        <v>1050</v>
      </c>
      <c r="S43" s="37">
        <v>1050</v>
      </c>
      <c r="T43" s="37">
        <v>1050</v>
      </c>
      <c r="U43" s="222">
        <f>'7.K.részletező'!AP104</f>
        <v>1045</v>
      </c>
      <c r="V43" s="37">
        <v>336</v>
      </c>
      <c r="W43" s="37">
        <v>499</v>
      </c>
      <c r="X43" s="37">
        <v>670</v>
      </c>
      <c r="Y43" s="152"/>
      <c r="Z43" s="152"/>
      <c r="AA43" s="152"/>
      <c r="AB43" s="152"/>
      <c r="AC43" s="152"/>
      <c r="AD43" s="152"/>
      <c r="AE43" s="152"/>
      <c r="AF43" s="38">
        <f t="shared" si="18"/>
        <v>4143</v>
      </c>
      <c r="AG43" s="38">
        <f t="shared" si="30"/>
        <v>4143</v>
      </c>
      <c r="AH43" s="38">
        <f t="shared" si="12"/>
        <v>4143</v>
      </c>
      <c r="AI43" s="38">
        <f t="shared" si="3"/>
        <v>4138</v>
      </c>
      <c r="AJ43" s="38">
        <f t="shared" si="22"/>
        <v>1884</v>
      </c>
      <c r="AK43" s="38">
        <f t="shared" si="23"/>
        <v>2829</v>
      </c>
      <c r="AL43" s="38">
        <f t="shared" si="5"/>
        <v>3738</v>
      </c>
      <c r="AM43" s="38"/>
      <c r="AN43" s="38"/>
      <c r="AO43" s="38"/>
      <c r="AP43" s="38"/>
      <c r="AQ43" s="38"/>
      <c r="AR43" s="38"/>
      <c r="AS43" s="38"/>
      <c r="AT43" s="37">
        <v>191</v>
      </c>
      <c r="AU43" s="37">
        <v>191</v>
      </c>
      <c r="AV43" s="37">
        <v>191</v>
      </c>
      <c r="AW43" s="37">
        <v>191</v>
      </c>
      <c r="AX43" s="37">
        <v>116</v>
      </c>
      <c r="AY43" s="37">
        <v>116</v>
      </c>
      <c r="AZ43" s="37">
        <v>116</v>
      </c>
      <c r="BA43" s="36">
        <f t="shared" si="20"/>
        <v>191</v>
      </c>
      <c r="BB43" s="36">
        <f t="shared" si="21"/>
        <v>191</v>
      </c>
      <c r="BC43" s="36">
        <f t="shared" si="13"/>
        <v>191</v>
      </c>
      <c r="BD43" s="36">
        <f t="shared" si="6"/>
        <v>191</v>
      </c>
      <c r="BE43" s="36">
        <f t="shared" si="29"/>
        <v>116</v>
      </c>
      <c r="BF43" s="36">
        <f t="shared" si="26"/>
        <v>116</v>
      </c>
      <c r="BG43" s="36">
        <f t="shared" si="8"/>
        <v>116</v>
      </c>
      <c r="BH43" s="35">
        <f t="shared" si="24"/>
        <v>4334</v>
      </c>
      <c r="BI43" s="35">
        <f t="shared" si="27"/>
        <v>4334</v>
      </c>
      <c r="BJ43" s="35">
        <f t="shared" si="15"/>
        <v>4334</v>
      </c>
      <c r="BK43" s="35">
        <f t="shared" si="9"/>
        <v>4329</v>
      </c>
      <c r="BL43" s="35">
        <f t="shared" si="28"/>
        <v>2000</v>
      </c>
      <c r="BM43" s="35">
        <f t="shared" si="16"/>
        <v>2945</v>
      </c>
      <c r="BN43" s="35">
        <f t="shared" si="10"/>
        <v>3854</v>
      </c>
      <c r="BO43" s="130">
        <f t="shared" si="11"/>
        <v>0.8902748902748903</v>
      </c>
      <c r="BP43" s="131">
        <v>3854</v>
      </c>
    </row>
    <row r="44" spans="1:67" s="131" customFormat="1" ht="15">
      <c r="A44" s="152">
        <v>39</v>
      </c>
      <c r="B44" s="24">
        <v>889921</v>
      </c>
      <c r="C44" s="24" t="s">
        <v>25</v>
      </c>
      <c r="D44" s="24"/>
      <c r="E44" s="24"/>
      <c r="F44" s="24"/>
      <c r="G44" s="24"/>
      <c r="H44" s="24"/>
      <c r="I44" s="24"/>
      <c r="J44" s="174"/>
      <c r="K44" s="24"/>
      <c r="L44" s="24"/>
      <c r="M44" s="24"/>
      <c r="N44" s="24"/>
      <c r="O44" s="24"/>
      <c r="P44" s="24"/>
      <c r="Q44" s="174"/>
      <c r="R44" s="24">
        <v>1245</v>
      </c>
      <c r="S44" s="24">
        <v>1245</v>
      </c>
      <c r="T44" s="24">
        <v>1245</v>
      </c>
      <c r="U44" s="221">
        <f>'7.K.részletező'!AQ104</f>
        <v>1245</v>
      </c>
      <c r="V44" s="24">
        <v>448</v>
      </c>
      <c r="W44" s="24">
        <v>730</v>
      </c>
      <c r="X44" s="24">
        <v>992</v>
      </c>
      <c r="Y44" s="24"/>
      <c r="Z44" s="24"/>
      <c r="AA44" s="24"/>
      <c r="AB44" s="24"/>
      <c r="AC44" s="24"/>
      <c r="AD44" s="24"/>
      <c r="AE44" s="24"/>
      <c r="AF44" s="38">
        <f t="shared" si="18"/>
        <v>1245</v>
      </c>
      <c r="AG44" s="38">
        <f t="shared" si="30"/>
        <v>1245</v>
      </c>
      <c r="AH44" s="38">
        <f t="shared" si="12"/>
        <v>1245</v>
      </c>
      <c r="AI44" s="38">
        <f t="shared" si="3"/>
        <v>1245</v>
      </c>
      <c r="AJ44" s="38">
        <f t="shared" si="22"/>
        <v>448</v>
      </c>
      <c r="AK44" s="38">
        <f t="shared" si="23"/>
        <v>730</v>
      </c>
      <c r="AL44" s="38">
        <f t="shared" si="5"/>
        <v>992</v>
      </c>
      <c r="AM44" s="38"/>
      <c r="AN44" s="38"/>
      <c r="AO44" s="38"/>
      <c r="AP44" s="38"/>
      <c r="AQ44" s="38"/>
      <c r="AR44" s="38"/>
      <c r="AS44" s="38"/>
      <c r="AT44" s="24"/>
      <c r="AU44" s="24"/>
      <c r="AV44" s="24"/>
      <c r="AW44" s="24"/>
      <c r="AX44" s="24"/>
      <c r="AY44" s="24"/>
      <c r="AZ44" s="24"/>
      <c r="BA44" s="36">
        <f t="shared" si="20"/>
        <v>0</v>
      </c>
      <c r="BB44" s="36">
        <f t="shared" si="21"/>
        <v>0</v>
      </c>
      <c r="BC44" s="36">
        <f t="shared" si="13"/>
        <v>0</v>
      </c>
      <c r="BD44" s="36">
        <f t="shared" si="6"/>
        <v>0</v>
      </c>
      <c r="BE44" s="36">
        <f t="shared" si="29"/>
        <v>0</v>
      </c>
      <c r="BF44" s="36">
        <f t="shared" si="26"/>
        <v>0</v>
      </c>
      <c r="BG44" s="198">
        <f t="shared" si="8"/>
        <v>0</v>
      </c>
      <c r="BH44" s="35">
        <f t="shared" si="24"/>
        <v>1245</v>
      </c>
      <c r="BI44" s="35">
        <f t="shared" si="27"/>
        <v>1245</v>
      </c>
      <c r="BJ44" s="35">
        <f t="shared" si="15"/>
        <v>1245</v>
      </c>
      <c r="BK44" s="35">
        <f t="shared" si="9"/>
        <v>1245</v>
      </c>
      <c r="BL44" s="35">
        <f t="shared" si="28"/>
        <v>448</v>
      </c>
      <c r="BM44" s="35">
        <f t="shared" si="16"/>
        <v>730</v>
      </c>
      <c r="BN44" s="35">
        <f t="shared" si="10"/>
        <v>992</v>
      </c>
      <c r="BO44" s="130">
        <f t="shared" si="11"/>
        <v>0.7967871485943775</v>
      </c>
    </row>
    <row r="45" spans="1:67" s="131" customFormat="1" ht="15">
      <c r="A45" s="152">
        <v>40</v>
      </c>
      <c r="B45" s="37">
        <v>889924</v>
      </c>
      <c r="C45" s="37" t="s">
        <v>179</v>
      </c>
      <c r="D45" s="152"/>
      <c r="E45" s="152"/>
      <c r="F45" s="152"/>
      <c r="G45" s="152"/>
      <c r="H45" s="152"/>
      <c r="I45" s="152"/>
      <c r="J45" s="194"/>
      <c r="K45" s="152"/>
      <c r="L45" s="152"/>
      <c r="M45" s="152"/>
      <c r="N45" s="152"/>
      <c r="O45" s="152"/>
      <c r="P45" s="152"/>
      <c r="Q45" s="194"/>
      <c r="R45" s="37">
        <v>1172</v>
      </c>
      <c r="S45" s="37">
        <v>1172</v>
      </c>
      <c r="T45" s="37">
        <v>1172</v>
      </c>
      <c r="U45" s="222">
        <f>'7.K.részletező'!AR104</f>
        <v>1172</v>
      </c>
      <c r="V45" s="37">
        <v>17</v>
      </c>
      <c r="W45" s="37">
        <v>75</v>
      </c>
      <c r="X45" s="37">
        <v>965</v>
      </c>
      <c r="Y45" s="152"/>
      <c r="Z45" s="152"/>
      <c r="AA45" s="152"/>
      <c r="AB45" s="152"/>
      <c r="AC45" s="152"/>
      <c r="AD45" s="152"/>
      <c r="AE45" s="152"/>
      <c r="AF45" s="38">
        <f t="shared" si="18"/>
        <v>1172</v>
      </c>
      <c r="AG45" s="38">
        <f t="shared" si="30"/>
        <v>1172</v>
      </c>
      <c r="AH45" s="38">
        <f t="shared" si="12"/>
        <v>1172</v>
      </c>
      <c r="AI45" s="38">
        <f t="shared" si="3"/>
        <v>1172</v>
      </c>
      <c r="AJ45" s="38">
        <f t="shared" si="22"/>
        <v>17</v>
      </c>
      <c r="AK45" s="38">
        <f t="shared" si="23"/>
        <v>75</v>
      </c>
      <c r="AL45" s="38">
        <f t="shared" si="5"/>
        <v>965</v>
      </c>
      <c r="AM45" s="38"/>
      <c r="AN45" s="38"/>
      <c r="AO45" s="38"/>
      <c r="AP45" s="38"/>
      <c r="AQ45" s="38"/>
      <c r="AR45" s="38"/>
      <c r="AS45" s="38"/>
      <c r="AT45" s="152"/>
      <c r="AU45" s="152"/>
      <c r="AV45" s="152"/>
      <c r="AW45" s="152"/>
      <c r="AX45" s="152"/>
      <c r="AY45" s="152"/>
      <c r="AZ45" s="152"/>
      <c r="BA45" s="36">
        <f t="shared" si="20"/>
        <v>0</v>
      </c>
      <c r="BB45" s="36">
        <f t="shared" si="21"/>
        <v>0</v>
      </c>
      <c r="BC45" s="36">
        <f t="shared" si="13"/>
        <v>0</v>
      </c>
      <c r="BD45" s="36">
        <f t="shared" si="6"/>
        <v>0</v>
      </c>
      <c r="BE45" s="36">
        <f t="shared" si="29"/>
        <v>0</v>
      </c>
      <c r="BF45" s="36">
        <f t="shared" si="26"/>
        <v>0</v>
      </c>
      <c r="BG45" s="198">
        <f t="shared" si="8"/>
        <v>0</v>
      </c>
      <c r="BH45" s="35">
        <f t="shared" si="24"/>
        <v>1172</v>
      </c>
      <c r="BI45" s="35">
        <f t="shared" si="27"/>
        <v>1172</v>
      </c>
      <c r="BJ45" s="35">
        <f t="shared" si="15"/>
        <v>1172</v>
      </c>
      <c r="BK45" s="35">
        <f t="shared" si="9"/>
        <v>1172</v>
      </c>
      <c r="BL45" s="35">
        <f t="shared" si="28"/>
        <v>17</v>
      </c>
      <c r="BM45" s="35">
        <f t="shared" si="16"/>
        <v>75</v>
      </c>
      <c r="BN45" s="35">
        <f t="shared" si="10"/>
        <v>965</v>
      </c>
      <c r="BO45" s="130">
        <f t="shared" si="11"/>
        <v>0.8233788395904437</v>
      </c>
    </row>
    <row r="46" spans="1:67" s="131" customFormat="1" ht="15">
      <c r="A46" s="152">
        <v>41</v>
      </c>
      <c r="B46" s="37">
        <v>889928</v>
      </c>
      <c r="C46" s="37" t="s">
        <v>180</v>
      </c>
      <c r="D46" s="37">
        <v>2007</v>
      </c>
      <c r="E46" s="37">
        <v>2111</v>
      </c>
      <c r="F46" s="37">
        <v>2162</v>
      </c>
      <c r="G46" s="37">
        <v>2215</v>
      </c>
      <c r="H46" s="37">
        <v>921</v>
      </c>
      <c r="I46" s="37">
        <v>1377</v>
      </c>
      <c r="J46" s="37">
        <v>1960</v>
      </c>
      <c r="K46" s="37">
        <v>556</v>
      </c>
      <c r="L46" s="37">
        <v>582</v>
      </c>
      <c r="M46" s="37">
        <v>597</v>
      </c>
      <c r="N46" s="37">
        <v>612</v>
      </c>
      <c r="O46" s="37">
        <v>254</v>
      </c>
      <c r="P46" s="37">
        <v>380</v>
      </c>
      <c r="Q46" s="37">
        <v>543</v>
      </c>
      <c r="R46" s="37">
        <v>1650</v>
      </c>
      <c r="S46" s="37">
        <v>1714</v>
      </c>
      <c r="T46" s="37">
        <v>1714</v>
      </c>
      <c r="U46" s="222">
        <f>'7.K.részletező'!AS104</f>
        <v>1830</v>
      </c>
      <c r="V46" s="37">
        <v>699</v>
      </c>
      <c r="W46" s="37">
        <v>1046</v>
      </c>
      <c r="X46" s="37">
        <v>1654</v>
      </c>
      <c r="Y46" s="152"/>
      <c r="Z46" s="152"/>
      <c r="AA46" s="152"/>
      <c r="AB46" s="152"/>
      <c r="AC46" s="152"/>
      <c r="AD46" s="152"/>
      <c r="AE46" s="152"/>
      <c r="AF46" s="38">
        <f t="shared" si="18"/>
        <v>4213</v>
      </c>
      <c r="AG46" s="38">
        <f t="shared" si="30"/>
        <v>4407</v>
      </c>
      <c r="AH46" s="38">
        <f t="shared" si="12"/>
        <v>4473</v>
      </c>
      <c r="AI46" s="38">
        <f t="shared" si="3"/>
        <v>4657</v>
      </c>
      <c r="AJ46" s="38">
        <f t="shared" si="22"/>
        <v>1874</v>
      </c>
      <c r="AK46" s="38">
        <f t="shared" si="23"/>
        <v>2803</v>
      </c>
      <c r="AL46" s="38">
        <f t="shared" si="5"/>
        <v>4157</v>
      </c>
      <c r="AM46" s="38"/>
      <c r="AN46" s="38"/>
      <c r="AO46" s="38"/>
      <c r="AP46" s="38"/>
      <c r="AQ46" s="38"/>
      <c r="AR46" s="38"/>
      <c r="AS46" s="38"/>
      <c r="AT46" s="37">
        <v>0</v>
      </c>
      <c r="AU46" s="37">
        <v>2158</v>
      </c>
      <c r="AV46" s="37"/>
      <c r="AW46" s="37"/>
      <c r="AX46" s="37"/>
      <c r="AY46" s="37"/>
      <c r="AZ46" s="37">
        <v>25</v>
      </c>
      <c r="BA46" s="36">
        <f t="shared" si="20"/>
        <v>0</v>
      </c>
      <c r="BB46" s="36">
        <f t="shared" si="21"/>
        <v>2158</v>
      </c>
      <c r="BC46" s="36">
        <f t="shared" si="13"/>
        <v>0</v>
      </c>
      <c r="BD46" s="36">
        <f t="shared" si="6"/>
        <v>0</v>
      </c>
      <c r="BE46" s="36">
        <f t="shared" si="29"/>
        <v>0</v>
      </c>
      <c r="BF46" s="36">
        <f t="shared" si="26"/>
        <v>0</v>
      </c>
      <c r="BG46" s="198">
        <f t="shared" si="8"/>
        <v>25</v>
      </c>
      <c r="BH46" s="35">
        <f t="shared" si="24"/>
        <v>4213</v>
      </c>
      <c r="BI46" s="35">
        <f t="shared" si="27"/>
        <v>6565</v>
      </c>
      <c r="BJ46" s="35">
        <f t="shared" si="15"/>
        <v>4473</v>
      </c>
      <c r="BK46" s="35">
        <f t="shared" si="9"/>
        <v>4657</v>
      </c>
      <c r="BL46" s="35">
        <f t="shared" si="28"/>
        <v>1874</v>
      </c>
      <c r="BM46" s="35">
        <f t="shared" si="16"/>
        <v>2803</v>
      </c>
      <c r="BN46" s="35">
        <f t="shared" si="10"/>
        <v>4182</v>
      </c>
      <c r="BO46" s="130">
        <f t="shared" si="11"/>
        <v>0.8980030062271849</v>
      </c>
    </row>
    <row r="47" spans="1:67" s="131" customFormat="1" ht="15">
      <c r="A47" s="152">
        <v>42</v>
      </c>
      <c r="B47" s="37">
        <v>890301</v>
      </c>
      <c r="C47" s="37" t="s">
        <v>178</v>
      </c>
      <c r="D47" s="152"/>
      <c r="E47" s="152"/>
      <c r="F47" s="152"/>
      <c r="G47" s="152"/>
      <c r="H47" s="152"/>
      <c r="I47" s="152"/>
      <c r="J47" s="194"/>
      <c r="K47" s="152"/>
      <c r="L47" s="152"/>
      <c r="M47" s="152"/>
      <c r="N47" s="152"/>
      <c r="O47" s="152"/>
      <c r="P47" s="152"/>
      <c r="Q47" s="194"/>
      <c r="R47" s="152"/>
      <c r="S47" s="152"/>
      <c r="T47" s="152"/>
      <c r="U47" s="220"/>
      <c r="V47" s="152"/>
      <c r="W47" s="152"/>
      <c r="X47" s="194"/>
      <c r="Y47" s="37">
        <v>1020</v>
      </c>
      <c r="Z47" s="37">
        <v>1040</v>
      </c>
      <c r="AA47" s="37">
        <v>1090</v>
      </c>
      <c r="AB47" s="37">
        <v>1090</v>
      </c>
      <c r="AC47" s="37">
        <v>320</v>
      </c>
      <c r="AD47" s="37">
        <v>320</v>
      </c>
      <c r="AE47" s="37">
        <v>830</v>
      </c>
      <c r="AF47" s="38">
        <f t="shared" si="18"/>
        <v>1020</v>
      </c>
      <c r="AG47" s="38">
        <f t="shared" si="30"/>
        <v>1040</v>
      </c>
      <c r="AH47" s="38">
        <f t="shared" si="12"/>
        <v>1090</v>
      </c>
      <c r="AI47" s="38">
        <f t="shared" si="3"/>
        <v>1090</v>
      </c>
      <c r="AJ47" s="38">
        <f t="shared" si="22"/>
        <v>320</v>
      </c>
      <c r="AK47" s="38">
        <f t="shared" si="23"/>
        <v>320</v>
      </c>
      <c r="AL47" s="38">
        <f t="shared" si="5"/>
        <v>830</v>
      </c>
      <c r="AM47" s="38"/>
      <c r="AN47" s="38"/>
      <c r="AO47" s="38"/>
      <c r="AP47" s="38"/>
      <c r="AQ47" s="38"/>
      <c r="AR47" s="38"/>
      <c r="AS47" s="38"/>
      <c r="AT47" s="152"/>
      <c r="AU47" s="152"/>
      <c r="AV47" s="152"/>
      <c r="AW47" s="152"/>
      <c r="AX47" s="152">
        <v>0</v>
      </c>
      <c r="AY47" s="152"/>
      <c r="AZ47" s="152"/>
      <c r="BA47" s="36">
        <f t="shared" si="20"/>
        <v>0</v>
      </c>
      <c r="BB47" s="36">
        <f t="shared" si="21"/>
        <v>0</v>
      </c>
      <c r="BC47" s="36">
        <f t="shared" si="13"/>
        <v>0</v>
      </c>
      <c r="BD47" s="36">
        <f t="shared" si="6"/>
        <v>0</v>
      </c>
      <c r="BE47" s="36">
        <f t="shared" si="29"/>
        <v>0</v>
      </c>
      <c r="BF47" s="36">
        <f t="shared" si="26"/>
        <v>0</v>
      </c>
      <c r="BG47" s="198">
        <f t="shared" si="8"/>
        <v>0</v>
      </c>
      <c r="BH47" s="35">
        <f t="shared" si="24"/>
        <v>1020</v>
      </c>
      <c r="BI47" s="35">
        <f t="shared" si="27"/>
        <v>1040</v>
      </c>
      <c r="BJ47" s="35">
        <f t="shared" si="15"/>
        <v>1090</v>
      </c>
      <c r="BK47" s="35">
        <f t="shared" si="9"/>
        <v>1090</v>
      </c>
      <c r="BL47" s="35">
        <f t="shared" si="28"/>
        <v>320</v>
      </c>
      <c r="BM47" s="35">
        <f t="shared" si="16"/>
        <v>320</v>
      </c>
      <c r="BN47" s="35">
        <f t="shared" si="10"/>
        <v>830</v>
      </c>
      <c r="BO47" s="130">
        <f t="shared" si="11"/>
        <v>0.7614678899082569</v>
      </c>
    </row>
    <row r="48" spans="1:67" s="131" customFormat="1" ht="15">
      <c r="A48" s="152">
        <v>43</v>
      </c>
      <c r="B48" s="37">
        <v>890442</v>
      </c>
      <c r="C48" s="24" t="s">
        <v>193</v>
      </c>
      <c r="D48" s="24">
        <v>4356</v>
      </c>
      <c r="E48" s="24">
        <v>4356</v>
      </c>
      <c r="F48" s="24">
        <v>4356</v>
      </c>
      <c r="G48" s="24">
        <v>6254</v>
      </c>
      <c r="H48" s="24">
        <v>2503</v>
      </c>
      <c r="I48" s="24">
        <v>3903</v>
      </c>
      <c r="J48" s="24">
        <v>5608</v>
      </c>
      <c r="K48" s="24">
        <v>588</v>
      </c>
      <c r="L48" s="24">
        <v>588</v>
      </c>
      <c r="M48" s="24">
        <v>588</v>
      </c>
      <c r="N48" s="24">
        <v>844</v>
      </c>
      <c r="O48" s="24">
        <v>345</v>
      </c>
      <c r="P48" s="24">
        <v>534</v>
      </c>
      <c r="Q48" s="24">
        <v>766</v>
      </c>
      <c r="R48" s="24"/>
      <c r="S48" s="24"/>
      <c r="T48" s="24"/>
      <c r="U48" s="221">
        <f>'7.K.részletező'!AU104</f>
        <v>128</v>
      </c>
      <c r="V48" s="24"/>
      <c r="W48" s="24"/>
      <c r="X48" s="24">
        <v>140</v>
      </c>
      <c r="Y48" s="24"/>
      <c r="Z48" s="24"/>
      <c r="AA48" s="24"/>
      <c r="AB48" s="24"/>
      <c r="AC48" s="24"/>
      <c r="AD48" s="24"/>
      <c r="AE48" s="24"/>
      <c r="AF48" s="38">
        <f t="shared" si="18"/>
        <v>4944</v>
      </c>
      <c r="AG48" s="38">
        <f t="shared" si="30"/>
        <v>4944</v>
      </c>
      <c r="AH48" s="38">
        <f t="shared" si="12"/>
        <v>4944</v>
      </c>
      <c r="AI48" s="38">
        <f t="shared" si="3"/>
        <v>7226</v>
      </c>
      <c r="AJ48" s="38">
        <f t="shared" si="22"/>
        <v>2848</v>
      </c>
      <c r="AK48" s="38">
        <f t="shared" si="23"/>
        <v>4437</v>
      </c>
      <c r="AL48" s="38">
        <f t="shared" si="5"/>
        <v>6514</v>
      </c>
      <c r="AM48" s="38"/>
      <c r="AN48" s="38"/>
      <c r="AO48" s="38"/>
      <c r="AP48" s="38"/>
      <c r="AQ48" s="38"/>
      <c r="AR48" s="38"/>
      <c r="AS48" s="38"/>
      <c r="AT48" s="24"/>
      <c r="AU48" s="24"/>
      <c r="AV48" s="24"/>
      <c r="AW48" s="24">
        <v>235</v>
      </c>
      <c r="AX48" s="24"/>
      <c r="AY48" s="24"/>
      <c r="AZ48" s="24">
        <v>234</v>
      </c>
      <c r="BA48" s="36">
        <f t="shared" si="20"/>
        <v>0</v>
      </c>
      <c r="BB48" s="36">
        <f t="shared" si="21"/>
        <v>0</v>
      </c>
      <c r="BC48" s="36">
        <f t="shared" si="13"/>
        <v>0</v>
      </c>
      <c r="BD48" s="36">
        <f t="shared" si="6"/>
        <v>235</v>
      </c>
      <c r="BE48" s="36">
        <f t="shared" si="29"/>
        <v>0</v>
      </c>
      <c r="BF48" s="36">
        <f t="shared" si="26"/>
        <v>0</v>
      </c>
      <c r="BG48" s="198">
        <f t="shared" si="8"/>
        <v>234</v>
      </c>
      <c r="BH48" s="35">
        <f t="shared" si="24"/>
        <v>4944</v>
      </c>
      <c r="BI48" s="35">
        <f t="shared" si="27"/>
        <v>4944</v>
      </c>
      <c r="BJ48" s="35">
        <f t="shared" si="15"/>
        <v>4944</v>
      </c>
      <c r="BK48" s="35">
        <f t="shared" si="9"/>
        <v>7461</v>
      </c>
      <c r="BL48" s="35">
        <f t="shared" si="28"/>
        <v>2848</v>
      </c>
      <c r="BM48" s="35">
        <f t="shared" si="16"/>
        <v>4437</v>
      </c>
      <c r="BN48" s="35">
        <f t="shared" si="10"/>
        <v>6748</v>
      </c>
      <c r="BO48" s="130">
        <f t="shared" si="11"/>
        <v>0.9044364026269937</v>
      </c>
    </row>
    <row r="49" spans="1:67" s="131" customFormat="1" ht="15">
      <c r="A49" s="152">
        <v>44</v>
      </c>
      <c r="B49" s="37">
        <v>890444</v>
      </c>
      <c r="C49" s="24" t="s">
        <v>194</v>
      </c>
      <c r="D49" s="24">
        <v>634</v>
      </c>
      <c r="E49" s="24">
        <v>634</v>
      </c>
      <c r="F49" s="24">
        <v>634</v>
      </c>
      <c r="G49" s="24">
        <v>634</v>
      </c>
      <c r="H49" s="24">
        <v>746</v>
      </c>
      <c r="I49" s="24">
        <v>746</v>
      </c>
      <c r="J49" s="24">
        <v>837</v>
      </c>
      <c r="K49" s="24">
        <v>86</v>
      </c>
      <c r="L49" s="24">
        <v>86</v>
      </c>
      <c r="M49" s="24">
        <v>86</v>
      </c>
      <c r="N49" s="24">
        <v>86</v>
      </c>
      <c r="O49" s="24">
        <v>102</v>
      </c>
      <c r="P49" s="24">
        <v>102</v>
      </c>
      <c r="Q49" s="24">
        <v>115</v>
      </c>
      <c r="R49" s="24"/>
      <c r="S49" s="24"/>
      <c r="T49" s="24"/>
      <c r="U49" s="221"/>
      <c r="V49" s="24"/>
      <c r="W49" s="24"/>
      <c r="X49" s="174"/>
      <c r="Y49" s="24"/>
      <c r="Z49" s="24"/>
      <c r="AA49" s="24"/>
      <c r="AB49" s="24"/>
      <c r="AC49" s="24"/>
      <c r="AD49" s="24"/>
      <c r="AE49" s="24"/>
      <c r="AF49" s="38">
        <f t="shared" si="18"/>
        <v>720</v>
      </c>
      <c r="AG49" s="38">
        <f t="shared" si="30"/>
        <v>720</v>
      </c>
      <c r="AH49" s="38">
        <f t="shared" si="12"/>
        <v>720</v>
      </c>
      <c r="AI49" s="38">
        <f t="shared" si="3"/>
        <v>720</v>
      </c>
      <c r="AJ49" s="38">
        <f t="shared" si="22"/>
        <v>848</v>
      </c>
      <c r="AK49" s="38">
        <f t="shared" si="23"/>
        <v>848</v>
      </c>
      <c r="AL49" s="38">
        <f t="shared" si="5"/>
        <v>952</v>
      </c>
      <c r="AM49" s="38"/>
      <c r="AN49" s="38"/>
      <c r="AO49" s="38"/>
      <c r="AP49" s="38"/>
      <c r="AQ49" s="38"/>
      <c r="AR49" s="38"/>
      <c r="AS49" s="38"/>
      <c r="AT49" s="24"/>
      <c r="AU49" s="24"/>
      <c r="AV49" s="24"/>
      <c r="AW49" s="24"/>
      <c r="AX49" s="24"/>
      <c r="AY49" s="24"/>
      <c r="AZ49" s="24"/>
      <c r="BA49" s="36">
        <f t="shared" si="20"/>
        <v>0</v>
      </c>
      <c r="BB49" s="36">
        <f t="shared" si="21"/>
        <v>0</v>
      </c>
      <c r="BC49" s="36">
        <f t="shared" si="13"/>
        <v>0</v>
      </c>
      <c r="BD49" s="36">
        <f t="shared" si="6"/>
        <v>0</v>
      </c>
      <c r="BE49" s="36">
        <f t="shared" si="29"/>
        <v>0</v>
      </c>
      <c r="BF49" s="36">
        <f t="shared" si="26"/>
        <v>0</v>
      </c>
      <c r="BG49" s="198">
        <f t="shared" si="8"/>
        <v>0</v>
      </c>
      <c r="BH49" s="35">
        <f t="shared" si="24"/>
        <v>720</v>
      </c>
      <c r="BI49" s="35">
        <f t="shared" si="27"/>
        <v>720</v>
      </c>
      <c r="BJ49" s="35">
        <f t="shared" si="15"/>
        <v>720</v>
      </c>
      <c r="BK49" s="35">
        <f t="shared" si="9"/>
        <v>720</v>
      </c>
      <c r="BL49" s="35">
        <f t="shared" si="28"/>
        <v>848</v>
      </c>
      <c r="BM49" s="35">
        <f t="shared" si="16"/>
        <v>848</v>
      </c>
      <c r="BN49" s="35">
        <f t="shared" si="10"/>
        <v>952</v>
      </c>
      <c r="BO49" s="130">
        <f t="shared" si="11"/>
        <v>1.3222222222222222</v>
      </c>
    </row>
    <row r="50" spans="1:67" s="131" customFormat="1" ht="15">
      <c r="A50" s="152">
        <v>45</v>
      </c>
      <c r="B50" s="37">
        <v>910123</v>
      </c>
      <c r="C50" s="37" t="s">
        <v>176</v>
      </c>
      <c r="D50" s="24">
        <v>420</v>
      </c>
      <c r="E50" s="24">
        <v>420</v>
      </c>
      <c r="F50" s="24">
        <v>420</v>
      </c>
      <c r="G50" s="24">
        <v>420</v>
      </c>
      <c r="H50" s="24">
        <v>157</v>
      </c>
      <c r="I50" s="24">
        <v>247</v>
      </c>
      <c r="J50" s="24">
        <v>361</v>
      </c>
      <c r="K50" s="24">
        <v>114</v>
      </c>
      <c r="L50" s="24">
        <v>114</v>
      </c>
      <c r="M50" s="24">
        <v>114</v>
      </c>
      <c r="N50" s="24">
        <v>114</v>
      </c>
      <c r="O50" s="24">
        <v>38</v>
      </c>
      <c r="P50" s="24">
        <v>60</v>
      </c>
      <c r="Q50" s="24">
        <v>88</v>
      </c>
      <c r="R50" s="37">
        <v>498</v>
      </c>
      <c r="S50" s="37">
        <v>498</v>
      </c>
      <c r="T50" s="37">
        <v>498</v>
      </c>
      <c r="U50" s="222">
        <f>'7.K.részletező'!AW104</f>
        <v>498</v>
      </c>
      <c r="V50" s="37">
        <v>136</v>
      </c>
      <c r="W50" s="37">
        <v>260</v>
      </c>
      <c r="X50" s="37">
        <v>544</v>
      </c>
      <c r="Y50" s="37"/>
      <c r="Z50" s="37"/>
      <c r="AA50" s="37"/>
      <c r="AB50" s="37"/>
      <c r="AC50" s="37"/>
      <c r="AD50" s="37"/>
      <c r="AE50" s="37"/>
      <c r="AF50" s="38">
        <f t="shared" si="18"/>
        <v>1032</v>
      </c>
      <c r="AG50" s="38">
        <f t="shared" si="30"/>
        <v>1032</v>
      </c>
      <c r="AH50" s="38">
        <f t="shared" si="12"/>
        <v>1032</v>
      </c>
      <c r="AI50" s="38">
        <f t="shared" si="3"/>
        <v>1032</v>
      </c>
      <c r="AJ50" s="38">
        <f t="shared" si="22"/>
        <v>331</v>
      </c>
      <c r="AK50" s="38">
        <f t="shared" si="23"/>
        <v>567</v>
      </c>
      <c r="AL50" s="38">
        <f t="shared" si="5"/>
        <v>993</v>
      </c>
      <c r="AM50" s="38"/>
      <c r="AN50" s="38"/>
      <c r="AO50" s="38"/>
      <c r="AP50" s="38"/>
      <c r="AQ50" s="38"/>
      <c r="AR50" s="38"/>
      <c r="AS50" s="38"/>
      <c r="AT50" s="37">
        <v>0</v>
      </c>
      <c r="AU50" s="37"/>
      <c r="AV50" s="37"/>
      <c r="AW50" s="37">
        <v>168</v>
      </c>
      <c r="AX50" s="37"/>
      <c r="AY50" s="37">
        <v>168</v>
      </c>
      <c r="AZ50" s="37">
        <v>168</v>
      </c>
      <c r="BA50" s="36">
        <f t="shared" si="20"/>
        <v>0</v>
      </c>
      <c r="BB50" s="36">
        <f t="shared" si="21"/>
        <v>0</v>
      </c>
      <c r="BC50" s="36">
        <f t="shared" si="13"/>
        <v>0</v>
      </c>
      <c r="BD50" s="36">
        <f t="shared" si="6"/>
        <v>168</v>
      </c>
      <c r="BE50" s="36">
        <f t="shared" si="29"/>
        <v>0</v>
      </c>
      <c r="BF50" s="36">
        <f t="shared" si="26"/>
        <v>168</v>
      </c>
      <c r="BG50" s="36">
        <f t="shared" si="8"/>
        <v>168</v>
      </c>
      <c r="BH50" s="35">
        <f t="shared" si="24"/>
        <v>1032</v>
      </c>
      <c r="BI50" s="35">
        <f t="shared" si="27"/>
        <v>1032</v>
      </c>
      <c r="BJ50" s="35">
        <f t="shared" si="15"/>
        <v>1032</v>
      </c>
      <c r="BK50" s="35">
        <f t="shared" si="9"/>
        <v>1200</v>
      </c>
      <c r="BL50" s="35">
        <f t="shared" si="28"/>
        <v>331</v>
      </c>
      <c r="BM50" s="35">
        <f t="shared" si="16"/>
        <v>735</v>
      </c>
      <c r="BN50" s="35">
        <f t="shared" si="10"/>
        <v>1161</v>
      </c>
      <c r="BO50" s="130">
        <f t="shared" si="11"/>
        <v>0.9675</v>
      </c>
    </row>
    <row r="51" spans="1:68" s="131" customFormat="1" ht="15">
      <c r="A51" s="152">
        <v>46</v>
      </c>
      <c r="B51" s="37">
        <v>910502</v>
      </c>
      <c r="C51" s="37" t="s">
        <v>19</v>
      </c>
      <c r="D51" s="24">
        <v>1621</v>
      </c>
      <c r="E51" s="24">
        <v>1657</v>
      </c>
      <c r="F51" s="24">
        <v>1693</v>
      </c>
      <c r="G51" s="24">
        <v>1764</v>
      </c>
      <c r="H51" s="24">
        <v>945</v>
      </c>
      <c r="I51" s="24">
        <v>1384</v>
      </c>
      <c r="J51" s="24">
        <v>1904</v>
      </c>
      <c r="K51" s="24">
        <v>451</v>
      </c>
      <c r="L51" s="24">
        <v>472</v>
      </c>
      <c r="M51" s="24">
        <v>484</v>
      </c>
      <c r="N51" s="24">
        <v>488</v>
      </c>
      <c r="O51" s="24">
        <v>284</v>
      </c>
      <c r="P51" s="24">
        <v>403</v>
      </c>
      <c r="Q51" s="24">
        <v>549</v>
      </c>
      <c r="R51" s="37">
        <v>8476</v>
      </c>
      <c r="S51" s="37">
        <v>9299</v>
      </c>
      <c r="T51" s="37">
        <v>9249</v>
      </c>
      <c r="U51" s="222">
        <f>'7.K.részletező'!AX104</f>
        <v>9649</v>
      </c>
      <c r="V51" s="37">
        <v>2295</v>
      </c>
      <c r="W51" s="37">
        <v>7390</v>
      </c>
      <c r="X51" s="37">
        <v>9025</v>
      </c>
      <c r="Y51" s="152"/>
      <c r="Z51" s="152"/>
      <c r="AA51" s="152"/>
      <c r="AB51" s="152"/>
      <c r="AC51" s="152"/>
      <c r="AD51" s="152"/>
      <c r="AE51" s="152"/>
      <c r="AF51" s="38">
        <f t="shared" si="18"/>
        <v>10548</v>
      </c>
      <c r="AG51" s="38">
        <f t="shared" si="30"/>
        <v>11428</v>
      </c>
      <c r="AH51" s="38">
        <f t="shared" si="12"/>
        <v>11426</v>
      </c>
      <c r="AI51" s="38">
        <f t="shared" si="3"/>
        <v>11901</v>
      </c>
      <c r="AJ51" s="38">
        <f t="shared" si="22"/>
        <v>3524</v>
      </c>
      <c r="AK51" s="38">
        <f t="shared" si="23"/>
        <v>9177</v>
      </c>
      <c r="AL51" s="38">
        <f t="shared" si="5"/>
        <v>11478</v>
      </c>
      <c r="AM51" s="38"/>
      <c r="AN51" s="38"/>
      <c r="AO51" s="38"/>
      <c r="AP51" s="38"/>
      <c r="AQ51" s="38"/>
      <c r="AR51" s="38"/>
      <c r="AS51" s="38"/>
      <c r="AT51" s="37">
        <v>250</v>
      </c>
      <c r="AU51" s="37">
        <v>250</v>
      </c>
      <c r="AV51" s="37">
        <v>250</v>
      </c>
      <c r="AW51" s="37">
        <v>82</v>
      </c>
      <c r="AX51" s="37">
        <v>228</v>
      </c>
      <c r="AY51" s="37">
        <v>60</v>
      </c>
      <c r="AZ51" s="37">
        <v>60</v>
      </c>
      <c r="BA51" s="36">
        <f t="shared" si="20"/>
        <v>250</v>
      </c>
      <c r="BB51" s="36">
        <f t="shared" si="21"/>
        <v>250</v>
      </c>
      <c r="BC51" s="36">
        <f t="shared" si="13"/>
        <v>250</v>
      </c>
      <c r="BD51" s="36">
        <f t="shared" si="6"/>
        <v>82</v>
      </c>
      <c r="BE51" s="36">
        <f t="shared" si="29"/>
        <v>228</v>
      </c>
      <c r="BF51" s="36">
        <f t="shared" si="26"/>
        <v>60</v>
      </c>
      <c r="BG51" s="36">
        <f t="shared" si="8"/>
        <v>60</v>
      </c>
      <c r="BH51" s="35">
        <f t="shared" si="24"/>
        <v>10798</v>
      </c>
      <c r="BI51" s="35">
        <f t="shared" si="27"/>
        <v>11678</v>
      </c>
      <c r="BJ51" s="35">
        <f t="shared" si="15"/>
        <v>11676</v>
      </c>
      <c r="BK51" s="35">
        <f t="shared" si="9"/>
        <v>11983</v>
      </c>
      <c r="BL51" s="35">
        <f t="shared" si="28"/>
        <v>3752</v>
      </c>
      <c r="BM51" s="35">
        <f t="shared" si="16"/>
        <v>9237</v>
      </c>
      <c r="BN51" s="35">
        <f t="shared" si="10"/>
        <v>11538</v>
      </c>
      <c r="BO51" s="130">
        <f t="shared" si="11"/>
        <v>0.9628640574146707</v>
      </c>
      <c r="BP51" s="131">
        <v>11539</v>
      </c>
    </row>
    <row r="52" spans="1:67" s="131" customFormat="1" ht="15">
      <c r="A52" s="152">
        <v>47</v>
      </c>
      <c r="B52" s="37">
        <v>932911</v>
      </c>
      <c r="C52" s="24" t="s">
        <v>195</v>
      </c>
      <c r="D52" s="24">
        <v>0</v>
      </c>
      <c r="E52" s="24"/>
      <c r="F52" s="24"/>
      <c r="G52" s="24"/>
      <c r="H52" s="24"/>
      <c r="I52" s="24"/>
      <c r="J52" s="174"/>
      <c r="K52" s="24"/>
      <c r="L52" s="24"/>
      <c r="M52" s="24"/>
      <c r="N52" s="24"/>
      <c r="O52" s="24"/>
      <c r="P52" s="24"/>
      <c r="Q52" s="174"/>
      <c r="R52" s="24">
        <v>465</v>
      </c>
      <c r="S52" s="24">
        <v>605</v>
      </c>
      <c r="T52" s="24">
        <v>605</v>
      </c>
      <c r="U52" s="221">
        <f>'7.K.részletező'!AY104</f>
        <v>605</v>
      </c>
      <c r="V52" s="24">
        <v>293</v>
      </c>
      <c r="W52" s="24">
        <v>372</v>
      </c>
      <c r="X52" s="24">
        <v>407</v>
      </c>
      <c r="Y52" s="24"/>
      <c r="Z52" s="24"/>
      <c r="AA52" s="24"/>
      <c r="AB52" s="24"/>
      <c r="AC52" s="24"/>
      <c r="AD52" s="24"/>
      <c r="AE52" s="24"/>
      <c r="AF52" s="38">
        <f t="shared" si="18"/>
        <v>465</v>
      </c>
      <c r="AG52" s="38">
        <f t="shared" si="30"/>
        <v>605</v>
      </c>
      <c r="AH52" s="38">
        <f t="shared" si="12"/>
        <v>605</v>
      </c>
      <c r="AI52" s="38">
        <f t="shared" si="3"/>
        <v>605</v>
      </c>
      <c r="AJ52" s="38">
        <f t="shared" si="22"/>
        <v>293</v>
      </c>
      <c r="AK52" s="38">
        <f t="shared" si="23"/>
        <v>372</v>
      </c>
      <c r="AL52" s="38">
        <f t="shared" si="5"/>
        <v>407</v>
      </c>
      <c r="AM52" s="38"/>
      <c r="AN52" s="38"/>
      <c r="AO52" s="38"/>
      <c r="AP52" s="38"/>
      <c r="AQ52" s="38"/>
      <c r="AR52" s="38"/>
      <c r="AS52" s="38"/>
      <c r="AT52" s="24"/>
      <c r="AU52" s="24"/>
      <c r="AV52" s="24"/>
      <c r="AW52" s="24"/>
      <c r="AX52" s="24"/>
      <c r="AY52" s="24"/>
      <c r="AZ52" s="24"/>
      <c r="BA52" s="36">
        <f t="shared" si="20"/>
        <v>0</v>
      </c>
      <c r="BB52" s="36">
        <f t="shared" si="21"/>
        <v>0</v>
      </c>
      <c r="BC52" s="36">
        <f t="shared" si="13"/>
        <v>0</v>
      </c>
      <c r="BD52" s="36">
        <f t="shared" si="6"/>
        <v>0</v>
      </c>
      <c r="BE52" s="36">
        <f t="shared" si="29"/>
        <v>0</v>
      </c>
      <c r="BF52" s="36">
        <f t="shared" si="26"/>
        <v>0</v>
      </c>
      <c r="BG52" s="198">
        <f t="shared" si="8"/>
        <v>0</v>
      </c>
      <c r="BH52" s="35">
        <f t="shared" si="24"/>
        <v>465</v>
      </c>
      <c r="BI52" s="35">
        <f t="shared" si="27"/>
        <v>605</v>
      </c>
      <c r="BJ52" s="35">
        <f t="shared" si="15"/>
        <v>605</v>
      </c>
      <c r="BK52" s="35">
        <v>605</v>
      </c>
      <c r="BL52" s="35">
        <f t="shared" si="28"/>
        <v>293</v>
      </c>
      <c r="BM52" s="35">
        <f t="shared" si="16"/>
        <v>372</v>
      </c>
      <c r="BN52" s="35">
        <v>407</v>
      </c>
      <c r="BO52" s="130">
        <f t="shared" si="11"/>
        <v>0.6727272727272727</v>
      </c>
    </row>
    <row r="53" spans="1:67" s="131" customFormat="1" ht="15">
      <c r="A53" s="152">
        <v>48</v>
      </c>
      <c r="B53" s="37">
        <v>940000</v>
      </c>
      <c r="C53" s="37" t="s">
        <v>177</v>
      </c>
      <c r="D53" s="37">
        <v>300</v>
      </c>
      <c r="E53" s="37">
        <v>300</v>
      </c>
      <c r="F53" s="37">
        <v>300</v>
      </c>
      <c r="G53" s="37">
        <v>300</v>
      </c>
      <c r="H53" s="37">
        <v>110</v>
      </c>
      <c r="I53" s="37">
        <v>255</v>
      </c>
      <c r="J53" s="37">
        <v>540</v>
      </c>
      <c r="K53" s="37">
        <v>81</v>
      </c>
      <c r="L53" s="37">
        <v>81</v>
      </c>
      <c r="M53" s="37">
        <v>81</v>
      </c>
      <c r="N53" s="37">
        <v>81</v>
      </c>
      <c r="O53" s="37">
        <v>27</v>
      </c>
      <c r="P53" s="37">
        <v>62</v>
      </c>
      <c r="Q53" s="37">
        <v>125</v>
      </c>
      <c r="R53" s="37">
        <v>394</v>
      </c>
      <c r="S53" s="37">
        <v>394</v>
      </c>
      <c r="T53" s="37">
        <v>394</v>
      </c>
      <c r="U53" s="222">
        <f>'7.K.részletező'!AZ104</f>
        <v>394</v>
      </c>
      <c r="V53" s="37">
        <v>0</v>
      </c>
      <c r="W53" s="37">
        <v>67</v>
      </c>
      <c r="X53" s="37">
        <v>149</v>
      </c>
      <c r="Y53" s="152"/>
      <c r="Z53" s="152"/>
      <c r="AA53" s="152"/>
      <c r="AB53" s="152"/>
      <c r="AC53" s="152"/>
      <c r="AD53" s="152"/>
      <c r="AE53" s="152"/>
      <c r="AF53" s="38">
        <f t="shared" si="18"/>
        <v>775</v>
      </c>
      <c r="AG53" s="38">
        <f t="shared" si="30"/>
        <v>775</v>
      </c>
      <c r="AH53" s="38">
        <f t="shared" si="12"/>
        <v>775</v>
      </c>
      <c r="AI53" s="38">
        <f t="shared" si="3"/>
        <v>775</v>
      </c>
      <c r="AJ53" s="38">
        <f t="shared" si="22"/>
        <v>137</v>
      </c>
      <c r="AK53" s="38">
        <f t="shared" si="23"/>
        <v>384</v>
      </c>
      <c r="AL53" s="38">
        <f t="shared" si="5"/>
        <v>814</v>
      </c>
      <c r="AM53" s="38"/>
      <c r="AN53" s="38"/>
      <c r="AO53" s="38"/>
      <c r="AP53" s="38"/>
      <c r="AQ53" s="38"/>
      <c r="AR53" s="38"/>
      <c r="AS53" s="38"/>
      <c r="AT53" s="152"/>
      <c r="AU53" s="152"/>
      <c r="AV53" s="152"/>
      <c r="AW53" s="152"/>
      <c r="AX53" s="152"/>
      <c r="AY53" s="152"/>
      <c r="AZ53" s="152"/>
      <c r="BA53" s="36">
        <f t="shared" si="20"/>
        <v>0</v>
      </c>
      <c r="BB53" s="36">
        <f t="shared" si="21"/>
        <v>0</v>
      </c>
      <c r="BC53" s="36">
        <f t="shared" si="13"/>
        <v>0</v>
      </c>
      <c r="BD53" s="36">
        <f t="shared" si="6"/>
        <v>0</v>
      </c>
      <c r="BE53" s="36">
        <f t="shared" si="29"/>
        <v>0</v>
      </c>
      <c r="BF53" s="36">
        <f t="shared" si="26"/>
        <v>0</v>
      </c>
      <c r="BG53" s="198">
        <f t="shared" si="8"/>
        <v>0</v>
      </c>
      <c r="BH53" s="35">
        <f t="shared" si="24"/>
        <v>775</v>
      </c>
      <c r="BI53" s="35">
        <f t="shared" si="27"/>
        <v>775</v>
      </c>
      <c r="BJ53" s="35">
        <f t="shared" si="15"/>
        <v>775</v>
      </c>
      <c r="BK53" s="35">
        <f t="shared" si="9"/>
        <v>775</v>
      </c>
      <c r="BL53" s="35">
        <f t="shared" si="28"/>
        <v>137</v>
      </c>
      <c r="BM53" s="35">
        <f t="shared" si="16"/>
        <v>384</v>
      </c>
      <c r="BN53" s="35">
        <f t="shared" si="10"/>
        <v>814</v>
      </c>
      <c r="BO53" s="130">
        <f t="shared" si="11"/>
        <v>1.0503225806451613</v>
      </c>
    </row>
    <row r="54" spans="1:67" s="131" customFormat="1" ht="15">
      <c r="A54" s="152">
        <v>49</v>
      </c>
      <c r="B54" s="37">
        <v>960302</v>
      </c>
      <c r="C54" s="24" t="s">
        <v>27</v>
      </c>
      <c r="D54" s="24">
        <v>140</v>
      </c>
      <c r="E54" s="24">
        <v>140</v>
      </c>
      <c r="F54" s="24">
        <v>140</v>
      </c>
      <c r="G54" s="24">
        <v>140</v>
      </c>
      <c r="H54" s="24">
        <v>6</v>
      </c>
      <c r="I54" s="24">
        <v>23</v>
      </c>
      <c r="J54" s="24">
        <v>96</v>
      </c>
      <c r="K54" s="24">
        <v>38</v>
      </c>
      <c r="L54" s="24">
        <v>38</v>
      </c>
      <c r="M54" s="24">
        <v>38</v>
      </c>
      <c r="N54" s="24">
        <v>38</v>
      </c>
      <c r="O54" s="24">
        <v>1</v>
      </c>
      <c r="P54" s="24">
        <v>6</v>
      </c>
      <c r="Q54" s="24">
        <v>24</v>
      </c>
      <c r="R54" s="24">
        <v>521</v>
      </c>
      <c r="S54" s="24">
        <v>521</v>
      </c>
      <c r="T54" s="24">
        <v>521</v>
      </c>
      <c r="U54" s="221">
        <f>'7.K.részletező'!BA104</f>
        <v>521</v>
      </c>
      <c r="V54" s="24">
        <v>13</v>
      </c>
      <c r="W54" s="24">
        <v>19</v>
      </c>
      <c r="X54" s="24">
        <v>41</v>
      </c>
      <c r="Y54" s="24"/>
      <c r="Z54" s="24"/>
      <c r="AA54" s="24"/>
      <c r="AB54" s="24"/>
      <c r="AC54" s="24"/>
      <c r="AD54" s="24"/>
      <c r="AE54" s="24"/>
      <c r="AF54" s="38">
        <f t="shared" si="18"/>
        <v>699</v>
      </c>
      <c r="AG54" s="38">
        <f t="shared" si="30"/>
        <v>699</v>
      </c>
      <c r="AH54" s="38">
        <f t="shared" si="12"/>
        <v>699</v>
      </c>
      <c r="AI54" s="38">
        <f t="shared" si="3"/>
        <v>699</v>
      </c>
      <c r="AJ54" s="38">
        <f t="shared" si="22"/>
        <v>20</v>
      </c>
      <c r="AK54" s="38">
        <f t="shared" si="23"/>
        <v>48</v>
      </c>
      <c r="AL54" s="38">
        <f t="shared" si="5"/>
        <v>161</v>
      </c>
      <c r="AM54" s="38"/>
      <c r="AN54" s="38"/>
      <c r="AO54" s="38"/>
      <c r="AP54" s="38"/>
      <c r="AQ54" s="38"/>
      <c r="AR54" s="38"/>
      <c r="AS54" s="38"/>
      <c r="AT54" s="24">
        <v>500</v>
      </c>
      <c r="AU54" s="24">
        <v>500</v>
      </c>
      <c r="AV54" s="24">
        <v>500</v>
      </c>
      <c r="AW54" s="24">
        <v>500</v>
      </c>
      <c r="AX54" s="24">
        <v>633</v>
      </c>
      <c r="AY54" s="24">
        <v>694</v>
      </c>
      <c r="AZ54" s="24">
        <v>1025</v>
      </c>
      <c r="BA54" s="36">
        <f t="shared" si="20"/>
        <v>500</v>
      </c>
      <c r="BB54" s="36">
        <f t="shared" si="21"/>
        <v>500</v>
      </c>
      <c r="BC54" s="36">
        <f t="shared" si="13"/>
        <v>500</v>
      </c>
      <c r="BD54" s="36">
        <f t="shared" si="6"/>
        <v>500</v>
      </c>
      <c r="BE54" s="36">
        <f t="shared" si="29"/>
        <v>633</v>
      </c>
      <c r="BF54" s="36">
        <f t="shared" si="26"/>
        <v>694</v>
      </c>
      <c r="BG54" s="36">
        <f t="shared" si="8"/>
        <v>1025</v>
      </c>
      <c r="BH54" s="35">
        <f t="shared" si="24"/>
        <v>1199</v>
      </c>
      <c r="BI54" s="35">
        <f t="shared" si="27"/>
        <v>1199</v>
      </c>
      <c r="BJ54" s="35">
        <f t="shared" si="15"/>
        <v>1199</v>
      </c>
      <c r="BK54" s="35">
        <f t="shared" si="9"/>
        <v>1199</v>
      </c>
      <c r="BL54" s="35">
        <f t="shared" si="28"/>
        <v>653</v>
      </c>
      <c r="BM54" s="35">
        <f t="shared" si="16"/>
        <v>742</v>
      </c>
      <c r="BN54" s="35">
        <f t="shared" si="10"/>
        <v>1186</v>
      </c>
      <c r="BO54" s="130">
        <f t="shared" si="11"/>
        <v>0.9891576313594662</v>
      </c>
    </row>
    <row r="55" spans="1:68" ht="15">
      <c r="A55" s="13">
        <v>50</v>
      </c>
      <c r="B55" s="13"/>
      <c r="C55" s="34" t="s">
        <v>62</v>
      </c>
      <c r="D55" s="24">
        <f aca="true" t="shared" si="31" ref="D55:AE55">SUM(D21:D54)</f>
        <v>68831</v>
      </c>
      <c r="E55" s="24">
        <f t="shared" si="31"/>
        <v>69955</v>
      </c>
      <c r="F55" s="24">
        <f t="shared" si="31"/>
        <v>70595</v>
      </c>
      <c r="G55" s="24">
        <f t="shared" si="31"/>
        <v>73968</v>
      </c>
      <c r="H55" s="24">
        <f t="shared" si="31"/>
        <v>32582</v>
      </c>
      <c r="I55" s="24">
        <f t="shared" si="31"/>
        <v>49898</v>
      </c>
      <c r="J55" s="174">
        <f t="shared" si="31"/>
        <v>71452</v>
      </c>
      <c r="K55" s="24">
        <f t="shared" si="31"/>
        <v>19555</v>
      </c>
      <c r="L55" s="24">
        <f t="shared" si="31"/>
        <v>19843</v>
      </c>
      <c r="M55" s="24">
        <f t="shared" si="31"/>
        <v>20010</v>
      </c>
      <c r="N55" s="24">
        <f t="shared" si="31"/>
        <v>20684</v>
      </c>
      <c r="O55" s="24">
        <f t="shared" si="31"/>
        <v>10067</v>
      </c>
      <c r="P55" s="24">
        <f t="shared" si="31"/>
        <v>14541</v>
      </c>
      <c r="Q55" s="174">
        <f t="shared" si="31"/>
        <v>19890</v>
      </c>
      <c r="R55" s="24">
        <f t="shared" si="31"/>
        <v>154618</v>
      </c>
      <c r="S55" s="24">
        <f t="shared" si="31"/>
        <v>162618</v>
      </c>
      <c r="T55" s="24">
        <f t="shared" si="31"/>
        <v>163292</v>
      </c>
      <c r="U55" s="221">
        <f t="shared" si="31"/>
        <v>153240</v>
      </c>
      <c r="V55" s="24">
        <f t="shared" si="31"/>
        <v>57886</v>
      </c>
      <c r="W55" s="24">
        <f t="shared" si="31"/>
        <v>99026</v>
      </c>
      <c r="X55" s="174">
        <f t="shared" si="31"/>
        <v>136524</v>
      </c>
      <c r="Y55" s="24">
        <f t="shared" si="31"/>
        <v>7020</v>
      </c>
      <c r="Z55" s="24">
        <f t="shared" si="31"/>
        <v>7040</v>
      </c>
      <c r="AA55" s="24">
        <f t="shared" si="31"/>
        <v>5290</v>
      </c>
      <c r="AB55" s="24">
        <f t="shared" si="31"/>
        <v>5290</v>
      </c>
      <c r="AC55" s="24">
        <f t="shared" si="31"/>
        <v>2720</v>
      </c>
      <c r="AD55" s="24">
        <f t="shared" si="31"/>
        <v>3620</v>
      </c>
      <c r="AE55" s="24">
        <f t="shared" si="31"/>
        <v>5030</v>
      </c>
      <c r="AF55" s="38">
        <f t="shared" si="18"/>
        <v>250024</v>
      </c>
      <c r="AG55" s="38">
        <f t="shared" si="30"/>
        <v>259456</v>
      </c>
      <c r="AH55" s="38">
        <f>AA55+T55+M55+F55</f>
        <v>259187</v>
      </c>
      <c r="AI55" s="38">
        <f t="shared" si="3"/>
        <v>253182</v>
      </c>
      <c r="AJ55" s="38">
        <f t="shared" si="22"/>
        <v>103255</v>
      </c>
      <c r="AK55" s="38">
        <f t="shared" si="23"/>
        <v>167085</v>
      </c>
      <c r="AL55" s="38">
        <f t="shared" si="5"/>
        <v>232896</v>
      </c>
      <c r="AM55" s="24">
        <f aca="true" t="shared" si="32" ref="AM55:AZ55">SUM(AM21:AM54)</f>
        <v>2500</v>
      </c>
      <c r="AN55" s="24">
        <f t="shared" si="32"/>
        <v>2500</v>
      </c>
      <c r="AO55" s="24">
        <f t="shared" si="32"/>
        <v>2500</v>
      </c>
      <c r="AP55" s="24">
        <f t="shared" si="32"/>
        <v>2500</v>
      </c>
      <c r="AQ55" s="24">
        <f t="shared" si="32"/>
        <v>687</v>
      </c>
      <c r="AR55" s="24">
        <f t="shared" si="32"/>
        <v>687</v>
      </c>
      <c r="AS55" s="24">
        <f t="shared" si="32"/>
        <v>2070</v>
      </c>
      <c r="AT55" s="24">
        <f t="shared" si="32"/>
        <v>53643</v>
      </c>
      <c r="AU55" s="24">
        <f t="shared" si="32"/>
        <v>20338</v>
      </c>
      <c r="AV55" s="24">
        <f t="shared" si="32"/>
        <v>18180</v>
      </c>
      <c r="AW55" s="24">
        <v>17497</v>
      </c>
      <c r="AX55" s="24">
        <f t="shared" si="32"/>
        <v>11120</v>
      </c>
      <c r="AY55" s="24">
        <f t="shared" si="32"/>
        <v>12848</v>
      </c>
      <c r="AZ55" s="24">
        <f t="shared" si="32"/>
        <v>14117</v>
      </c>
      <c r="BA55" s="36">
        <f t="shared" si="20"/>
        <v>56143</v>
      </c>
      <c r="BB55" s="36">
        <f t="shared" si="21"/>
        <v>22838</v>
      </c>
      <c r="BC55" s="36">
        <f>AO55+AV55</f>
        <v>20680</v>
      </c>
      <c r="BD55" s="36">
        <f t="shared" si="6"/>
        <v>19997</v>
      </c>
      <c r="BE55" s="36">
        <f t="shared" si="29"/>
        <v>11807</v>
      </c>
      <c r="BF55" s="36">
        <f>AR55+AY55</f>
        <v>13535</v>
      </c>
      <c r="BG55" s="198">
        <f t="shared" si="8"/>
        <v>16187</v>
      </c>
      <c r="BH55" s="35">
        <f t="shared" si="24"/>
        <v>306167</v>
      </c>
      <c r="BI55" s="35">
        <f t="shared" si="27"/>
        <v>282294</v>
      </c>
      <c r="BJ55" s="35">
        <f>AH55+BC55</f>
        <v>279867</v>
      </c>
      <c r="BK55" s="35">
        <f t="shared" si="9"/>
        <v>273179</v>
      </c>
      <c r="BL55" s="35">
        <f t="shared" si="28"/>
        <v>115062</v>
      </c>
      <c r="BM55" s="35">
        <f>AK55+BF55</f>
        <v>180620</v>
      </c>
      <c r="BN55" s="188">
        <f t="shared" si="10"/>
        <v>249083</v>
      </c>
      <c r="BO55" s="130">
        <f t="shared" si="11"/>
        <v>0.9117940983750581</v>
      </c>
      <c r="BP55" s="41">
        <f>SUM(BN21:BN54)</f>
        <v>249083</v>
      </c>
    </row>
    <row r="56" spans="1:68" ht="15">
      <c r="A56" s="13">
        <v>51</v>
      </c>
      <c r="B56" s="13"/>
      <c r="C56" s="13"/>
      <c r="D56" s="65"/>
      <c r="E56" s="65"/>
      <c r="F56" s="65"/>
      <c r="G56" s="65"/>
      <c r="H56" s="65"/>
      <c r="I56" s="65"/>
      <c r="J56" s="195"/>
      <c r="K56" s="65"/>
      <c r="L56" s="65"/>
      <c r="M56" s="65"/>
      <c r="N56" s="65"/>
      <c r="O56" s="65"/>
      <c r="P56" s="65"/>
      <c r="Q56" s="195"/>
      <c r="R56" s="65"/>
      <c r="S56" s="65"/>
      <c r="T56" s="65"/>
      <c r="U56" s="223"/>
      <c r="V56" s="65"/>
      <c r="W56" s="65"/>
      <c r="X56" s="195"/>
      <c r="Y56" s="65"/>
      <c r="Z56" s="65"/>
      <c r="AA56" s="65"/>
      <c r="AB56" s="65"/>
      <c r="AC56" s="65"/>
      <c r="AD56" s="65"/>
      <c r="AE56" s="65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65"/>
      <c r="AU56" s="65"/>
      <c r="AV56" s="65"/>
      <c r="AW56" s="65"/>
      <c r="AX56" s="65"/>
      <c r="AY56" s="65"/>
      <c r="AZ56" s="65"/>
      <c r="BA56" s="36"/>
      <c r="BB56" s="36"/>
      <c r="BC56" s="36"/>
      <c r="BD56" s="36"/>
      <c r="BE56" s="36"/>
      <c r="BF56" s="36"/>
      <c r="BG56" s="198"/>
      <c r="BH56" s="35"/>
      <c r="BI56" s="35"/>
      <c r="BJ56" s="35"/>
      <c r="BK56" s="35"/>
      <c r="BL56" s="35"/>
      <c r="BM56" s="35"/>
      <c r="BN56" s="188"/>
      <c r="BO56" s="130"/>
      <c r="BP56" s="41">
        <v>249083</v>
      </c>
    </row>
    <row r="57" spans="1:67" ht="15.75">
      <c r="A57" s="13">
        <v>52</v>
      </c>
      <c r="B57" s="13"/>
      <c r="C57" s="34" t="s">
        <v>196</v>
      </c>
      <c r="D57" s="132">
        <f>SUM(D55+D17+D15)</f>
        <v>94369</v>
      </c>
      <c r="E57" s="132">
        <f aca="true" t="shared" si="33" ref="E57:BM57">SUM(E55+E17+E15)</f>
        <v>95783</v>
      </c>
      <c r="F57" s="132">
        <f t="shared" si="33"/>
        <v>96420</v>
      </c>
      <c r="G57" s="132">
        <f t="shared" si="33"/>
        <v>104052</v>
      </c>
      <c r="H57" s="132">
        <f t="shared" si="33"/>
        <v>44086</v>
      </c>
      <c r="I57" s="132">
        <f t="shared" si="33"/>
        <v>67238</v>
      </c>
      <c r="J57" s="196">
        <f t="shared" si="33"/>
        <v>98350</v>
      </c>
      <c r="K57" s="132">
        <f t="shared" si="33"/>
        <v>26497</v>
      </c>
      <c r="L57" s="132">
        <f t="shared" si="33"/>
        <v>26857</v>
      </c>
      <c r="M57" s="132">
        <f t="shared" si="33"/>
        <v>27046</v>
      </c>
      <c r="N57" s="132">
        <f t="shared" si="33"/>
        <v>28880</v>
      </c>
      <c r="O57" s="132">
        <f t="shared" si="33"/>
        <v>13253</v>
      </c>
      <c r="P57" s="132">
        <f t="shared" si="33"/>
        <v>19303</v>
      </c>
      <c r="Q57" s="196">
        <f t="shared" si="33"/>
        <v>27232</v>
      </c>
      <c r="R57" s="132">
        <f t="shared" si="33"/>
        <v>165544</v>
      </c>
      <c r="S57" s="132">
        <f t="shared" si="33"/>
        <v>175006</v>
      </c>
      <c r="T57" s="132">
        <f t="shared" si="33"/>
        <v>175747</v>
      </c>
      <c r="U57" s="224">
        <f t="shared" si="33"/>
        <v>168067</v>
      </c>
      <c r="V57" s="132">
        <f t="shared" si="33"/>
        <v>61778</v>
      </c>
      <c r="W57" s="132">
        <f t="shared" si="33"/>
        <v>105668</v>
      </c>
      <c r="X57" s="196">
        <f t="shared" si="33"/>
        <v>147206</v>
      </c>
      <c r="Y57" s="132">
        <f t="shared" si="33"/>
        <v>44001</v>
      </c>
      <c r="Z57" s="132">
        <f t="shared" si="33"/>
        <v>60112</v>
      </c>
      <c r="AA57" s="132">
        <f t="shared" si="33"/>
        <v>57464</v>
      </c>
      <c r="AB57" s="132">
        <f t="shared" si="33"/>
        <v>68310</v>
      </c>
      <c r="AC57" s="132">
        <f t="shared" si="33"/>
        <v>34300</v>
      </c>
      <c r="AD57" s="132">
        <f t="shared" si="33"/>
        <v>29845</v>
      </c>
      <c r="AE57" s="132">
        <f t="shared" si="33"/>
        <v>54720</v>
      </c>
      <c r="AF57" s="132">
        <f t="shared" si="33"/>
        <v>330411</v>
      </c>
      <c r="AG57" s="132">
        <f t="shared" si="33"/>
        <v>357758</v>
      </c>
      <c r="AH57" s="132">
        <f t="shared" si="33"/>
        <v>356677</v>
      </c>
      <c r="AI57" s="38">
        <f t="shared" si="3"/>
        <v>369309</v>
      </c>
      <c r="AJ57" s="132">
        <f t="shared" si="33"/>
        <v>153417</v>
      </c>
      <c r="AK57" s="132">
        <f t="shared" si="33"/>
        <v>222054</v>
      </c>
      <c r="AL57" s="38">
        <f t="shared" si="5"/>
        <v>327508</v>
      </c>
      <c r="AM57" s="132">
        <f t="shared" si="33"/>
        <v>8446</v>
      </c>
      <c r="AN57" s="132">
        <f t="shared" si="33"/>
        <v>8446</v>
      </c>
      <c r="AO57" s="132">
        <f t="shared" si="33"/>
        <v>8446</v>
      </c>
      <c r="AP57" s="132">
        <f t="shared" si="33"/>
        <v>8446</v>
      </c>
      <c r="AQ57" s="132">
        <f t="shared" si="33"/>
        <v>687</v>
      </c>
      <c r="AR57" s="132">
        <f t="shared" si="33"/>
        <v>687</v>
      </c>
      <c r="AS57" s="132">
        <f t="shared" si="33"/>
        <v>4213</v>
      </c>
      <c r="AT57" s="132">
        <f t="shared" si="33"/>
        <v>93649</v>
      </c>
      <c r="AU57" s="132">
        <f t="shared" si="33"/>
        <v>111780</v>
      </c>
      <c r="AV57" s="132">
        <f t="shared" si="33"/>
        <v>123503</v>
      </c>
      <c r="AW57" s="132">
        <f t="shared" si="33"/>
        <v>124414</v>
      </c>
      <c r="AX57" s="132">
        <f t="shared" si="33"/>
        <v>25092</v>
      </c>
      <c r="AY57" s="132">
        <f>SUM(AY55+AY17+AY15)</f>
        <v>81910</v>
      </c>
      <c r="AZ57" s="132">
        <f>SUM(AZ55+AZ17+AZ15)</f>
        <v>95358</v>
      </c>
      <c r="BA57" s="132">
        <f t="shared" si="33"/>
        <v>102095</v>
      </c>
      <c r="BB57" s="132">
        <f t="shared" si="33"/>
        <v>120226</v>
      </c>
      <c r="BC57" s="132">
        <f t="shared" si="33"/>
        <v>131949</v>
      </c>
      <c r="BD57" s="36">
        <f t="shared" si="6"/>
        <v>132860</v>
      </c>
      <c r="BE57" s="132">
        <f t="shared" si="33"/>
        <v>25779</v>
      </c>
      <c r="BF57" s="132">
        <f t="shared" si="33"/>
        <v>82597</v>
      </c>
      <c r="BG57" s="198">
        <f t="shared" si="8"/>
        <v>99571</v>
      </c>
      <c r="BH57" s="132">
        <f t="shared" si="33"/>
        <v>432506</v>
      </c>
      <c r="BI57" s="132">
        <f t="shared" si="33"/>
        <v>477984</v>
      </c>
      <c r="BJ57" s="132">
        <f t="shared" si="33"/>
        <v>488626</v>
      </c>
      <c r="BK57" s="35">
        <f t="shared" si="9"/>
        <v>502169</v>
      </c>
      <c r="BL57" s="132">
        <f t="shared" si="33"/>
        <v>179196</v>
      </c>
      <c r="BM57" s="132">
        <f t="shared" si="33"/>
        <v>304651</v>
      </c>
      <c r="BN57" s="188">
        <f>AL57+BG57</f>
        <v>427079</v>
      </c>
      <c r="BO57" s="130">
        <f t="shared" si="11"/>
        <v>0.8504686669228885</v>
      </c>
    </row>
    <row r="58" spans="1:67" ht="15">
      <c r="A58" s="13"/>
      <c r="B58" s="133"/>
      <c r="C58" s="133"/>
      <c r="D58" s="133"/>
      <c r="E58" s="133"/>
      <c r="F58" s="133"/>
      <c r="G58" s="133"/>
      <c r="H58" s="133"/>
      <c r="I58" s="133"/>
      <c r="J58" s="177"/>
      <c r="K58" s="133"/>
      <c r="L58" s="133"/>
      <c r="M58" s="133"/>
      <c r="N58" s="133"/>
      <c r="O58" s="133"/>
      <c r="P58" s="133"/>
      <c r="Q58" s="177"/>
      <c r="R58" s="133"/>
      <c r="S58" s="133"/>
      <c r="T58" s="133"/>
      <c r="U58" s="222"/>
      <c r="V58" s="133"/>
      <c r="W58" s="133"/>
      <c r="X58" s="177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77"/>
      <c r="BH58" s="133"/>
      <c r="BI58" s="133"/>
      <c r="BJ58" s="133"/>
      <c r="BK58" s="133"/>
      <c r="BL58" s="133"/>
      <c r="BM58" s="133"/>
      <c r="BN58" s="133"/>
      <c r="BO58" s="13"/>
    </row>
    <row r="60" spans="32:38" ht="15">
      <c r="AF60" s="41"/>
      <c r="AG60" s="41"/>
      <c r="AH60" s="41"/>
      <c r="AI60" s="41"/>
      <c r="AJ60" s="41"/>
      <c r="AK60" s="41"/>
      <c r="AL60" s="41"/>
    </row>
  </sheetData>
  <sheetProtection/>
  <mergeCells count="10">
    <mergeCell ref="A1:C1"/>
    <mergeCell ref="AT6:AZ6"/>
    <mergeCell ref="BA6:BG6"/>
    <mergeCell ref="BH6:BN6"/>
    <mergeCell ref="D6:J6"/>
    <mergeCell ref="R6:X6"/>
    <mergeCell ref="K6:Q6"/>
    <mergeCell ref="Y6:AE6"/>
    <mergeCell ref="AF6:AL6"/>
    <mergeCell ref="AM6:AS6"/>
  </mergeCells>
  <printOptions/>
  <pageMargins left="0.7" right="0.7" top="0.75" bottom="0.75" header="0.3" footer="0.3"/>
  <pageSetup horizontalDpi="300" verticalDpi="300" orientation="landscape" paperSize="8" scale="2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B52"/>
  <sheetViews>
    <sheetView view="pageBreakPreview" zoomScale="70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8" sqref="G8"/>
    </sheetView>
  </sheetViews>
  <sheetFormatPr defaultColWidth="9.140625" defaultRowHeight="15"/>
  <cols>
    <col min="1" max="1" width="9.140625" style="135" customWidth="1"/>
    <col min="2" max="2" width="10.7109375" style="136" customWidth="1"/>
    <col min="3" max="3" width="36.8515625" style="134" customWidth="1"/>
    <col min="4" max="4" width="9.28125" style="134" customWidth="1"/>
    <col min="5" max="5" width="9.421875" style="134" customWidth="1"/>
    <col min="6" max="7" width="9.00390625" style="134" customWidth="1"/>
    <col min="8" max="8" width="8.57421875" style="134" customWidth="1"/>
    <col min="9" max="9" width="10.28125" style="42" customWidth="1"/>
    <col min="10" max="10" width="7.140625" style="134" customWidth="1"/>
    <col min="11" max="11" width="6.421875" style="134" customWidth="1"/>
    <col min="12" max="12" width="9.00390625" style="134" customWidth="1"/>
    <col min="13" max="13" width="8.8515625" style="134" customWidth="1"/>
    <col min="14" max="14" width="8.28125" style="134" customWidth="1"/>
    <col min="15" max="21" width="9.00390625" style="134" customWidth="1"/>
    <col min="22" max="22" width="7.8515625" style="134" customWidth="1"/>
    <col min="23" max="23" width="8.421875" style="134" customWidth="1"/>
    <col min="24" max="24" width="9.421875" style="134" customWidth="1"/>
    <col min="25" max="25" width="7.8515625" style="134" customWidth="1"/>
    <col min="26" max="26" width="8.28125" style="134" customWidth="1"/>
    <col min="27" max="27" width="13.421875" style="42" customWidth="1"/>
    <col min="28" max="16384" width="9.140625" style="134" customWidth="1"/>
  </cols>
  <sheetData>
    <row r="1" spans="1:7" ht="18.75">
      <c r="A1" s="259" t="s">
        <v>645</v>
      </c>
      <c r="B1" s="259"/>
      <c r="C1" s="259"/>
      <c r="D1" s="259"/>
      <c r="E1" s="259"/>
      <c r="F1" s="259"/>
      <c r="G1" s="259"/>
    </row>
    <row r="3" spans="2:3" ht="18.75">
      <c r="B3" s="260" t="s">
        <v>462</v>
      </c>
      <c r="C3" s="261"/>
    </row>
    <row r="4" spans="1:27" s="135" customFormat="1" ht="15">
      <c r="A4" s="137"/>
      <c r="B4" s="137" t="s">
        <v>30</v>
      </c>
      <c r="C4" s="137" t="s">
        <v>31</v>
      </c>
      <c r="D4" s="137" t="s">
        <v>32</v>
      </c>
      <c r="E4" s="137" t="s">
        <v>33</v>
      </c>
      <c r="F4" s="137" t="s">
        <v>34</v>
      </c>
      <c r="G4" s="137" t="s">
        <v>155</v>
      </c>
      <c r="H4" s="137" t="s">
        <v>63</v>
      </c>
      <c r="I4" s="137" t="s">
        <v>64</v>
      </c>
      <c r="J4" s="137" t="s">
        <v>65</v>
      </c>
      <c r="K4" s="137" t="s">
        <v>66</v>
      </c>
      <c r="L4" s="137" t="s">
        <v>67</v>
      </c>
      <c r="M4" s="137" t="s">
        <v>68</v>
      </c>
      <c r="N4" s="137" t="s">
        <v>69</v>
      </c>
      <c r="O4" s="137" t="s">
        <v>70</v>
      </c>
      <c r="P4" s="137" t="s">
        <v>197</v>
      </c>
      <c r="Q4" s="137" t="s">
        <v>71</v>
      </c>
      <c r="R4" s="137" t="s">
        <v>198</v>
      </c>
      <c r="S4" s="137" t="s">
        <v>72</v>
      </c>
      <c r="T4" s="137" t="s">
        <v>73</v>
      </c>
      <c r="U4" s="137" t="s">
        <v>74</v>
      </c>
      <c r="V4" s="137" t="s">
        <v>75</v>
      </c>
      <c r="W4" s="137" t="s">
        <v>76</v>
      </c>
      <c r="X4" s="137" t="s">
        <v>77</v>
      </c>
      <c r="Y4" s="137" t="s">
        <v>78</v>
      </c>
      <c r="Z4" s="217" t="s">
        <v>79</v>
      </c>
      <c r="AA4" s="137" t="s">
        <v>80</v>
      </c>
    </row>
    <row r="5" spans="1:27" ht="18.75">
      <c r="A5" s="137">
        <v>1</v>
      </c>
      <c r="B5" s="138"/>
      <c r="C5" s="137"/>
      <c r="D5" s="137"/>
      <c r="E5" s="258" t="s">
        <v>199</v>
      </c>
      <c r="F5" s="258"/>
      <c r="G5" s="258"/>
      <c r="H5" s="258"/>
      <c r="I5" s="258"/>
      <c r="J5" s="258" t="s">
        <v>200</v>
      </c>
      <c r="K5" s="258"/>
      <c r="L5" s="258"/>
      <c r="M5" s="258"/>
      <c r="N5" s="258"/>
      <c r="O5" s="258"/>
      <c r="P5" s="258" t="s">
        <v>201</v>
      </c>
      <c r="Q5" s="258"/>
      <c r="R5" s="258"/>
      <c r="S5" s="258"/>
      <c r="T5" s="258"/>
      <c r="U5" s="258"/>
      <c r="V5" s="258" t="s">
        <v>202</v>
      </c>
      <c r="W5" s="258"/>
      <c r="X5" s="258"/>
      <c r="Y5" s="258"/>
      <c r="Z5" s="258"/>
      <c r="AA5" s="258"/>
    </row>
    <row r="6" spans="1:27" ht="52.5">
      <c r="A6" s="137">
        <v>2</v>
      </c>
      <c r="B6" s="107" t="s">
        <v>203</v>
      </c>
      <c r="C6" s="107"/>
      <c r="D6" s="43" t="s">
        <v>204</v>
      </c>
      <c r="E6" s="43" t="s">
        <v>205</v>
      </c>
      <c r="F6" s="43" t="s">
        <v>206</v>
      </c>
      <c r="G6" s="43" t="s">
        <v>207</v>
      </c>
      <c r="H6" s="43" t="s">
        <v>208</v>
      </c>
      <c r="I6" s="44" t="s">
        <v>209</v>
      </c>
      <c r="J6" s="43" t="s">
        <v>204</v>
      </c>
      <c r="K6" s="43" t="s">
        <v>205</v>
      </c>
      <c r="L6" s="43" t="s">
        <v>206</v>
      </c>
      <c r="M6" s="43" t="s">
        <v>207</v>
      </c>
      <c r="N6" s="43" t="s">
        <v>208</v>
      </c>
      <c r="O6" s="43" t="s">
        <v>210</v>
      </c>
      <c r="P6" s="43" t="s">
        <v>204</v>
      </c>
      <c r="Q6" s="43" t="s">
        <v>205</v>
      </c>
      <c r="R6" s="43" t="s">
        <v>206</v>
      </c>
      <c r="S6" s="43" t="s">
        <v>207</v>
      </c>
      <c r="T6" s="43" t="s">
        <v>208</v>
      </c>
      <c r="U6" s="43" t="s">
        <v>211</v>
      </c>
      <c r="V6" s="43" t="s">
        <v>212</v>
      </c>
      <c r="W6" s="43" t="s">
        <v>213</v>
      </c>
      <c r="X6" s="43" t="s">
        <v>214</v>
      </c>
      <c r="Y6" s="43" t="s">
        <v>207</v>
      </c>
      <c r="Z6" s="43" t="s">
        <v>215</v>
      </c>
      <c r="AA6" s="45" t="s">
        <v>164</v>
      </c>
    </row>
    <row r="7" spans="1:27" ht="15">
      <c r="A7" s="137">
        <v>3</v>
      </c>
      <c r="B7" s="46">
        <v>841112</v>
      </c>
      <c r="C7" s="47" t="s">
        <v>216</v>
      </c>
      <c r="D7" s="47">
        <f>'5.K kiemelt ei.'!G15</f>
        <v>6604</v>
      </c>
      <c r="E7" s="48">
        <f>'5.K kiemelt ei.'!N15</f>
        <v>1802</v>
      </c>
      <c r="F7" s="48">
        <f>'5.K kiemelt ei.'!U15</f>
        <v>11747</v>
      </c>
      <c r="G7" s="48">
        <f>'5.K kiemelt ei.'!AB15-'5.K kiemelt ei.'!AB14-'5.K kiemelt ei.'!AB9+89</f>
        <v>26294</v>
      </c>
      <c r="H7" s="48">
        <f>'5.K kiemelt ei.'!BD15</f>
        <v>110859</v>
      </c>
      <c r="I7" s="49">
        <f>SUM(D7:H7)</f>
        <v>157306</v>
      </c>
      <c r="J7" s="48"/>
      <c r="K7" s="48"/>
      <c r="L7" s="48"/>
      <c r="M7" s="48">
        <f>'5.K kiemelt ei.'!AA14</f>
        <v>10000</v>
      </c>
      <c r="N7" s="48"/>
      <c r="O7" s="48">
        <f>SUM(J7:N7)</f>
        <v>10000</v>
      </c>
      <c r="P7" s="48"/>
      <c r="Q7" s="48"/>
      <c r="R7" s="48"/>
      <c r="S7" s="48"/>
      <c r="T7" s="48"/>
      <c r="U7" s="48">
        <f>SUM(P7:T7)</f>
        <v>0</v>
      </c>
      <c r="V7" s="48">
        <f aca="true" t="shared" si="0" ref="V7:AA22">P7+J7+D7</f>
        <v>6604</v>
      </c>
      <c r="W7" s="48">
        <f t="shared" si="0"/>
        <v>1802</v>
      </c>
      <c r="X7" s="48">
        <f t="shared" si="0"/>
        <v>11747</v>
      </c>
      <c r="Y7" s="48">
        <f t="shared" si="0"/>
        <v>36294</v>
      </c>
      <c r="Z7" s="48">
        <f t="shared" si="0"/>
        <v>110859</v>
      </c>
      <c r="AA7" s="49">
        <f t="shared" si="0"/>
        <v>167306</v>
      </c>
    </row>
    <row r="8" spans="1:27" ht="15">
      <c r="A8" s="137">
        <v>4</v>
      </c>
      <c r="B8" s="46">
        <v>841907</v>
      </c>
      <c r="C8" s="47" t="s">
        <v>217</v>
      </c>
      <c r="D8" s="47"/>
      <c r="E8" s="48"/>
      <c r="F8" s="48"/>
      <c r="G8" s="48"/>
      <c r="H8" s="48"/>
      <c r="I8" s="49">
        <f>SUM(E8:H8)</f>
        <v>0</v>
      </c>
      <c r="J8" s="48"/>
      <c r="K8" s="48"/>
      <c r="L8" s="48"/>
      <c r="M8" s="48"/>
      <c r="N8" s="48"/>
      <c r="O8" s="48">
        <f>SUM(J8:N8)</f>
        <v>0</v>
      </c>
      <c r="P8" s="48"/>
      <c r="Q8" s="48"/>
      <c r="R8" s="48"/>
      <c r="S8" s="48">
        <f>'5.K kiemelt ei.'!AA9</f>
        <v>26726</v>
      </c>
      <c r="T8" s="48"/>
      <c r="U8" s="48">
        <f aca="true" t="shared" si="1" ref="U8:U49">SUM(P8:T8)</f>
        <v>26726</v>
      </c>
      <c r="V8" s="48">
        <f t="shared" si="0"/>
        <v>0</v>
      </c>
      <c r="W8" s="48">
        <f t="shared" si="0"/>
        <v>0</v>
      </c>
      <c r="X8" s="48">
        <f t="shared" si="0"/>
        <v>0</v>
      </c>
      <c r="Y8" s="48">
        <f t="shared" si="0"/>
        <v>26726</v>
      </c>
      <c r="Z8" s="48">
        <f t="shared" si="0"/>
        <v>0</v>
      </c>
      <c r="AA8" s="49">
        <f t="shared" si="0"/>
        <v>26726</v>
      </c>
    </row>
    <row r="9" spans="1:28" ht="15">
      <c r="A9" s="137">
        <v>5</v>
      </c>
      <c r="B9" s="46"/>
      <c r="C9" s="47" t="s">
        <v>29</v>
      </c>
      <c r="D9" s="47">
        <f>SUM(D7:D8)</f>
        <v>6604</v>
      </c>
      <c r="E9" s="47">
        <f aca="true" t="shared" si="2" ref="E9:AA9">SUM(E7:E8)</f>
        <v>1802</v>
      </c>
      <c r="F9" s="47">
        <f t="shared" si="2"/>
        <v>11747</v>
      </c>
      <c r="G9" s="47">
        <f t="shared" si="2"/>
        <v>26294</v>
      </c>
      <c r="H9" s="47">
        <f t="shared" si="2"/>
        <v>110859</v>
      </c>
      <c r="I9" s="47">
        <f t="shared" si="2"/>
        <v>157306</v>
      </c>
      <c r="J9" s="47">
        <f t="shared" si="2"/>
        <v>0</v>
      </c>
      <c r="K9" s="47">
        <f t="shared" si="2"/>
        <v>0</v>
      </c>
      <c r="L9" s="47">
        <f t="shared" si="2"/>
        <v>0</v>
      </c>
      <c r="M9" s="47">
        <f t="shared" si="2"/>
        <v>10000</v>
      </c>
      <c r="N9" s="47">
        <f t="shared" si="2"/>
        <v>0</v>
      </c>
      <c r="O9" s="47">
        <f t="shared" si="2"/>
        <v>10000</v>
      </c>
      <c r="P9" s="47">
        <f t="shared" si="2"/>
        <v>0</v>
      </c>
      <c r="Q9" s="47">
        <f t="shared" si="2"/>
        <v>0</v>
      </c>
      <c r="R9" s="47">
        <f t="shared" si="2"/>
        <v>0</v>
      </c>
      <c r="S9" s="47">
        <f t="shared" si="2"/>
        <v>26726</v>
      </c>
      <c r="T9" s="47">
        <f t="shared" si="2"/>
        <v>0</v>
      </c>
      <c r="U9" s="47">
        <f t="shared" si="2"/>
        <v>26726</v>
      </c>
      <c r="V9" s="47">
        <f t="shared" si="2"/>
        <v>6604</v>
      </c>
      <c r="W9" s="47">
        <f t="shared" si="2"/>
        <v>1802</v>
      </c>
      <c r="X9" s="47">
        <f t="shared" si="2"/>
        <v>11747</v>
      </c>
      <c r="Y9" s="47">
        <f t="shared" si="2"/>
        <v>63020</v>
      </c>
      <c r="Z9" s="47">
        <f t="shared" si="2"/>
        <v>110859</v>
      </c>
      <c r="AA9" s="47">
        <f t="shared" si="2"/>
        <v>194032</v>
      </c>
      <c r="AB9" s="134">
        <v>194032</v>
      </c>
    </row>
    <row r="10" spans="1:27" ht="15">
      <c r="A10" s="137">
        <v>6</v>
      </c>
      <c r="B10" s="46"/>
      <c r="C10" s="47"/>
      <c r="D10" s="47"/>
      <c r="E10" s="48"/>
      <c r="F10" s="48"/>
      <c r="G10" s="48"/>
      <c r="H10" s="48"/>
      <c r="I10" s="49">
        <f>SUM(E10:H10)</f>
        <v>0</v>
      </c>
      <c r="J10" s="48"/>
      <c r="K10" s="48"/>
      <c r="L10" s="48"/>
      <c r="M10" s="48"/>
      <c r="N10" s="48"/>
      <c r="O10" s="48">
        <f aca="true" t="shared" si="3" ref="O10:O49">SUM(J10:N10)</f>
        <v>0</v>
      </c>
      <c r="P10" s="48"/>
      <c r="Q10" s="48"/>
      <c r="R10" s="48"/>
      <c r="S10" s="48"/>
      <c r="T10" s="48"/>
      <c r="U10" s="48">
        <f t="shared" si="1"/>
        <v>0</v>
      </c>
      <c r="V10" s="48">
        <f t="shared" si="0"/>
        <v>0</v>
      </c>
      <c r="W10" s="48">
        <f t="shared" si="0"/>
        <v>0</v>
      </c>
      <c r="X10" s="48">
        <f t="shared" si="0"/>
        <v>0</v>
      </c>
      <c r="Y10" s="48">
        <f t="shared" si="0"/>
        <v>0</v>
      </c>
      <c r="Z10" s="48">
        <f t="shared" si="0"/>
        <v>0</v>
      </c>
      <c r="AA10" s="49">
        <f t="shared" si="0"/>
        <v>0</v>
      </c>
    </row>
    <row r="11" spans="1:27" ht="15">
      <c r="A11" s="137">
        <v>7</v>
      </c>
      <c r="B11" s="46" t="s">
        <v>166</v>
      </c>
      <c r="C11" s="47"/>
      <c r="D11" s="47"/>
      <c r="E11" s="48"/>
      <c r="F11" s="48"/>
      <c r="G11" s="48"/>
      <c r="H11" s="48"/>
      <c r="I11" s="49">
        <f>SUM(E11:H11)</f>
        <v>0</v>
      </c>
      <c r="J11" s="48"/>
      <c r="K11" s="48"/>
      <c r="L11" s="48"/>
      <c r="M11" s="48"/>
      <c r="N11" s="48"/>
      <c r="O11" s="48">
        <f t="shared" si="3"/>
        <v>0</v>
      </c>
      <c r="P11" s="48"/>
      <c r="Q11" s="48"/>
      <c r="R11" s="48"/>
      <c r="S11" s="48"/>
      <c r="T11" s="48"/>
      <c r="U11" s="48">
        <f t="shared" si="1"/>
        <v>0</v>
      </c>
      <c r="V11" s="48">
        <f t="shared" si="0"/>
        <v>0</v>
      </c>
      <c r="W11" s="48">
        <f t="shared" si="0"/>
        <v>0</v>
      </c>
      <c r="X11" s="48">
        <f t="shared" si="0"/>
        <v>0</v>
      </c>
      <c r="Y11" s="48">
        <f t="shared" si="0"/>
        <v>0</v>
      </c>
      <c r="Z11" s="48">
        <f t="shared" si="0"/>
        <v>0</v>
      </c>
      <c r="AA11" s="49">
        <f t="shared" si="0"/>
        <v>0</v>
      </c>
    </row>
    <row r="12" spans="1:27" ht="15">
      <c r="A12" s="137">
        <v>8</v>
      </c>
      <c r="B12" s="46">
        <v>851</v>
      </c>
      <c r="C12" s="47" t="s">
        <v>218</v>
      </c>
      <c r="D12" s="48">
        <f>'5.K kiemelt ei.'!G17</f>
        <v>23480</v>
      </c>
      <c r="E12" s="107">
        <f>'5.K kiemelt ei.'!N17</f>
        <v>6394</v>
      </c>
      <c r="F12" s="48">
        <f>'5.K kiemelt ei.'!U17</f>
        <v>3080</v>
      </c>
      <c r="G12" s="48"/>
      <c r="H12" s="48">
        <f>'5.K kiemelt ei.'!BD17</f>
        <v>2004</v>
      </c>
      <c r="I12" s="49">
        <f>SUM(D12:H12)</f>
        <v>34958</v>
      </c>
      <c r="J12" s="49">
        <f>SUM(J9:J10)</f>
        <v>0</v>
      </c>
      <c r="K12" s="49">
        <v>0</v>
      </c>
      <c r="L12" s="49">
        <v>0</v>
      </c>
      <c r="M12" s="49">
        <v>0</v>
      </c>
      <c r="N12" s="49">
        <v>0</v>
      </c>
      <c r="O12" s="49">
        <f t="shared" si="3"/>
        <v>0</v>
      </c>
      <c r="P12" s="49">
        <f>SUM(K12:O12)</f>
        <v>0</v>
      </c>
      <c r="Q12" s="49">
        <f>SUM(L12:P12)</f>
        <v>0</v>
      </c>
      <c r="R12" s="49">
        <f>SUM(M12:Q12)</f>
        <v>0</v>
      </c>
      <c r="S12" s="49">
        <f>SUM(N12:R12)</f>
        <v>0</v>
      </c>
      <c r="T12" s="49">
        <f>SUM(O12:S12)</f>
        <v>0</v>
      </c>
      <c r="U12" s="49">
        <f t="shared" si="1"/>
        <v>0</v>
      </c>
      <c r="V12" s="49">
        <f>D12</f>
        <v>23480</v>
      </c>
      <c r="W12" s="49">
        <f>E12</f>
        <v>6394</v>
      </c>
      <c r="X12" s="49">
        <f>F12</f>
        <v>3080</v>
      </c>
      <c r="Y12" s="49">
        <f>G12</f>
        <v>0</v>
      </c>
      <c r="Z12" s="49">
        <f>H12</f>
        <v>2004</v>
      </c>
      <c r="AA12" s="49">
        <f>SUM(V12:Z12)</f>
        <v>34958</v>
      </c>
    </row>
    <row r="13" spans="1:27" ht="15">
      <c r="A13" s="137">
        <v>9</v>
      </c>
      <c r="B13" s="46"/>
      <c r="C13" s="47"/>
      <c r="D13" s="47"/>
      <c r="E13" s="48"/>
      <c r="F13" s="48"/>
      <c r="G13" s="48"/>
      <c r="H13" s="48"/>
      <c r="I13" s="49">
        <f>SUM(E13:H13)</f>
        <v>0</v>
      </c>
      <c r="J13" s="48"/>
      <c r="K13" s="48"/>
      <c r="L13" s="48"/>
      <c r="M13" s="48"/>
      <c r="N13" s="48"/>
      <c r="O13" s="48">
        <f t="shared" si="3"/>
        <v>0</v>
      </c>
      <c r="P13" s="48"/>
      <c r="Q13" s="48"/>
      <c r="R13" s="48"/>
      <c r="S13" s="48"/>
      <c r="T13" s="48"/>
      <c r="U13" s="48">
        <f t="shared" si="1"/>
        <v>0</v>
      </c>
      <c r="V13" s="48">
        <f t="shared" si="0"/>
        <v>0</v>
      </c>
      <c r="W13" s="48">
        <f t="shared" si="0"/>
        <v>0</v>
      </c>
      <c r="X13" s="48">
        <f t="shared" si="0"/>
        <v>0</v>
      </c>
      <c r="Y13" s="48">
        <f t="shared" si="0"/>
        <v>0</v>
      </c>
      <c r="Z13" s="48">
        <f t="shared" si="0"/>
        <v>0</v>
      </c>
      <c r="AA13" s="49">
        <f t="shared" si="0"/>
        <v>0</v>
      </c>
    </row>
    <row r="14" spans="1:27" ht="15">
      <c r="A14" s="137">
        <v>10</v>
      </c>
      <c r="B14" s="50"/>
      <c r="C14" s="51"/>
      <c r="D14" s="51"/>
      <c r="E14" s="48"/>
      <c r="F14" s="48"/>
      <c r="G14" s="48"/>
      <c r="H14" s="48"/>
      <c r="I14" s="49">
        <f>SUM(E14:H14)</f>
        <v>0</v>
      </c>
      <c r="J14" s="48"/>
      <c r="K14" s="48"/>
      <c r="L14" s="48"/>
      <c r="M14" s="48"/>
      <c r="N14" s="48"/>
      <c r="O14" s="48">
        <f t="shared" si="3"/>
        <v>0</v>
      </c>
      <c r="P14" s="48"/>
      <c r="Q14" s="48"/>
      <c r="R14" s="48"/>
      <c r="S14" s="48"/>
      <c r="T14" s="48"/>
      <c r="U14" s="48">
        <f t="shared" si="1"/>
        <v>0</v>
      </c>
      <c r="V14" s="48">
        <f t="shared" si="0"/>
        <v>0</v>
      </c>
      <c r="W14" s="48">
        <f t="shared" si="0"/>
        <v>0</v>
      </c>
      <c r="X14" s="48">
        <f t="shared" si="0"/>
        <v>0</v>
      </c>
      <c r="Y14" s="48">
        <f t="shared" si="0"/>
        <v>0</v>
      </c>
      <c r="Z14" s="48">
        <f t="shared" si="0"/>
        <v>0</v>
      </c>
      <c r="AA14" s="49">
        <f t="shared" si="0"/>
        <v>0</v>
      </c>
    </row>
    <row r="15" spans="1:27" ht="15">
      <c r="A15" s="137">
        <v>11</v>
      </c>
      <c r="B15" s="50" t="s">
        <v>219</v>
      </c>
      <c r="C15" s="51"/>
      <c r="D15" s="51"/>
      <c r="E15" s="48"/>
      <c r="F15" s="48"/>
      <c r="G15" s="48"/>
      <c r="H15" s="48"/>
      <c r="I15" s="49">
        <f>SUM(E15:H15)</f>
        <v>0</v>
      </c>
      <c r="J15" s="48"/>
      <c r="K15" s="48"/>
      <c r="L15" s="48"/>
      <c r="M15" s="48"/>
      <c r="N15" s="48"/>
      <c r="O15" s="48">
        <f t="shared" si="3"/>
        <v>0</v>
      </c>
      <c r="P15" s="48"/>
      <c r="Q15" s="48"/>
      <c r="R15" s="48"/>
      <c r="S15" s="48"/>
      <c r="T15" s="48"/>
      <c r="U15" s="48">
        <f t="shared" si="1"/>
        <v>0</v>
      </c>
      <c r="V15" s="48">
        <f t="shared" si="0"/>
        <v>0</v>
      </c>
      <c r="W15" s="48">
        <f t="shared" si="0"/>
        <v>0</v>
      </c>
      <c r="X15" s="48">
        <f t="shared" si="0"/>
        <v>0</v>
      </c>
      <c r="Y15" s="48">
        <f t="shared" si="0"/>
        <v>0</v>
      </c>
      <c r="Z15" s="48">
        <f t="shared" si="0"/>
        <v>0</v>
      </c>
      <c r="AA15" s="49">
        <f t="shared" si="0"/>
        <v>0</v>
      </c>
    </row>
    <row r="16" spans="1:27" ht="26.25">
      <c r="A16" s="137">
        <v>12</v>
      </c>
      <c r="B16" s="46">
        <v>370000</v>
      </c>
      <c r="C16" s="47" t="s">
        <v>220</v>
      </c>
      <c r="D16" s="47"/>
      <c r="E16" s="48"/>
      <c r="F16" s="48">
        <f>'5.K kiemelt ei.'!U21</f>
        <v>5678</v>
      </c>
      <c r="G16" s="48"/>
      <c r="H16" s="47">
        <f>'5.K kiemelt ei.'!BD21</f>
        <v>529</v>
      </c>
      <c r="I16" s="49">
        <f>SUM(D16:H16)</f>
        <v>6207</v>
      </c>
      <c r="J16" s="48"/>
      <c r="K16" s="48"/>
      <c r="L16" s="48"/>
      <c r="M16" s="48"/>
      <c r="N16" s="48"/>
      <c r="O16" s="48">
        <f t="shared" si="3"/>
        <v>0</v>
      </c>
      <c r="P16" s="48"/>
      <c r="Q16" s="48"/>
      <c r="R16" s="48"/>
      <c r="S16" s="48"/>
      <c r="T16" s="48"/>
      <c r="U16" s="48">
        <f t="shared" si="1"/>
        <v>0</v>
      </c>
      <c r="V16" s="48">
        <f t="shared" si="0"/>
        <v>0</v>
      </c>
      <c r="W16" s="48">
        <f t="shared" si="0"/>
        <v>0</v>
      </c>
      <c r="X16" s="48">
        <f t="shared" si="0"/>
        <v>5678</v>
      </c>
      <c r="Y16" s="48">
        <f t="shared" si="0"/>
        <v>0</v>
      </c>
      <c r="Z16" s="48">
        <f t="shared" si="0"/>
        <v>529</v>
      </c>
      <c r="AA16" s="49">
        <f t="shared" si="0"/>
        <v>6207</v>
      </c>
    </row>
    <row r="17" spans="1:27" ht="15">
      <c r="A17" s="137">
        <v>13</v>
      </c>
      <c r="B17" s="46">
        <v>381103</v>
      </c>
      <c r="C17" s="47" t="s">
        <v>221</v>
      </c>
      <c r="D17" s="47">
        <f>'5.K kiemelt ei.'!G22</f>
        <v>5514</v>
      </c>
      <c r="E17" s="47">
        <f>'5.K kiemelt ei.'!N22</f>
        <v>1530</v>
      </c>
      <c r="F17" s="47">
        <f>'5.K kiemelt ei.'!U22</f>
        <v>11627</v>
      </c>
      <c r="G17" s="47">
        <v>0</v>
      </c>
      <c r="H17" s="47">
        <v>0</v>
      </c>
      <c r="I17" s="49">
        <f>SUM(D17:H17)</f>
        <v>18671</v>
      </c>
      <c r="J17" s="48"/>
      <c r="K17" s="48"/>
      <c r="L17" s="48"/>
      <c r="M17" s="48"/>
      <c r="N17" s="48"/>
      <c r="O17" s="48">
        <f t="shared" si="3"/>
        <v>0</v>
      </c>
      <c r="P17" s="48"/>
      <c r="Q17" s="48"/>
      <c r="R17" s="48"/>
      <c r="S17" s="48"/>
      <c r="T17" s="48"/>
      <c r="U17" s="48">
        <f t="shared" si="1"/>
        <v>0</v>
      </c>
      <c r="V17" s="48">
        <f t="shared" si="0"/>
        <v>5514</v>
      </c>
      <c r="W17" s="48">
        <f t="shared" si="0"/>
        <v>1530</v>
      </c>
      <c r="X17" s="48">
        <f t="shared" si="0"/>
        <v>11627</v>
      </c>
      <c r="Y17" s="48">
        <f t="shared" si="0"/>
        <v>0</v>
      </c>
      <c r="Z17" s="48">
        <f t="shared" si="0"/>
        <v>0</v>
      </c>
      <c r="AA17" s="49">
        <f t="shared" si="0"/>
        <v>18671</v>
      </c>
    </row>
    <row r="18" spans="1:27" ht="15">
      <c r="A18" s="137">
        <v>14</v>
      </c>
      <c r="B18" s="46">
        <v>522000</v>
      </c>
      <c r="C18" s="47" t="s">
        <v>222</v>
      </c>
      <c r="D18" s="47">
        <f>'5.K kiemelt ei.'!G23</f>
        <v>3917</v>
      </c>
      <c r="E18" s="47">
        <f>'5.K kiemelt ei.'!N23</f>
        <v>1085</v>
      </c>
      <c r="F18" s="47">
        <f>'5.K kiemelt ei.'!U23</f>
        <v>2348</v>
      </c>
      <c r="G18" s="48"/>
      <c r="H18" s="47">
        <v>0</v>
      </c>
      <c r="I18" s="49">
        <f aca="true" t="shared" si="4" ref="I18:I48">SUM(D18:H18)</f>
        <v>7350</v>
      </c>
      <c r="J18" s="48"/>
      <c r="K18" s="48"/>
      <c r="L18" s="48"/>
      <c r="M18" s="48"/>
      <c r="N18" s="48"/>
      <c r="O18" s="48">
        <f t="shared" si="3"/>
        <v>0</v>
      </c>
      <c r="P18" s="48"/>
      <c r="Q18" s="48"/>
      <c r="R18" s="48"/>
      <c r="S18" s="48"/>
      <c r="T18" s="48"/>
      <c r="U18" s="48">
        <f t="shared" si="1"/>
        <v>0</v>
      </c>
      <c r="V18" s="48">
        <f t="shared" si="0"/>
        <v>3917</v>
      </c>
      <c r="W18" s="48">
        <f t="shared" si="0"/>
        <v>1085</v>
      </c>
      <c r="X18" s="48">
        <f t="shared" si="0"/>
        <v>2348</v>
      </c>
      <c r="Y18" s="48">
        <f t="shared" si="0"/>
        <v>0</v>
      </c>
      <c r="Z18" s="48">
        <f t="shared" si="0"/>
        <v>0</v>
      </c>
      <c r="AA18" s="49">
        <f t="shared" si="0"/>
        <v>7350</v>
      </c>
    </row>
    <row r="19" spans="1:27" ht="15">
      <c r="A19" s="137">
        <v>15</v>
      </c>
      <c r="B19" s="46">
        <v>562912</v>
      </c>
      <c r="C19" s="47" t="s">
        <v>186</v>
      </c>
      <c r="D19" s="47"/>
      <c r="E19" s="48"/>
      <c r="F19" s="48">
        <f>'5.K kiemelt ei.'!U24</f>
        <v>3363</v>
      </c>
      <c r="G19" s="48"/>
      <c r="H19" s="47">
        <v>0</v>
      </c>
      <c r="I19" s="49">
        <f t="shared" si="4"/>
        <v>3363</v>
      </c>
      <c r="J19" s="48"/>
      <c r="K19" s="48"/>
      <c r="L19" s="48"/>
      <c r="M19" s="48"/>
      <c r="N19" s="48"/>
      <c r="O19" s="48">
        <f t="shared" si="3"/>
        <v>0</v>
      </c>
      <c r="P19" s="48"/>
      <c r="Q19" s="48"/>
      <c r="R19" s="48"/>
      <c r="S19" s="48"/>
      <c r="T19" s="48"/>
      <c r="U19" s="48">
        <f t="shared" si="1"/>
        <v>0</v>
      </c>
      <c r="V19" s="48">
        <f t="shared" si="0"/>
        <v>0</v>
      </c>
      <c r="W19" s="48">
        <f t="shared" si="0"/>
        <v>0</v>
      </c>
      <c r="X19" s="48">
        <f t="shared" si="0"/>
        <v>3363</v>
      </c>
      <c r="Y19" s="48">
        <f t="shared" si="0"/>
        <v>0</v>
      </c>
      <c r="Z19" s="48">
        <f t="shared" si="0"/>
        <v>0</v>
      </c>
      <c r="AA19" s="49">
        <f t="shared" si="0"/>
        <v>3363</v>
      </c>
    </row>
    <row r="20" spans="1:27" ht="15">
      <c r="A20" s="137">
        <v>16</v>
      </c>
      <c r="B20" s="46">
        <v>562913</v>
      </c>
      <c r="C20" s="47" t="s">
        <v>187</v>
      </c>
      <c r="D20" s="47">
        <f>'5.K kiemelt ei.'!G25</f>
        <v>7948</v>
      </c>
      <c r="E20" s="47">
        <f>'5.K kiemelt ei.'!N25</f>
        <v>2195</v>
      </c>
      <c r="F20" s="47">
        <f>'5.K kiemelt ei.'!U25</f>
        <v>13910</v>
      </c>
      <c r="G20" s="47"/>
      <c r="H20" s="47">
        <f>'5.K kiemelt ei.'!BD25</f>
        <v>318</v>
      </c>
      <c r="I20" s="49">
        <f t="shared" si="4"/>
        <v>24371</v>
      </c>
      <c r="J20" s="48"/>
      <c r="K20" s="48"/>
      <c r="L20" s="48"/>
      <c r="M20" s="48"/>
      <c r="N20" s="48"/>
      <c r="O20" s="48">
        <f t="shared" si="3"/>
        <v>0</v>
      </c>
      <c r="P20" s="48"/>
      <c r="Q20" s="48"/>
      <c r="R20" s="48"/>
      <c r="S20" s="48"/>
      <c r="T20" s="48"/>
      <c r="U20" s="48">
        <f t="shared" si="1"/>
        <v>0</v>
      </c>
      <c r="V20" s="48">
        <f t="shared" si="0"/>
        <v>7948</v>
      </c>
      <c r="W20" s="48">
        <f t="shared" si="0"/>
        <v>2195</v>
      </c>
      <c r="X20" s="48">
        <f t="shared" si="0"/>
        <v>13910</v>
      </c>
      <c r="Y20" s="48">
        <f t="shared" si="0"/>
        <v>0</v>
      </c>
      <c r="Z20" s="48">
        <f t="shared" si="0"/>
        <v>318</v>
      </c>
      <c r="AA20" s="49">
        <f t="shared" si="0"/>
        <v>24371</v>
      </c>
    </row>
    <row r="21" spans="1:27" ht="15">
      <c r="A21" s="137">
        <v>17</v>
      </c>
      <c r="B21" s="46">
        <v>562916</v>
      </c>
      <c r="C21" s="47" t="s">
        <v>223</v>
      </c>
      <c r="D21" s="47"/>
      <c r="E21" s="48"/>
      <c r="F21" s="107"/>
      <c r="G21" s="48"/>
      <c r="H21" s="47">
        <v>0</v>
      </c>
      <c r="I21" s="49">
        <f t="shared" si="4"/>
        <v>0</v>
      </c>
      <c r="J21" s="48"/>
      <c r="K21" s="48"/>
      <c r="L21" s="48">
        <v>3292</v>
      </c>
      <c r="M21" s="48"/>
      <c r="N21" s="48"/>
      <c r="O21" s="48">
        <f t="shared" si="3"/>
        <v>3292</v>
      </c>
      <c r="P21" s="48"/>
      <c r="Q21" s="48"/>
      <c r="R21" s="48"/>
      <c r="S21" s="48"/>
      <c r="T21" s="48"/>
      <c r="U21" s="48">
        <f t="shared" si="1"/>
        <v>0</v>
      </c>
      <c r="V21" s="48">
        <f t="shared" si="0"/>
        <v>0</v>
      </c>
      <c r="W21" s="48">
        <f t="shared" si="0"/>
        <v>0</v>
      </c>
      <c r="X21" s="48">
        <f t="shared" si="0"/>
        <v>3292</v>
      </c>
      <c r="Y21" s="48">
        <f t="shared" si="0"/>
        <v>0</v>
      </c>
      <c r="Z21" s="48">
        <f t="shared" si="0"/>
        <v>0</v>
      </c>
      <c r="AA21" s="49">
        <f t="shared" si="0"/>
        <v>3292</v>
      </c>
    </row>
    <row r="22" spans="1:27" ht="15">
      <c r="A22" s="137">
        <v>18</v>
      </c>
      <c r="B22" s="46">
        <v>562917</v>
      </c>
      <c r="C22" s="47" t="s">
        <v>24</v>
      </c>
      <c r="D22" s="47"/>
      <c r="E22" s="48"/>
      <c r="F22" s="48"/>
      <c r="G22" s="107"/>
      <c r="H22" s="47">
        <v>0</v>
      </c>
      <c r="I22" s="49">
        <f t="shared" si="4"/>
        <v>0</v>
      </c>
      <c r="J22" s="48"/>
      <c r="K22" s="48"/>
      <c r="L22" s="48">
        <v>2862</v>
      </c>
      <c r="M22" s="48"/>
      <c r="N22" s="48"/>
      <c r="O22" s="48">
        <f t="shared" si="3"/>
        <v>2862</v>
      </c>
      <c r="P22" s="48"/>
      <c r="Q22" s="48"/>
      <c r="R22" s="48"/>
      <c r="S22" s="48"/>
      <c r="T22" s="48"/>
      <c r="U22" s="48">
        <f t="shared" si="1"/>
        <v>0</v>
      </c>
      <c r="V22" s="48">
        <f t="shared" si="0"/>
        <v>0</v>
      </c>
      <c r="W22" s="48">
        <f t="shared" si="0"/>
        <v>0</v>
      </c>
      <c r="X22" s="48">
        <f t="shared" si="0"/>
        <v>2862</v>
      </c>
      <c r="Y22" s="48">
        <f t="shared" si="0"/>
        <v>0</v>
      </c>
      <c r="Z22" s="48">
        <f t="shared" si="0"/>
        <v>0</v>
      </c>
      <c r="AA22" s="49">
        <f t="shared" si="0"/>
        <v>2862</v>
      </c>
    </row>
    <row r="23" spans="1:27" ht="15">
      <c r="A23" s="137">
        <v>19</v>
      </c>
      <c r="B23" s="46">
        <v>682001</v>
      </c>
      <c r="C23" s="47" t="s">
        <v>224</v>
      </c>
      <c r="D23" s="47"/>
      <c r="E23" s="48"/>
      <c r="F23" s="107">
        <f>'5.K kiemelt ei.'!U28</f>
        <v>127</v>
      </c>
      <c r="G23" s="48"/>
      <c r="H23" s="47"/>
      <c r="I23" s="49">
        <f t="shared" si="4"/>
        <v>127</v>
      </c>
      <c r="J23" s="48"/>
      <c r="K23" s="48"/>
      <c r="L23" s="48"/>
      <c r="M23" s="48"/>
      <c r="N23" s="48"/>
      <c r="O23" s="48">
        <f t="shared" si="3"/>
        <v>0</v>
      </c>
      <c r="P23" s="48"/>
      <c r="Q23" s="48"/>
      <c r="R23" s="48"/>
      <c r="S23" s="48"/>
      <c r="T23" s="48"/>
      <c r="U23" s="48">
        <f t="shared" si="1"/>
        <v>0</v>
      </c>
      <c r="V23" s="48">
        <f aca="true" t="shared" si="5" ref="V23:AA49">P23+J23+D23</f>
        <v>0</v>
      </c>
      <c r="W23" s="48">
        <f t="shared" si="5"/>
        <v>0</v>
      </c>
      <c r="X23" s="48">
        <f t="shared" si="5"/>
        <v>127</v>
      </c>
      <c r="Y23" s="48">
        <f t="shared" si="5"/>
        <v>0</v>
      </c>
      <c r="Z23" s="48">
        <f t="shared" si="5"/>
        <v>0</v>
      </c>
      <c r="AA23" s="49">
        <f t="shared" si="5"/>
        <v>127</v>
      </c>
    </row>
    <row r="24" spans="1:27" ht="26.25">
      <c r="A24" s="137">
        <v>20</v>
      </c>
      <c r="B24" s="46">
        <v>682002</v>
      </c>
      <c r="C24" s="47" t="s">
        <v>225</v>
      </c>
      <c r="D24" s="47"/>
      <c r="E24" s="48"/>
      <c r="F24" s="107">
        <f>'5.K kiemelt ei.'!U29</f>
        <v>5715</v>
      </c>
      <c r="G24" s="48"/>
      <c r="H24" s="47"/>
      <c r="I24" s="49">
        <f t="shared" si="4"/>
        <v>5715</v>
      </c>
      <c r="J24" s="48"/>
      <c r="K24" s="48"/>
      <c r="L24" s="48"/>
      <c r="M24" s="48"/>
      <c r="N24" s="48"/>
      <c r="O24" s="48">
        <f t="shared" si="3"/>
        <v>0</v>
      </c>
      <c r="P24" s="48"/>
      <c r="Q24" s="48"/>
      <c r="R24" s="48"/>
      <c r="S24" s="48"/>
      <c r="T24" s="48"/>
      <c r="U24" s="48">
        <f t="shared" si="1"/>
        <v>0</v>
      </c>
      <c r="V24" s="48">
        <f t="shared" si="5"/>
        <v>0</v>
      </c>
      <c r="W24" s="48">
        <f t="shared" si="5"/>
        <v>0</v>
      </c>
      <c r="X24" s="48">
        <f t="shared" si="5"/>
        <v>5715</v>
      </c>
      <c r="Y24" s="48">
        <f t="shared" si="5"/>
        <v>0</v>
      </c>
      <c r="Z24" s="48">
        <f t="shared" si="5"/>
        <v>0</v>
      </c>
      <c r="AA24" s="49">
        <f t="shared" si="5"/>
        <v>5715</v>
      </c>
    </row>
    <row r="25" spans="1:27" ht="15">
      <c r="A25" s="137">
        <v>21</v>
      </c>
      <c r="B25" s="46">
        <v>750000</v>
      </c>
      <c r="C25" s="47" t="s">
        <v>226</v>
      </c>
      <c r="D25" s="47"/>
      <c r="E25" s="48"/>
      <c r="F25" s="107">
        <v>250</v>
      </c>
      <c r="G25" s="48"/>
      <c r="H25" s="47"/>
      <c r="I25" s="49">
        <f t="shared" si="4"/>
        <v>250</v>
      </c>
      <c r="J25" s="48"/>
      <c r="K25" s="48"/>
      <c r="L25" s="48"/>
      <c r="M25" s="48"/>
      <c r="N25" s="48"/>
      <c r="O25" s="48">
        <f t="shared" si="3"/>
        <v>0</v>
      </c>
      <c r="P25" s="48"/>
      <c r="Q25" s="48"/>
      <c r="R25" s="48"/>
      <c r="S25" s="48"/>
      <c r="T25" s="48"/>
      <c r="U25" s="48">
        <f t="shared" si="1"/>
        <v>0</v>
      </c>
      <c r="V25" s="48">
        <f t="shared" si="5"/>
        <v>0</v>
      </c>
      <c r="W25" s="48">
        <f t="shared" si="5"/>
        <v>0</v>
      </c>
      <c r="X25" s="48">
        <f t="shared" si="5"/>
        <v>250</v>
      </c>
      <c r="Y25" s="48">
        <f t="shared" si="5"/>
        <v>0</v>
      </c>
      <c r="Z25" s="48">
        <f t="shared" si="5"/>
        <v>0</v>
      </c>
      <c r="AA25" s="49">
        <f t="shared" si="5"/>
        <v>250</v>
      </c>
    </row>
    <row r="26" spans="1:27" ht="15">
      <c r="A26" s="137">
        <v>22</v>
      </c>
      <c r="B26" s="46">
        <v>791200</v>
      </c>
      <c r="C26" s="47" t="s">
        <v>227</v>
      </c>
      <c r="D26" s="47"/>
      <c r="E26" s="48"/>
      <c r="F26" s="48"/>
      <c r="G26" s="48"/>
      <c r="H26" s="47"/>
      <c r="I26" s="49">
        <f t="shared" si="4"/>
        <v>0</v>
      </c>
      <c r="J26" s="48"/>
      <c r="K26" s="48"/>
      <c r="L26" s="48"/>
      <c r="M26" s="107">
        <v>3600</v>
      </c>
      <c r="N26" s="48"/>
      <c r="O26" s="48">
        <f t="shared" si="3"/>
        <v>3600</v>
      </c>
      <c r="P26" s="48"/>
      <c r="Q26" s="48"/>
      <c r="R26" s="48"/>
      <c r="S26" s="48"/>
      <c r="T26" s="48"/>
      <c r="U26" s="48">
        <f t="shared" si="1"/>
        <v>0</v>
      </c>
      <c r="V26" s="48">
        <f t="shared" si="5"/>
        <v>0</v>
      </c>
      <c r="W26" s="48">
        <f t="shared" si="5"/>
        <v>0</v>
      </c>
      <c r="X26" s="48">
        <f t="shared" si="5"/>
        <v>0</v>
      </c>
      <c r="Y26" s="48">
        <f t="shared" si="5"/>
        <v>3600</v>
      </c>
      <c r="Z26" s="48">
        <f t="shared" si="5"/>
        <v>0</v>
      </c>
      <c r="AA26" s="49">
        <f t="shared" si="5"/>
        <v>3600</v>
      </c>
    </row>
    <row r="27" spans="1:27" ht="15">
      <c r="A27" s="137">
        <v>23</v>
      </c>
      <c r="B27" s="46">
        <v>811000</v>
      </c>
      <c r="C27" s="47" t="s">
        <v>191</v>
      </c>
      <c r="D27" s="47">
        <f>'5.K kiemelt ei.'!G32</f>
        <v>5481</v>
      </c>
      <c r="E27" s="47">
        <f>'5.K kiemelt ei.'!N32</f>
        <v>1521</v>
      </c>
      <c r="F27" s="47">
        <f>'5.K kiemelt ei.'!U32</f>
        <v>366</v>
      </c>
      <c r="G27" s="48"/>
      <c r="H27" s="47"/>
      <c r="I27" s="49">
        <f t="shared" si="4"/>
        <v>7368</v>
      </c>
      <c r="J27" s="48"/>
      <c r="K27" s="48"/>
      <c r="L27" s="48"/>
      <c r="M27" s="48"/>
      <c r="N27" s="48"/>
      <c r="O27" s="48">
        <f t="shared" si="3"/>
        <v>0</v>
      </c>
      <c r="P27" s="48"/>
      <c r="Q27" s="48"/>
      <c r="R27" s="48"/>
      <c r="S27" s="48"/>
      <c r="T27" s="48"/>
      <c r="U27" s="48">
        <f t="shared" si="1"/>
        <v>0</v>
      </c>
      <c r="V27" s="48">
        <f t="shared" si="5"/>
        <v>5481</v>
      </c>
      <c r="W27" s="48">
        <f t="shared" si="5"/>
        <v>1521</v>
      </c>
      <c r="X27" s="48">
        <f t="shared" si="5"/>
        <v>366</v>
      </c>
      <c r="Y27" s="48">
        <f t="shared" si="5"/>
        <v>0</v>
      </c>
      <c r="Z27" s="48">
        <f t="shared" si="5"/>
        <v>0</v>
      </c>
      <c r="AA27" s="49">
        <f t="shared" si="5"/>
        <v>7368</v>
      </c>
    </row>
    <row r="28" spans="1:27" ht="15">
      <c r="A28" s="137">
        <v>24</v>
      </c>
      <c r="B28" s="46">
        <v>813000</v>
      </c>
      <c r="C28" s="47" t="s">
        <v>228</v>
      </c>
      <c r="D28" s="47">
        <f>'5.K kiemelt ei.'!G33</f>
        <v>14446</v>
      </c>
      <c r="E28" s="47">
        <f>'5.K kiemelt ei.'!N33</f>
        <v>3964</v>
      </c>
      <c r="F28" s="47">
        <f>'5.K kiemelt ei.'!U33</f>
        <v>11092</v>
      </c>
      <c r="G28" s="47">
        <v>0</v>
      </c>
      <c r="H28" s="47">
        <f>'5.K kiemelt ei.'!BD33</f>
        <v>4290</v>
      </c>
      <c r="I28" s="49">
        <f t="shared" si="4"/>
        <v>33792</v>
      </c>
      <c r="J28" s="48"/>
      <c r="K28" s="48"/>
      <c r="L28" s="48"/>
      <c r="M28" s="48"/>
      <c r="N28" s="48"/>
      <c r="O28" s="48">
        <f t="shared" si="3"/>
        <v>0</v>
      </c>
      <c r="P28" s="48"/>
      <c r="Q28" s="48"/>
      <c r="R28" s="48"/>
      <c r="S28" s="48"/>
      <c r="T28" s="48"/>
      <c r="U28" s="48">
        <f t="shared" si="1"/>
        <v>0</v>
      </c>
      <c r="V28" s="48">
        <f t="shared" si="5"/>
        <v>14446</v>
      </c>
      <c r="W28" s="48">
        <f t="shared" si="5"/>
        <v>3964</v>
      </c>
      <c r="X28" s="48">
        <f t="shared" si="5"/>
        <v>11092</v>
      </c>
      <c r="Y28" s="48">
        <f t="shared" si="5"/>
        <v>0</v>
      </c>
      <c r="Z28" s="48">
        <f t="shared" si="5"/>
        <v>4290</v>
      </c>
      <c r="AA28" s="49">
        <f t="shared" si="5"/>
        <v>33792</v>
      </c>
    </row>
    <row r="29" spans="1:27" ht="15">
      <c r="A29" s="137">
        <v>25</v>
      </c>
      <c r="B29" s="46">
        <v>841146</v>
      </c>
      <c r="C29" s="47" t="s">
        <v>229</v>
      </c>
      <c r="D29" s="47">
        <f>'5.K kiemelt ei.'!G34</f>
        <v>15642</v>
      </c>
      <c r="E29" s="47">
        <f>'5.K kiemelt ei.'!N34</f>
        <v>5627</v>
      </c>
      <c r="F29" s="47">
        <f>'5.K kiemelt ei.'!U34</f>
        <v>16831</v>
      </c>
      <c r="G29" s="48"/>
      <c r="H29" s="47">
        <f>'5.K kiemelt ei.'!BD34</f>
        <v>210</v>
      </c>
      <c r="I29" s="49">
        <f>SUM(D29:H29)</f>
        <v>38310</v>
      </c>
      <c r="J29" s="48"/>
      <c r="K29" s="48"/>
      <c r="L29" s="48"/>
      <c r="M29" s="48"/>
      <c r="N29" s="48"/>
      <c r="O29" s="48">
        <f t="shared" si="3"/>
        <v>0</v>
      </c>
      <c r="P29" s="48"/>
      <c r="Q29" s="48"/>
      <c r="R29" s="48"/>
      <c r="S29" s="48"/>
      <c r="T29" s="48"/>
      <c r="U29" s="48">
        <f t="shared" si="1"/>
        <v>0</v>
      </c>
      <c r="V29" s="48">
        <f t="shared" si="5"/>
        <v>15642</v>
      </c>
      <c r="W29" s="48">
        <f t="shared" si="5"/>
        <v>5627</v>
      </c>
      <c r="X29" s="48">
        <f t="shared" si="5"/>
        <v>16831</v>
      </c>
      <c r="Y29" s="48">
        <f t="shared" si="5"/>
        <v>0</v>
      </c>
      <c r="Z29" s="48">
        <f t="shared" si="5"/>
        <v>210</v>
      </c>
      <c r="AA29" s="49">
        <f t="shared" si="5"/>
        <v>38310</v>
      </c>
    </row>
    <row r="30" spans="1:27" ht="15">
      <c r="A30" s="137">
        <v>26</v>
      </c>
      <c r="B30" s="46">
        <v>841402</v>
      </c>
      <c r="C30" s="47" t="s">
        <v>172</v>
      </c>
      <c r="D30" s="47"/>
      <c r="E30" s="48"/>
      <c r="F30" s="47">
        <f>'5.K kiemelt ei.'!U35</f>
        <v>12919</v>
      </c>
      <c r="G30" s="48"/>
      <c r="H30" s="47"/>
      <c r="I30" s="49">
        <f t="shared" si="4"/>
        <v>12919</v>
      </c>
      <c r="J30" s="48"/>
      <c r="K30" s="48"/>
      <c r="L30" s="48"/>
      <c r="M30" s="48"/>
      <c r="N30" s="48"/>
      <c r="O30" s="48">
        <f t="shared" si="3"/>
        <v>0</v>
      </c>
      <c r="P30" s="48"/>
      <c r="Q30" s="48"/>
      <c r="R30" s="48"/>
      <c r="S30" s="48"/>
      <c r="T30" s="48"/>
      <c r="U30" s="48">
        <f t="shared" si="1"/>
        <v>0</v>
      </c>
      <c r="V30" s="48">
        <f t="shared" si="5"/>
        <v>0</v>
      </c>
      <c r="W30" s="48">
        <f t="shared" si="5"/>
        <v>0</v>
      </c>
      <c r="X30" s="48">
        <f t="shared" si="5"/>
        <v>12919</v>
      </c>
      <c r="Y30" s="48">
        <f t="shared" si="5"/>
        <v>0</v>
      </c>
      <c r="Z30" s="48">
        <f t="shared" si="5"/>
        <v>0</v>
      </c>
      <c r="AA30" s="49">
        <f t="shared" si="5"/>
        <v>12919</v>
      </c>
    </row>
    <row r="31" spans="1:27" ht="26.25">
      <c r="A31" s="137">
        <v>27</v>
      </c>
      <c r="B31" s="46">
        <v>841403</v>
      </c>
      <c r="C31" s="47" t="s">
        <v>230</v>
      </c>
      <c r="D31" s="47">
        <f>'5.K kiemelt ei.'!G36</f>
        <v>519</v>
      </c>
      <c r="E31" s="48">
        <f>'5.K kiemelt ei.'!N36</f>
        <v>141</v>
      </c>
      <c r="F31" s="47">
        <f>'5.K kiemelt ei.'!U36</f>
        <v>20736</v>
      </c>
      <c r="G31" s="48"/>
      <c r="H31" s="47">
        <v>10732</v>
      </c>
      <c r="I31" s="49">
        <f t="shared" si="4"/>
        <v>32128</v>
      </c>
      <c r="J31" s="48"/>
      <c r="K31" s="48"/>
      <c r="L31" s="48"/>
      <c r="M31" s="48"/>
      <c r="N31" s="48">
        <v>2500</v>
      </c>
      <c r="O31" s="48">
        <f t="shared" si="3"/>
        <v>2500</v>
      </c>
      <c r="P31" s="48"/>
      <c r="Q31" s="48"/>
      <c r="R31" s="48"/>
      <c r="S31" s="48"/>
      <c r="T31" s="48"/>
      <c r="U31" s="48">
        <f t="shared" si="1"/>
        <v>0</v>
      </c>
      <c r="V31" s="48">
        <f t="shared" si="5"/>
        <v>519</v>
      </c>
      <c r="W31" s="48">
        <f t="shared" si="5"/>
        <v>141</v>
      </c>
      <c r="X31" s="48">
        <f t="shared" si="5"/>
        <v>20736</v>
      </c>
      <c r="Y31" s="48">
        <f t="shared" si="5"/>
        <v>0</v>
      </c>
      <c r="Z31" s="48">
        <f>T31+N31+H31</f>
        <v>13232</v>
      </c>
      <c r="AA31" s="49">
        <f t="shared" si="5"/>
        <v>34628</v>
      </c>
    </row>
    <row r="32" spans="1:27" ht="15">
      <c r="A32" s="137">
        <v>28</v>
      </c>
      <c r="B32" s="46">
        <v>842155</v>
      </c>
      <c r="C32" s="47" t="s">
        <v>175</v>
      </c>
      <c r="D32" s="47"/>
      <c r="E32" s="48"/>
      <c r="F32" s="48"/>
      <c r="G32" s="48"/>
      <c r="H32" s="47"/>
      <c r="I32" s="49">
        <f t="shared" si="4"/>
        <v>0</v>
      </c>
      <c r="J32" s="48"/>
      <c r="K32" s="48"/>
      <c r="L32" s="48">
        <v>635</v>
      </c>
      <c r="M32" s="48"/>
      <c r="N32" s="48"/>
      <c r="O32" s="48">
        <f t="shared" si="3"/>
        <v>635</v>
      </c>
      <c r="P32" s="48"/>
      <c r="Q32" s="48"/>
      <c r="R32" s="48"/>
      <c r="S32" s="48"/>
      <c r="T32" s="48"/>
      <c r="U32" s="48">
        <f t="shared" si="1"/>
        <v>0</v>
      </c>
      <c r="V32" s="48">
        <f t="shared" si="5"/>
        <v>0</v>
      </c>
      <c r="W32" s="48">
        <f t="shared" si="5"/>
        <v>0</v>
      </c>
      <c r="X32" s="48">
        <f t="shared" si="5"/>
        <v>635</v>
      </c>
      <c r="Y32" s="48">
        <f t="shared" si="5"/>
        <v>0</v>
      </c>
      <c r="Z32" s="48">
        <f t="shared" si="5"/>
        <v>0</v>
      </c>
      <c r="AA32" s="49">
        <f t="shared" si="5"/>
        <v>635</v>
      </c>
    </row>
    <row r="33" spans="1:27" ht="15">
      <c r="A33" s="137">
        <v>29</v>
      </c>
      <c r="B33" s="46">
        <v>852011</v>
      </c>
      <c r="C33" s="47" t="s">
        <v>231</v>
      </c>
      <c r="D33" s="47"/>
      <c r="E33" s="48"/>
      <c r="F33" s="48"/>
      <c r="G33" s="48"/>
      <c r="H33" s="47"/>
      <c r="I33" s="49">
        <f t="shared" si="4"/>
        <v>0</v>
      </c>
      <c r="J33" s="48">
        <f>'5.K kiemelt ei.'!G38</f>
        <v>3509</v>
      </c>
      <c r="K33" s="48">
        <f>'5.K kiemelt ei.'!N38</f>
        <v>954</v>
      </c>
      <c r="L33" s="48">
        <f>'5.K kiemelt ei.'!U38</f>
        <v>15281</v>
      </c>
      <c r="M33" s="48"/>
      <c r="N33" s="48">
        <f>'5.K kiemelt ei.'!BD38</f>
        <v>242</v>
      </c>
      <c r="O33" s="48">
        <f t="shared" si="3"/>
        <v>19986</v>
      </c>
      <c r="P33" s="48"/>
      <c r="Q33" s="48"/>
      <c r="R33" s="48"/>
      <c r="S33" s="48"/>
      <c r="T33" s="48"/>
      <c r="U33" s="48">
        <f t="shared" si="1"/>
        <v>0</v>
      </c>
      <c r="V33" s="48">
        <f t="shared" si="5"/>
        <v>3509</v>
      </c>
      <c r="W33" s="48">
        <f t="shared" si="5"/>
        <v>954</v>
      </c>
      <c r="X33" s="48">
        <f t="shared" si="5"/>
        <v>15281</v>
      </c>
      <c r="Y33" s="48">
        <f t="shared" si="5"/>
        <v>0</v>
      </c>
      <c r="Z33" s="48">
        <f t="shared" si="5"/>
        <v>242</v>
      </c>
      <c r="AA33" s="49">
        <f t="shared" si="5"/>
        <v>19986</v>
      </c>
    </row>
    <row r="34" spans="1:28" s="42" customFormat="1" ht="18.75">
      <c r="A34" s="137">
        <v>30</v>
      </c>
      <c r="B34" s="46">
        <v>862101</v>
      </c>
      <c r="C34" s="47" t="s">
        <v>232</v>
      </c>
      <c r="D34" s="47">
        <f>'5.K kiemelt ei.'!G39</f>
        <v>2805</v>
      </c>
      <c r="E34" s="47">
        <f>'5.K kiemelt ei.'!N39</f>
        <v>771</v>
      </c>
      <c r="F34" s="47">
        <f>'5.K kiemelt ei.'!U39</f>
        <v>6287</v>
      </c>
      <c r="G34" s="47">
        <v>600</v>
      </c>
      <c r="H34" s="47"/>
      <c r="I34" s="49">
        <f t="shared" si="4"/>
        <v>10463</v>
      </c>
      <c r="J34" s="49"/>
      <c r="K34" s="49"/>
      <c r="L34" s="49"/>
      <c r="M34" s="49"/>
      <c r="N34" s="49"/>
      <c r="O34" s="48">
        <f t="shared" si="3"/>
        <v>0</v>
      </c>
      <c r="P34" s="49"/>
      <c r="Q34" s="49"/>
      <c r="R34" s="49"/>
      <c r="S34" s="49"/>
      <c r="T34" s="49"/>
      <c r="U34" s="48">
        <f t="shared" si="1"/>
        <v>0</v>
      </c>
      <c r="V34" s="48">
        <f t="shared" si="5"/>
        <v>2805</v>
      </c>
      <c r="W34" s="48">
        <f t="shared" si="5"/>
        <v>771</v>
      </c>
      <c r="X34" s="48">
        <f t="shared" si="5"/>
        <v>6287</v>
      </c>
      <c r="Y34" s="48">
        <f t="shared" si="5"/>
        <v>600</v>
      </c>
      <c r="Z34" s="48">
        <f t="shared" si="5"/>
        <v>0</v>
      </c>
      <c r="AA34" s="49">
        <f t="shared" si="5"/>
        <v>10463</v>
      </c>
      <c r="AB34" s="134"/>
    </row>
    <row r="35" spans="1:27" ht="15">
      <c r="A35" s="137">
        <v>31</v>
      </c>
      <c r="B35" s="46">
        <v>862102</v>
      </c>
      <c r="C35" s="47" t="s">
        <v>185</v>
      </c>
      <c r="D35" s="47"/>
      <c r="E35" s="43"/>
      <c r="F35" s="47">
        <f>'5.K kiemelt ei.'!U40-700</f>
        <v>634</v>
      </c>
      <c r="G35" s="43"/>
      <c r="H35" s="47"/>
      <c r="I35" s="49">
        <f t="shared" si="4"/>
        <v>634</v>
      </c>
      <c r="J35" s="43"/>
      <c r="K35" s="43"/>
      <c r="L35" s="43">
        <v>700</v>
      </c>
      <c r="M35" s="43"/>
      <c r="N35" s="43"/>
      <c r="O35" s="48">
        <f t="shared" si="3"/>
        <v>700</v>
      </c>
      <c r="P35" s="43"/>
      <c r="Q35" s="43"/>
      <c r="R35" s="43"/>
      <c r="S35" s="43"/>
      <c r="T35" s="43"/>
      <c r="U35" s="48">
        <f t="shared" si="1"/>
        <v>0</v>
      </c>
      <c r="V35" s="48">
        <f t="shared" si="5"/>
        <v>0</v>
      </c>
      <c r="W35" s="48">
        <f t="shared" si="5"/>
        <v>0</v>
      </c>
      <c r="X35" s="48">
        <f t="shared" si="5"/>
        <v>1334</v>
      </c>
      <c r="Y35" s="48">
        <f t="shared" si="5"/>
        <v>0</v>
      </c>
      <c r="Z35" s="48">
        <f t="shared" si="5"/>
        <v>0</v>
      </c>
      <c r="AA35" s="49">
        <f t="shared" si="5"/>
        <v>1334</v>
      </c>
    </row>
    <row r="36" spans="1:28" s="136" customFormat="1" ht="18.75">
      <c r="A36" s="137">
        <v>32</v>
      </c>
      <c r="B36" s="46">
        <v>862231</v>
      </c>
      <c r="C36" s="47" t="s">
        <v>233</v>
      </c>
      <c r="D36" s="47"/>
      <c r="E36" s="48"/>
      <c r="F36" s="47">
        <v>300</v>
      </c>
      <c r="G36" s="48"/>
      <c r="H36" s="47"/>
      <c r="I36" s="49">
        <f t="shared" si="4"/>
        <v>300</v>
      </c>
      <c r="J36" s="48"/>
      <c r="K36" s="48"/>
      <c r="L36" s="48"/>
      <c r="M36" s="48"/>
      <c r="N36" s="48"/>
      <c r="O36" s="48">
        <f t="shared" si="3"/>
        <v>0</v>
      </c>
      <c r="P36" s="48"/>
      <c r="Q36" s="48"/>
      <c r="R36" s="48"/>
      <c r="S36" s="48"/>
      <c r="T36" s="48"/>
      <c r="U36" s="48">
        <f t="shared" si="1"/>
        <v>0</v>
      </c>
      <c r="V36" s="48">
        <f t="shared" si="5"/>
        <v>0</v>
      </c>
      <c r="W36" s="48">
        <f t="shared" si="5"/>
        <v>0</v>
      </c>
      <c r="X36" s="48">
        <f t="shared" si="5"/>
        <v>300</v>
      </c>
      <c r="Y36" s="48">
        <f t="shared" si="5"/>
        <v>0</v>
      </c>
      <c r="Z36" s="48">
        <f t="shared" si="5"/>
        <v>0</v>
      </c>
      <c r="AA36" s="49">
        <f t="shared" si="5"/>
        <v>300</v>
      </c>
      <c r="AB36" s="134"/>
    </row>
    <row r="37" spans="1:27" ht="15">
      <c r="A37" s="137">
        <v>33</v>
      </c>
      <c r="B37" s="46">
        <v>862301</v>
      </c>
      <c r="C37" s="47" t="s">
        <v>184</v>
      </c>
      <c r="D37" s="47"/>
      <c r="E37" s="48"/>
      <c r="F37" s="47">
        <v>1200</v>
      </c>
      <c r="G37" s="48"/>
      <c r="H37" s="47"/>
      <c r="I37" s="49">
        <f t="shared" si="4"/>
        <v>1200</v>
      </c>
      <c r="J37" s="48"/>
      <c r="K37" s="48"/>
      <c r="L37" s="48"/>
      <c r="M37" s="48"/>
      <c r="N37" s="48"/>
      <c r="O37" s="48">
        <f t="shared" si="3"/>
        <v>0</v>
      </c>
      <c r="P37" s="48"/>
      <c r="Q37" s="48"/>
      <c r="R37" s="48"/>
      <c r="S37" s="48"/>
      <c r="T37" s="48"/>
      <c r="U37" s="48">
        <f t="shared" si="1"/>
        <v>0</v>
      </c>
      <c r="V37" s="48">
        <f t="shared" si="5"/>
        <v>0</v>
      </c>
      <c r="W37" s="48">
        <f t="shared" si="5"/>
        <v>0</v>
      </c>
      <c r="X37" s="48">
        <f t="shared" si="5"/>
        <v>1200</v>
      </c>
      <c r="Y37" s="48">
        <f t="shared" si="5"/>
        <v>0</v>
      </c>
      <c r="Z37" s="48">
        <f t="shared" si="5"/>
        <v>0</v>
      </c>
      <c r="AA37" s="49">
        <f t="shared" si="5"/>
        <v>1200</v>
      </c>
    </row>
    <row r="38" spans="1:27" ht="26.25">
      <c r="A38" s="137">
        <v>34</v>
      </c>
      <c r="B38" s="46">
        <v>869041</v>
      </c>
      <c r="C38" s="47" t="s">
        <v>181</v>
      </c>
      <c r="D38" s="47">
        <f>'5.K kiemelt ei.'!G43</f>
        <v>2460</v>
      </c>
      <c r="E38" s="47">
        <f>'5.K kiemelt ei.'!N43</f>
        <v>633</v>
      </c>
      <c r="F38" s="47">
        <f>'5.K kiemelt ei.'!U43</f>
        <v>1045</v>
      </c>
      <c r="G38" s="47">
        <v>0</v>
      </c>
      <c r="H38" s="47">
        <v>191</v>
      </c>
      <c r="I38" s="49">
        <f t="shared" si="4"/>
        <v>4329</v>
      </c>
      <c r="J38" s="48"/>
      <c r="K38" s="48"/>
      <c r="L38" s="48"/>
      <c r="M38" s="48"/>
      <c r="N38" s="48"/>
      <c r="O38" s="48">
        <f t="shared" si="3"/>
        <v>0</v>
      </c>
      <c r="P38" s="48"/>
      <c r="Q38" s="48"/>
      <c r="R38" s="48"/>
      <c r="S38" s="48"/>
      <c r="T38" s="48"/>
      <c r="U38" s="48">
        <f t="shared" si="1"/>
        <v>0</v>
      </c>
      <c r="V38" s="48">
        <f t="shared" si="5"/>
        <v>2460</v>
      </c>
      <c r="W38" s="48">
        <f t="shared" si="5"/>
        <v>633</v>
      </c>
      <c r="X38" s="48">
        <f t="shared" si="5"/>
        <v>1045</v>
      </c>
      <c r="Y38" s="48">
        <f t="shared" si="5"/>
        <v>0</v>
      </c>
      <c r="Z38" s="48">
        <f t="shared" si="5"/>
        <v>191</v>
      </c>
      <c r="AA38" s="49">
        <f t="shared" si="5"/>
        <v>4329</v>
      </c>
    </row>
    <row r="39" spans="1:27" ht="15">
      <c r="A39" s="137">
        <v>35</v>
      </c>
      <c r="B39" s="46">
        <v>889921</v>
      </c>
      <c r="C39" s="47" t="s">
        <v>25</v>
      </c>
      <c r="D39" s="47"/>
      <c r="E39" s="48"/>
      <c r="F39" s="47">
        <v>1245</v>
      </c>
      <c r="G39" s="48"/>
      <c r="H39" s="47"/>
      <c r="I39" s="49">
        <f t="shared" si="4"/>
        <v>1245</v>
      </c>
      <c r="J39" s="48"/>
      <c r="K39" s="48"/>
      <c r="L39" s="48"/>
      <c r="M39" s="48"/>
      <c r="N39" s="48"/>
      <c r="O39" s="48">
        <f t="shared" si="3"/>
        <v>0</v>
      </c>
      <c r="P39" s="48"/>
      <c r="Q39" s="48"/>
      <c r="R39" s="48"/>
      <c r="S39" s="48"/>
      <c r="T39" s="48"/>
      <c r="U39" s="48">
        <f t="shared" si="1"/>
        <v>0</v>
      </c>
      <c r="V39" s="48">
        <f t="shared" si="5"/>
        <v>0</v>
      </c>
      <c r="W39" s="48">
        <f t="shared" si="5"/>
        <v>0</v>
      </c>
      <c r="X39" s="48">
        <f t="shared" si="5"/>
        <v>1245</v>
      </c>
      <c r="Y39" s="48">
        <f t="shared" si="5"/>
        <v>0</v>
      </c>
      <c r="Z39" s="48">
        <f t="shared" si="5"/>
        <v>0</v>
      </c>
      <c r="AA39" s="49">
        <f t="shared" si="5"/>
        <v>1245</v>
      </c>
    </row>
    <row r="40" spans="1:27" ht="15">
      <c r="A40" s="137">
        <v>36</v>
      </c>
      <c r="B40" s="46">
        <v>889924</v>
      </c>
      <c r="C40" s="47" t="s">
        <v>179</v>
      </c>
      <c r="D40" s="47"/>
      <c r="E40" s="48"/>
      <c r="F40" s="47">
        <f>'5.K kiemelt ei.'!U45</f>
        <v>1172</v>
      </c>
      <c r="G40" s="48"/>
      <c r="H40" s="47"/>
      <c r="I40" s="49">
        <f t="shared" si="4"/>
        <v>1172</v>
      </c>
      <c r="J40" s="48"/>
      <c r="K40" s="48"/>
      <c r="L40" s="48"/>
      <c r="M40" s="48"/>
      <c r="N40" s="48"/>
      <c r="O40" s="48">
        <f t="shared" si="3"/>
        <v>0</v>
      </c>
      <c r="P40" s="48"/>
      <c r="Q40" s="48"/>
      <c r="R40" s="48"/>
      <c r="S40" s="48"/>
      <c r="T40" s="48"/>
      <c r="U40" s="48">
        <f t="shared" si="1"/>
        <v>0</v>
      </c>
      <c r="V40" s="48">
        <f t="shared" si="5"/>
        <v>0</v>
      </c>
      <c r="W40" s="48">
        <f t="shared" si="5"/>
        <v>0</v>
      </c>
      <c r="X40" s="48">
        <f t="shared" si="5"/>
        <v>1172</v>
      </c>
      <c r="Y40" s="48">
        <f t="shared" si="5"/>
        <v>0</v>
      </c>
      <c r="Z40" s="48">
        <f t="shared" si="5"/>
        <v>0</v>
      </c>
      <c r="AA40" s="49">
        <f t="shared" si="5"/>
        <v>1172</v>
      </c>
    </row>
    <row r="41" spans="1:27" ht="15">
      <c r="A41" s="137">
        <v>37</v>
      </c>
      <c r="B41" s="46">
        <v>889928</v>
      </c>
      <c r="C41" s="47" t="s">
        <v>234</v>
      </c>
      <c r="D41" s="47">
        <f>'5.K kiemelt ei.'!G46</f>
        <v>2215</v>
      </c>
      <c r="E41" s="47">
        <f>'5.K kiemelt ei.'!N46</f>
        <v>612</v>
      </c>
      <c r="F41" s="47">
        <f>'5.K kiemelt ei.'!U46</f>
        <v>1830</v>
      </c>
      <c r="G41" s="48"/>
      <c r="H41" s="47">
        <f>'5.K kiemelt ei.'!AW46</f>
        <v>0</v>
      </c>
      <c r="I41" s="49">
        <f t="shared" si="4"/>
        <v>4657</v>
      </c>
      <c r="J41" s="48"/>
      <c r="K41" s="48"/>
      <c r="L41" s="48"/>
      <c r="M41" s="48"/>
      <c r="N41" s="48"/>
      <c r="O41" s="48">
        <f t="shared" si="3"/>
        <v>0</v>
      </c>
      <c r="P41" s="48"/>
      <c r="Q41" s="48"/>
      <c r="R41" s="48"/>
      <c r="S41" s="48"/>
      <c r="T41" s="48"/>
      <c r="U41" s="48">
        <f t="shared" si="1"/>
        <v>0</v>
      </c>
      <c r="V41" s="48">
        <f t="shared" si="5"/>
        <v>2215</v>
      </c>
      <c r="W41" s="48">
        <f t="shared" si="5"/>
        <v>612</v>
      </c>
      <c r="X41" s="48">
        <f t="shared" si="5"/>
        <v>1830</v>
      </c>
      <c r="Y41" s="48">
        <f t="shared" si="5"/>
        <v>0</v>
      </c>
      <c r="Z41" s="48">
        <f t="shared" si="5"/>
        <v>0</v>
      </c>
      <c r="AA41" s="49">
        <f t="shared" si="5"/>
        <v>4657</v>
      </c>
    </row>
    <row r="42" spans="1:28" s="136" customFormat="1" ht="18.75">
      <c r="A42" s="137">
        <v>38</v>
      </c>
      <c r="B42" s="46">
        <v>890301</v>
      </c>
      <c r="C42" s="47" t="s">
        <v>178</v>
      </c>
      <c r="D42" s="47"/>
      <c r="E42" s="48"/>
      <c r="F42" s="48"/>
      <c r="G42" s="48"/>
      <c r="H42" s="47"/>
      <c r="I42" s="49">
        <f t="shared" si="4"/>
        <v>0</v>
      </c>
      <c r="J42" s="48"/>
      <c r="K42" s="48"/>
      <c r="L42" s="48"/>
      <c r="M42" s="48">
        <v>1090</v>
      </c>
      <c r="N42" s="48"/>
      <c r="O42" s="48">
        <f t="shared" si="3"/>
        <v>1090</v>
      </c>
      <c r="P42" s="48"/>
      <c r="Q42" s="48"/>
      <c r="R42" s="48"/>
      <c r="S42" s="48"/>
      <c r="T42" s="48"/>
      <c r="U42" s="48">
        <f t="shared" si="1"/>
        <v>0</v>
      </c>
      <c r="V42" s="48">
        <f t="shared" si="5"/>
        <v>0</v>
      </c>
      <c r="W42" s="48">
        <f t="shared" si="5"/>
        <v>0</v>
      </c>
      <c r="X42" s="48">
        <f t="shared" si="5"/>
        <v>0</v>
      </c>
      <c r="Y42" s="48">
        <f t="shared" si="5"/>
        <v>1090</v>
      </c>
      <c r="Z42" s="48">
        <f t="shared" si="5"/>
        <v>0</v>
      </c>
      <c r="AA42" s="49">
        <f t="shared" si="5"/>
        <v>1090</v>
      </c>
      <c r="AB42" s="134"/>
    </row>
    <row r="43" spans="1:28" s="42" customFormat="1" ht="27">
      <c r="A43" s="137">
        <v>39</v>
      </c>
      <c r="B43" s="47" t="s">
        <v>525</v>
      </c>
      <c r="C43" s="47" t="s">
        <v>193</v>
      </c>
      <c r="D43" s="47">
        <f>'5.K kiemelt ei.'!G48+'5.K kiemelt ei.'!G49</f>
        <v>6888</v>
      </c>
      <c r="E43" s="47">
        <f>'5.K kiemelt ei.'!N48+'5.K kiemelt ei.'!N49</f>
        <v>930</v>
      </c>
      <c r="F43" s="47">
        <f>'5.K kiemelt ei.'!U48</f>
        <v>128</v>
      </c>
      <c r="G43" s="52"/>
      <c r="H43" s="47">
        <f>'5.K kiemelt ei.'!BD48</f>
        <v>235</v>
      </c>
      <c r="I43" s="49">
        <f t="shared" si="4"/>
        <v>8181</v>
      </c>
      <c r="J43" s="52"/>
      <c r="K43" s="52"/>
      <c r="L43" s="52"/>
      <c r="M43" s="52"/>
      <c r="N43" s="52"/>
      <c r="O43" s="48">
        <f t="shared" si="3"/>
        <v>0</v>
      </c>
      <c r="P43" s="52"/>
      <c r="Q43" s="52"/>
      <c r="R43" s="52"/>
      <c r="S43" s="52"/>
      <c r="T43" s="52"/>
      <c r="U43" s="48">
        <f t="shared" si="1"/>
        <v>0</v>
      </c>
      <c r="V43" s="48">
        <f t="shared" si="5"/>
        <v>6888</v>
      </c>
      <c r="W43" s="48">
        <f t="shared" si="5"/>
        <v>930</v>
      </c>
      <c r="X43" s="48">
        <f t="shared" si="5"/>
        <v>128</v>
      </c>
      <c r="Y43" s="48">
        <f t="shared" si="5"/>
        <v>0</v>
      </c>
      <c r="Z43" s="48">
        <f t="shared" si="5"/>
        <v>235</v>
      </c>
      <c r="AA43" s="49">
        <f t="shared" si="5"/>
        <v>8181</v>
      </c>
      <c r="AB43" s="134"/>
    </row>
    <row r="44" spans="1:27" ht="15">
      <c r="A44" s="137">
        <v>40</v>
      </c>
      <c r="B44" s="46">
        <v>910123</v>
      </c>
      <c r="C44" s="47" t="s">
        <v>235</v>
      </c>
      <c r="D44" s="47">
        <v>420</v>
      </c>
      <c r="E44" s="47">
        <f>'5.K kiemelt ei.'!N50</f>
        <v>114</v>
      </c>
      <c r="F44" s="47">
        <f>'5.K kiemelt ei.'!U50</f>
        <v>498</v>
      </c>
      <c r="G44" s="47"/>
      <c r="H44" s="47">
        <f>'5.K kiemelt ei.'!BD50</f>
        <v>168</v>
      </c>
      <c r="I44" s="49">
        <f t="shared" si="4"/>
        <v>1200</v>
      </c>
      <c r="J44" s="107"/>
      <c r="K44" s="107"/>
      <c r="L44" s="107"/>
      <c r="M44" s="107"/>
      <c r="N44" s="107"/>
      <c r="O44" s="48">
        <f t="shared" si="3"/>
        <v>0</v>
      </c>
      <c r="P44" s="107"/>
      <c r="Q44" s="107"/>
      <c r="R44" s="107"/>
      <c r="S44" s="107"/>
      <c r="T44" s="107"/>
      <c r="U44" s="48">
        <f t="shared" si="1"/>
        <v>0</v>
      </c>
      <c r="V44" s="48">
        <f t="shared" si="5"/>
        <v>420</v>
      </c>
      <c r="W44" s="48">
        <f t="shared" si="5"/>
        <v>114</v>
      </c>
      <c r="X44" s="48">
        <f t="shared" si="5"/>
        <v>498</v>
      </c>
      <c r="Y44" s="48">
        <f t="shared" si="5"/>
        <v>0</v>
      </c>
      <c r="Z44" s="48">
        <f t="shared" si="5"/>
        <v>168</v>
      </c>
      <c r="AA44" s="49">
        <f t="shared" si="5"/>
        <v>1200</v>
      </c>
    </row>
    <row r="45" spans="1:27" ht="15">
      <c r="A45" s="137">
        <v>41</v>
      </c>
      <c r="B45" s="46">
        <v>910502</v>
      </c>
      <c r="C45" s="47" t="s">
        <v>236</v>
      </c>
      <c r="D45" s="47">
        <f>'5.K kiemelt ei.'!G51</f>
        <v>1764</v>
      </c>
      <c r="E45" s="47">
        <f>'5.K kiemelt ei.'!N51</f>
        <v>488</v>
      </c>
      <c r="F45" s="47">
        <f>'5.K kiemelt ei.'!U51</f>
        <v>9649</v>
      </c>
      <c r="G45" s="47">
        <v>0</v>
      </c>
      <c r="H45" s="47">
        <f>'5.K kiemelt ei.'!BD51</f>
        <v>82</v>
      </c>
      <c r="I45" s="49">
        <f t="shared" si="4"/>
        <v>11983</v>
      </c>
      <c r="J45" s="107"/>
      <c r="K45" s="107"/>
      <c r="L45" s="107"/>
      <c r="M45" s="107"/>
      <c r="N45" s="107"/>
      <c r="O45" s="48">
        <f t="shared" si="3"/>
        <v>0</v>
      </c>
      <c r="P45" s="107"/>
      <c r="Q45" s="107"/>
      <c r="R45" s="107"/>
      <c r="S45" s="107"/>
      <c r="T45" s="107"/>
      <c r="U45" s="48">
        <f t="shared" si="1"/>
        <v>0</v>
      </c>
      <c r="V45" s="48">
        <f t="shared" si="5"/>
        <v>1764</v>
      </c>
      <c r="W45" s="48">
        <f t="shared" si="5"/>
        <v>488</v>
      </c>
      <c r="X45" s="48">
        <f t="shared" si="5"/>
        <v>9649</v>
      </c>
      <c r="Y45" s="48">
        <f t="shared" si="5"/>
        <v>0</v>
      </c>
      <c r="Z45" s="48">
        <f t="shared" si="5"/>
        <v>82</v>
      </c>
      <c r="AA45" s="49">
        <f t="shared" si="5"/>
        <v>11983</v>
      </c>
    </row>
    <row r="46" spans="1:27" ht="15">
      <c r="A46" s="137">
        <v>42</v>
      </c>
      <c r="B46" s="46">
        <v>932911</v>
      </c>
      <c r="C46" s="47" t="s">
        <v>237</v>
      </c>
      <c r="D46" s="47">
        <f>'[4]5.K kiemelt ei.'!D49</f>
        <v>0</v>
      </c>
      <c r="E46" s="107"/>
      <c r="F46" s="47">
        <v>605</v>
      </c>
      <c r="G46" s="107"/>
      <c r="H46" s="47"/>
      <c r="I46" s="49">
        <f t="shared" si="4"/>
        <v>605</v>
      </c>
      <c r="J46" s="107"/>
      <c r="K46" s="107"/>
      <c r="L46" s="107"/>
      <c r="M46" s="107"/>
      <c r="N46" s="107"/>
      <c r="O46" s="48">
        <f t="shared" si="3"/>
        <v>0</v>
      </c>
      <c r="P46" s="107"/>
      <c r="Q46" s="107"/>
      <c r="R46" s="107"/>
      <c r="S46" s="107"/>
      <c r="T46" s="107"/>
      <c r="U46" s="48">
        <f t="shared" si="1"/>
        <v>0</v>
      </c>
      <c r="V46" s="48">
        <f t="shared" si="5"/>
        <v>0</v>
      </c>
      <c r="W46" s="48">
        <f t="shared" si="5"/>
        <v>0</v>
      </c>
      <c r="X46" s="48">
        <f t="shared" si="5"/>
        <v>605</v>
      </c>
      <c r="Y46" s="48">
        <f t="shared" si="5"/>
        <v>0</v>
      </c>
      <c r="Z46" s="48">
        <f t="shared" si="5"/>
        <v>0</v>
      </c>
      <c r="AA46" s="49">
        <f t="shared" si="5"/>
        <v>605</v>
      </c>
    </row>
    <row r="47" spans="1:27" ht="15">
      <c r="A47" s="137">
        <v>43</v>
      </c>
      <c r="B47" s="46">
        <v>940000</v>
      </c>
      <c r="C47" s="47" t="s">
        <v>238</v>
      </c>
      <c r="D47" s="47">
        <f>'5.K kiemelt ei.'!G53</f>
        <v>300</v>
      </c>
      <c r="E47" s="47">
        <f>'5.K kiemelt ei.'!N53</f>
        <v>81</v>
      </c>
      <c r="F47" s="47">
        <f>'5.K kiemelt ei.'!U53</f>
        <v>394</v>
      </c>
      <c r="G47" s="47"/>
      <c r="H47" s="47"/>
      <c r="I47" s="49">
        <f t="shared" si="4"/>
        <v>775</v>
      </c>
      <c r="J47" s="107"/>
      <c r="K47" s="107"/>
      <c r="L47" s="107"/>
      <c r="M47" s="107"/>
      <c r="N47" s="107"/>
      <c r="O47" s="48">
        <f t="shared" si="3"/>
        <v>0</v>
      </c>
      <c r="P47" s="107"/>
      <c r="Q47" s="107"/>
      <c r="R47" s="107"/>
      <c r="S47" s="107"/>
      <c r="T47" s="107"/>
      <c r="U47" s="48">
        <f t="shared" si="1"/>
        <v>0</v>
      </c>
      <c r="V47" s="48">
        <f t="shared" si="5"/>
        <v>300</v>
      </c>
      <c r="W47" s="48">
        <f t="shared" si="5"/>
        <v>81</v>
      </c>
      <c r="X47" s="48">
        <f t="shared" si="5"/>
        <v>394</v>
      </c>
      <c r="Y47" s="48">
        <f t="shared" si="5"/>
        <v>0</v>
      </c>
      <c r="Z47" s="48">
        <f t="shared" si="5"/>
        <v>0</v>
      </c>
      <c r="AA47" s="49">
        <f t="shared" si="5"/>
        <v>775</v>
      </c>
    </row>
    <row r="48" spans="1:27" ht="15">
      <c r="A48" s="137">
        <v>44</v>
      </c>
      <c r="B48" s="46">
        <v>960302</v>
      </c>
      <c r="C48" s="47" t="s">
        <v>27</v>
      </c>
      <c r="D48" s="47">
        <f>'5.K kiemelt ei.'!G54</f>
        <v>140</v>
      </c>
      <c r="E48" s="47">
        <f>'5.K kiemelt ei.'!N54</f>
        <v>38</v>
      </c>
      <c r="F48" s="47">
        <f>'5.K kiemelt ei.'!U54</f>
        <v>521</v>
      </c>
      <c r="G48" s="47"/>
      <c r="H48" s="47">
        <f>'5.K kiemelt ei.'!BD54</f>
        <v>500</v>
      </c>
      <c r="I48" s="49">
        <f t="shared" si="4"/>
        <v>1199</v>
      </c>
      <c r="J48" s="107"/>
      <c r="K48" s="107"/>
      <c r="L48" s="107"/>
      <c r="M48" s="107"/>
      <c r="N48" s="107"/>
      <c r="O48" s="48">
        <f t="shared" si="3"/>
        <v>0</v>
      </c>
      <c r="P48" s="107"/>
      <c r="Q48" s="107"/>
      <c r="R48" s="107"/>
      <c r="S48" s="107"/>
      <c r="T48" s="107"/>
      <c r="U48" s="48">
        <f t="shared" si="1"/>
        <v>0</v>
      </c>
      <c r="V48" s="48">
        <f t="shared" si="5"/>
        <v>140</v>
      </c>
      <c r="W48" s="48">
        <f t="shared" si="5"/>
        <v>38</v>
      </c>
      <c r="X48" s="48">
        <f t="shared" si="5"/>
        <v>521</v>
      </c>
      <c r="Y48" s="48">
        <f t="shared" si="5"/>
        <v>0</v>
      </c>
      <c r="Z48" s="48">
        <f t="shared" si="5"/>
        <v>500</v>
      </c>
      <c r="AA48" s="49">
        <f t="shared" si="5"/>
        <v>1199</v>
      </c>
    </row>
    <row r="49" spans="1:27" ht="15">
      <c r="A49" s="137">
        <v>45</v>
      </c>
      <c r="B49" s="50"/>
      <c r="C49" s="51" t="s">
        <v>62</v>
      </c>
      <c r="D49" s="51">
        <f>SUM(D16:D48)</f>
        <v>70459</v>
      </c>
      <c r="E49" s="51">
        <f>SUM(E16:E48)</f>
        <v>19730</v>
      </c>
      <c r="F49" s="51">
        <f>SUM(F16:F48)</f>
        <v>130470</v>
      </c>
      <c r="G49" s="51">
        <f>SUM(G16:G48)</f>
        <v>600</v>
      </c>
      <c r="H49" s="51">
        <f>SUM(H16:H48)</f>
        <v>17255</v>
      </c>
      <c r="I49" s="49">
        <f>SUM(D49:H49)</f>
        <v>238514</v>
      </c>
      <c r="J49" s="107">
        <f>SUM(J16:J48)</f>
        <v>3509</v>
      </c>
      <c r="K49" s="107">
        <f>SUM(K16:K48)</f>
        <v>954</v>
      </c>
      <c r="L49" s="107">
        <f>SUM(L16:L48)</f>
        <v>22770</v>
      </c>
      <c r="M49" s="107">
        <f>SUM(M16:M48)</f>
        <v>4690</v>
      </c>
      <c r="N49" s="107">
        <f>SUM(N16:N48)</f>
        <v>2742</v>
      </c>
      <c r="O49" s="48">
        <f t="shared" si="3"/>
        <v>34665</v>
      </c>
      <c r="P49" s="107">
        <f>SUM(P16:P48)</f>
        <v>0</v>
      </c>
      <c r="Q49" s="107">
        <f>SUM(Q16:Q48)</f>
        <v>0</v>
      </c>
      <c r="R49" s="107">
        <f>SUM(R16:R48)</f>
        <v>0</v>
      </c>
      <c r="S49" s="107">
        <f>SUM(S16:S48)</f>
        <v>0</v>
      </c>
      <c r="T49" s="107">
        <f>SUM(T16:T48)</f>
        <v>0</v>
      </c>
      <c r="U49" s="48">
        <f t="shared" si="1"/>
        <v>0</v>
      </c>
      <c r="V49" s="48">
        <f t="shared" si="5"/>
        <v>73968</v>
      </c>
      <c r="W49" s="48">
        <f t="shared" si="5"/>
        <v>20684</v>
      </c>
      <c r="X49" s="48">
        <f t="shared" si="5"/>
        <v>153240</v>
      </c>
      <c r="Y49" s="48">
        <f t="shared" si="5"/>
        <v>5290</v>
      </c>
      <c r="Z49" s="48">
        <f t="shared" si="5"/>
        <v>19997</v>
      </c>
      <c r="AA49" s="49">
        <f>U49+O49+I49</f>
        <v>273179</v>
      </c>
    </row>
    <row r="50" spans="1:27" ht="15">
      <c r="A50" s="137">
        <v>46</v>
      </c>
      <c r="B50" s="46"/>
      <c r="C50" s="47"/>
      <c r="D50" s="47"/>
      <c r="E50" s="107"/>
      <c r="F50" s="107"/>
      <c r="G50" s="107"/>
      <c r="H50" s="107"/>
      <c r="I50" s="49"/>
      <c r="J50" s="107"/>
      <c r="K50" s="107"/>
      <c r="L50" s="107"/>
      <c r="M50" s="107"/>
      <c r="N50" s="107"/>
      <c r="O50" s="48"/>
      <c r="P50" s="107"/>
      <c r="Q50" s="107"/>
      <c r="R50" s="107"/>
      <c r="S50" s="107"/>
      <c r="T50" s="107"/>
      <c r="U50" s="48"/>
      <c r="V50" s="48">
        <v>73968</v>
      </c>
      <c r="W50" s="48">
        <v>20684</v>
      </c>
      <c r="X50" s="48">
        <v>153240</v>
      </c>
      <c r="Y50" s="48">
        <v>5290</v>
      </c>
      <c r="Z50" s="48">
        <v>19997</v>
      </c>
      <c r="AA50" s="49"/>
    </row>
    <row r="51" spans="1:27" ht="15">
      <c r="A51" s="137">
        <v>47</v>
      </c>
      <c r="B51" s="46"/>
      <c r="C51" s="51" t="s">
        <v>29</v>
      </c>
      <c r="D51" s="51">
        <f>D49+D12+D9</f>
        <v>100543</v>
      </c>
      <c r="E51" s="51">
        <f aca="true" t="shared" si="6" ref="E51:AA51">E49+E12+E9</f>
        <v>27926</v>
      </c>
      <c r="F51" s="51">
        <f t="shared" si="6"/>
        <v>145297</v>
      </c>
      <c r="G51" s="51">
        <f t="shared" si="6"/>
        <v>26894</v>
      </c>
      <c r="H51" s="51">
        <f t="shared" si="6"/>
        <v>130118</v>
      </c>
      <c r="I51" s="51">
        <f t="shared" si="6"/>
        <v>430778</v>
      </c>
      <c r="J51" s="51">
        <f t="shared" si="6"/>
        <v>3509</v>
      </c>
      <c r="K51" s="51">
        <f t="shared" si="6"/>
        <v>954</v>
      </c>
      <c r="L51" s="51">
        <f t="shared" si="6"/>
        <v>22770</v>
      </c>
      <c r="M51" s="51">
        <f t="shared" si="6"/>
        <v>14690</v>
      </c>
      <c r="N51" s="51">
        <f t="shared" si="6"/>
        <v>2742</v>
      </c>
      <c r="O51" s="51">
        <f t="shared" si="6"/>
        <v>44665</v>
      </c>
      <c r="P51" s="51">
        <f t="shared" si="6"/>
        <v>0</v>
      </c>
      <c r="Q51" s="51">
        <f t="shared" si="6"/>
        <v>0</v>
      </c>
      <c r="R51" s="51">
        <f t="shared" si="6"/>
        <v>0</v>
      </c>
      <c r="S51" s="51">
        <f t="shared" si="6"/>
        <v>26726</v>
      </c>
      <c r="T51" s="51">
        <f t="shared" si="6"/>
        <v>0</v>
      </c>
      <c r="U51" s="51">
        <f t="shared" si="6"/>
        <v>26726</v>
      </c>
      <c r="V51" s="51">
        <f t="shared" si="6"/>
        <v>104052</v>
      </c>
      <c r="W51" s="51">
        <f t="shared" si="6"/>
        <v>28880</v>
      </c>
      <c r="X51" s="51">
        <f t="shared" si="6"/>
        <v>168067</v>
      </c>
      <c r="Y51" s="51">
        <f t="shared" si="6"/>
        <v>68310</v>
      </c>
      <c r="Z51" s="51">
        <f t="shared" si="6"/>
        <v>132860</v>
      </c>
      <c r="AA51" s="51">
        <f t="shared" si="6"/>
        <v>502169</v>
      </c>
    </row>
    <row r="52" ht="18.75">
      <c r="AA52" s="42">
        <v>502169</v>
      </c>
    </row>
  </sheetData>
  <sheetProtection/>
  <mergeCells count="6">
    <mergeCell ref="V5:AA5"/>
    <mergeCell ref="A1:G1"/>
    <mergeCell ref="B3:C3"/>
    <mergeCell ref="E5:I5"/>
    <mergeCell ref="J5:O5"/>
    <mergeCell ref="P5:U5"/>
  </mergeCells>
  <printOptions/>
  <pageMargins left="0.7" right="0.7" top="0.75" bottom="0.75" header="0.3" footer="0.3"/>
  <pageSetup horizontalDpi="300" verticalDpi="3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DJ138"/>
  <sheetViews>
    <sheetView view="pageBreakPreview" zoomScale="80" zoomScaleNormal="80" zoomScaleSheetLayoutView="80" workbookViewId="0" topLeftCell="A1">
      <pane xSplit="2" ySplit="8" topLeftCell="AN12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B131" sqref="BB131"/>
    </sheetView>
  </sheetViews>
  <sheetFormatPr defaultColWidth="9.140625" defaultRowHeight="15"/>
  <cols>
    <col min="1" max="1" width="9.140625" style="61" customWidth="1"/>
    <col min="2" max="2" width="33.8515625" style="63" bestFit="1" customWidth="1"/>
    <col min="3" max="18" width="8.28125" style="63" customWidth="1"/>
    <col min="19" max="19" width="9.140625" style="63" customWidth="1"/>
    <col min="20" max="26" width="7.7109375" style="63" customWidth="1"/>
    <col min="27" max="29" width="7.8515625" style="63" customWidth="1"/>
    <col min="30" max="30" width="7.28125" style="63" bestFit="1" customWidth="1"/>
    <col min="31" max="31" width="7.28125" style="63" customWidth="1"/>
    <col min="32" max="33" width="7.28125" style="63" bestFit="1" customWidth="1"/>
    <col min="34" max="34" width="7.28125" style="63" customWidth="1"/>
    <col min="35" max="35" width="7.140625" style="63" bestFit="1" customWidth="1"/>
    <col min="36" max="36" width="7.28125" style="63" bestFit="1" customWidth="1"/>
    <col min="37" max="37" width="7.57421875" style="63" customWidth="1"/>
    <col min="38" max="38" width="7.28125" style="63" bestFit="1" customWidth="1"/>
    <col min="39" max="39" width="7.28125" style="63" customWidth="1"/>
    <col min="40" max="40" width="7.28125" style="63" bestFit="1" customWidth="1"/>
    <col min="41" max="41" width="7.28125" style="63" customWidth="1"/>
    <col min="42" max="42" width="7.28125" style="63" bestFit="1" customWidth="1"/>
    <col min="43" max="43" width="7.421875" style="63" customWidth="1"/>
    <col min="44" max="44" width="7.28125" style="63" bestFit="1" customWidth="1"/>
    <col min="45" max="45" width="7.28125" style="63" customWidth="1"/>
    <col min="46" max="46" width="7.28125" style="63" bestFit="1" customWidth="1"/>
    <col min="47" max="48" width="7.28125" style="63" customWidth="1"/>
    <col min="49" max="49" width="7.421875" style="63" bestFit="1" customWidth="1"/>
    <col min="50" max="50" width="7.28125" style="63" bestFit="1" customWidth="1"/>
    <col min="51" max="51" width="7.28125" style="63" customWidth="1"/>
    <col min="52" max="52" width="7.7109375" style="63" bestFit="1" customWidth="1"/>
    <col min="53" max="53" width="7.7109375" style="63" customWidth="1"/>
    <col min="54" max="54" width="9.00390625" style="63" bestFit="1" customWidth="1"/>
    <col min="55" max="55" width="11.00390625" style="64" customWidth="1"/>
    <col min="56" max="16384" width="9.140625" style="63" customWidth="1"/>
  </cols>
  <sheetData>
    <row r="1" spans="1:83" s="160" customFormat="1" ht="15.75">
      <c r="A1" s="262" t="s">
        <v>646</v>
      </c>
      <c r="B1" s="263"/>
      <c r="C1" s="263"/>
      <c r="D1" s="263"/>
      <c r="E1" s="26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5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159"/>
    </row>
    <row r="2" spans="1:55" s="54" customFormat="1" ht="11.25">
      <c r="A2" s="161"/>
      <c r="BC2" s="55"/>
    </row>
    <row r="3" spans="1:55" s="54" customFormat="1" ht="11.25">
      <c r="A3" s="161"/>
      <c r="B3" s="167" t="s">
        <v>461</v>
      </c>
      <c r="BC3" s="55"/>
    </row>
    <row r="4" spans="1:55" s="54" customFormat="1" ht="11.25">
      <c r="A4" s="161"/>
      <c r="BC4" s="55"/>
    </row>
    <row r="5" spans="1:55" s="54" customFormat="1" ht="11.25">
      <c r="A5" s="161"/>
      <c r="BC5" s="55"/>
    </row>
    <row r="6" spans="1:55" s="56" customFormat="1" ht="11.25">
      <c r="A6" s="162"/>
      <c r="B6" s="56" t="s">
        <v>30</v>
      </c>
      <c r="C6" s="56" t="s">
        <v>31</v>
      </c>
      <c r="D6" s="56" t="s">
        <v>32</v>
      </c>
      <c r="E6" s="56" t="s">
        <v>33</v>
      </c>
      <c r="F6" s="56" t="s">
        <v>34</v>
      </c>
      <c r="G6" s="56" t="s">
        <v>155</v>
      </c>
      <c r="H6" s="56" t="s">
        <v>63</v>
      </c>
      <c r="I6" s="56" t="s">
        <v>64</v>
      </c>
      <c r="J6" s="56" t="s">
        <v>65</v>
      </c>
      <c r="K6" s="56" t="s">
        <v>66</v>
      </c>
      <c r="L6" s="56" t="s">
        <v>67</v>
      </c>
      <c r="M6" s="56" t="s">
        <v>68</v>
      </c>
      <c r="N6" s="56" t="s">
        <v>69</v>
      </c>
      <c r="O6" s="56" t="s">
        <v>70</v>
      </c>
      <c r="P6" s="56" t="s">
        <v>197</v>
      </c>
      <c r="Q6" s="56" t="s">
        <v>71</v>
      </c>
      <c r="R6" s="56" t="s">
        <v>198</v>
      </c>
      <c r="S6" s="56" t="s">
        <v>72</v>
      </c>
      <c r="T6" s="56" t="s">
        <v>73</v>
      </c>
      <c r="U6" s="56" t="s">
        <v>74</v>
      </c>
      <c r="V6" s="56" t="s">
        <v>75</v>
      </c>
      <c r="W6" s="56" t="s">
        <v>76</v>
      </c>
      <c r="X6" s="56" t="s">
        <v>77</v>
      </c>
      <c r="Y6" s="56" t="s">
        <v>78</v>
      </c>
      <c r="Z6" s="56" t="s">
        <v>79</v>
      </c>
      <c r="AA6" s="56" t="s">
        <v>80</v>
      </c>
      <c r="AB6" s="56" t="s">
        <v>537</v>
      </c>
      <c r="AC6" s="56" t="s">
        <v>239</v>
      </c>
      <c r="AD6" s="56" t="s">
        <v>240</v>
      </c>
      <c r="AE6" s="56" t="s">
        <v>241</v>
      </c>
      <c r="AF6" s="56" t="s">
        <v>242</v>
      </c>
      <c r="AG6" s="56" t="s">
        <v>243</v>
      </c>
      <c r="AH6" s="56" t="s">
        <v>538</v>
      </c>
      <c r="AI6" s="56" t="s">
        <v>539</v>
      </c>
      <c r="AJ6" s="56" t="s">
        <v>540</v>
      </c>
      <c r="AK6" s="56" t="s">
        <v>541</v>
      </c>
      <c r="AL6" s="56" t="s">
        <v>542</v>
      </c>
      <c r="AM6" s="56" t="s">
        <v>543</v>
      </c>
      <c r="AN6" s="56" t="s">
        <v>544</v>
      </c>
      <c r="AO6" s="56" t="s">
        <v>545</v>
      </c>
      <c r="AP6" s="56" t="s">
        <v>546</v>
      </c>
      <c r="AQ6" s="56" t="s">
        <v>244</v>
      </c>
      <c r="AR6" s="56" t="s">
        <v>245</v>
      </c>
      <c r="AS6" s="56" t="s">
        <v>246</v>
      </c>
      <c r="AT6" s="56" t="s">
        <v>547</v>
      </c>
      <c r="AU6" s="56" t="s">
        <v>247</v>
      </c>
      <c r="AV6" s="56" t="s">
        <v>248</v>
      </c>
      <c r="AW6" s="56" t="s">
        <v>249</v>
      </c>
      <c r="AX6" s="56" t="s">
        <v>250</v>
      </c>
      <c r="AY6" s="56" t="s">
        <v>251</v>
      </c>
      <c r="AZ6" s="56" t="s">
        <v>252</v>
      </c>
      <c r="BA6" s="56" t="s">
        <v>252</v>
      </c>
      <c r="BB6" s="56" t="s">
        <v>253</v>
      </c>
      <c r="BC6" s="163" t="s">
        <v>254</v>
      </c>
    </row>
    <row r="7" spans="1:55" s="61" customFormat="1" ht="33.75">
      <c r="A7" s="61">
        <v>1</v>
      </c>
      <c r="C7" s="58" t="s">
        <v>255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60"/>
      <c r="S7" s="57" t="s">
        <v>166</v>
      </c>
      <c r="T7" s="58" t="s">
        <v>219</v>
      </c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60"/>
      <c r="BC7" s="164"/>
    </row>
    <row r="8" spans="1:55" s="64" customFormat="1" ht="56.25">
      <c r="A8" s="164">
        <v>2</v>
      </c>
      <c r="B8" s="64" t="s">
        <v>81</v>
      </c>
      <c r="C8" s="62" t="s">
        <v>41</v>
      </c>
      <c r="D8" s="62" t="s">
        <v>256</v>
      </c>
      <c r="E8" s="62" t="s">
        <v>257</v>
      </c>
      <c r="F8" s="62" t="s">
        <v>258</v>
      </c>
      <c r="G8" s="62" t="s">
        <v>259</v>
      </c>
      <c r="H8" s="62" t="s">
        <v>260</v>
      </c>
      <c r="I8" s="62" t="s">
        <v>261</v>
      </c>
      <c r="J8" s="62" t="s">
        <v>262</v>
      </c>
      <c r="K8" s="62" t="s">
        <v>263</v>
      </c>
      <c r="L8" s="62" t="s">
        <v>264</v>
      </c>
      <c r="M8" s="62" t="s">
        <v>265</v>
      </c>
      <c r="N8" s="62" t="s">
        <v>266</v>
      </c>
      <c r="O8" s="62" t="s">
        <v>267</v>
      </c>
      <c r="P8" s="62" t="s">
        <v>268</v>
      </c>
      <c r="Q8" s="62" t="s">
        <v>639</v>
      </c>
      <c r="R8" s="62" t="s">
        <v>269</v>
      </c>
      <c r="S8" s="62" t="s">
        <v>270</v>
      </c>
      <c r="T8" s="62" t="s">
        <v>271</v>
      </c>
      <c r="U8" s="62" t="s">
        <v>90</v>
      </c>
      <c r="V8" s="62" t="s">
        <v>272</v>
      </c>
      <c r="W8" s="62" t="s">
        <v>273</v>
      </c>
      <c r="X8" s="62" t="s">
        <v>274</v>
      </c>
      <c r="Y8" s="62" t="s">
        <v>275</v>
      </c>
      <c r="Z8" s="62" t="s">
        <v>276</v>
      </c>
      <c r="AA8" s="62" t="s">
        <v>277</v>
      </c>
      <c r="AB8" s="62" t="s">
        <v>278</v>
      </c>
      <c r="AC8" s="62" t="s">
        <v>279</v>
      </c>
      <c r="AD8" s="62" t="s">
        <v>524</v>
      </c>
      <c r="AE8" s="62" t="s">
        <v>280</v>
      </c>
      <c r="AF8" s="62" t="s">
        <v>281</v>
      </c>
      <c r="AG8" s="62" t="s">
        <v>282</v>
      </c>
      <c r="AH8" s="62" t="s">
        <v>283</v>
      </c>
      <c r="AI8" s="62" t="s">
        <v>284</v>
      </c>
      <c r="AJ8" s="62" t="s">
        <v>285</v>
      </c>
      <c r="AK8" s="62" t="s">
        <v>286</v>
      </c>
      <c r="AL8" s="62" t="s">
        <v>287</v>
      </c>
      <c r="AM8" s="62" t="s">
        <v>288</v>
      </c>
      <c r="AN8" s="62" t="s">
        <v>289</v>
      </c>
      <c r="AO8" s="62" t="s">
        <v>290</v>
      </c>
      <c r="AP8" s="62" t="s">
        <v>291</v>
      </c>
      <c r="AQ8" s="62" t="s">
        <v>292</v>
      </c>
      <c r="AR8" s="62" t="s">
        <v>293</v>
      </c>
      <c r="AS8" s="62" t="s">
        <v>294</v>
      </c>
      <c r="AT8" s="62" t="s">
        <v>295</v>
      </c>
      <c r="AU8" s="62" t="s">
        <v>296</v>
      </c>
      <c r="AV8" s="62" t="s">
        <v>297</v>
      </c>
      <c r="AW8" s="62" t="s">
        <v>298</v>
      </c>
      <c r="AX8" s="62" t="s">
        <v>299</v>
      </c>
      <c r="AY8" s="62" t="s">
        <v>300</v>
      </c>
      <c r="AZ8" s="62" t="s">
        <v>301</v>
      </c>
      <c r="BA8" s="62" t="s">
        <v>302</v>
      </c>
      <c r="BB8" s="62" t="s">
        <v>303</v>
      </c>
      <c r="BC8" s="165" t="s">
        <v>304</v>
      </c>
    </row>
    <row r="9" spans="1:55" ht="12.75">
      <c r="A9" s="61">
        <v>3</v>
      </c>
      <c r="B9" s="24" t="s">
        <v>305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>
        <f aca="true" t="shared" si="0" ref="R9:R55">SUM(C9:Q9)</f>
        <v>0</v>
      </c>
      <c r="S9" s="24">
        <v>18827</v>
      </c>
      <c r="T9" s="24"/>
      <c r="U9" s="24">
        <v>4380</v>
      </c>
      <c r="V9" s="24">
        <v>3160</v>
      </c>
      <c r="W9" s="24"/>
      <c r="X9" s="24">
        <v>5637</v>
      </c>
      <c r="Y9" s="24"/>
      <c r="Z9" s="24"/>
      <c r="AA9" s="24"/>
      <c r="AB9" s="24"/>
      <c r="AC9" s="24"/>
      <c r="AD9" s="24"/>
      <c r="AE9" s="24">
        <v>4380</v>
      </c>
      <c r="AF9" s="24">
        <v>9838</v>
      </c>
      <c r="AG9" s="24">
        <v>9907</v>
      </c>
      <c r="AH9" s="24"/>
      <c r="AI9" s="24">
        <v>455</v>
      </c>
      <c r="AJ9" s="24"/>
      <c r="AK9" s="24">
        <v>2403</v>
      </c>
      <c r="AL9" s="24">
        <v>1864</v>
      </c>
      <c r="AM9" s="24"/>
      <c r="AN9" s="24"/>
      <c r="AO9" s="24"/>
      <c r="AP9" s="24">
        <v>1617</v>
      </c>
      <c r="AQ9" s="24"/>
      <c r="AR9" s="24"/>
      <c r="AS9" s="24">
        <v>1464</v>
      </c>
      <c r="AT9" s="24"/>
      <c r="AU9" s="63">
        <v>6254</v>
      </c>
      <c r="AV9" s="63">
        <v>634</v>
      </c>
      <c r="AW9" s="24"/>
      <c r="AX9" s="24">
        <v>1257</v>
      </c>
      <c r="AY9" s="24"/>
      <c r="AZ9" s="24"/>
      <c r="BA9" s="24"/>
      <c r="BB9" s="24">
        <f aca="true" t="shared" si="1" ref="BB9:BB57">SUM(T9:BA9)</f>
        <v>53250</v>
      </c>
      <c r="BC9" s="31">
        <f aca="true" t="shared" si="2" ref="BC9:BC23">BB9+R9+S9</f>
        <v>72077</v>
      </c>
    </row>
    <row r="10" spans="1:55" ht="12.75">
      <c r="A10" s="61">
        <v>4</v>
      </c>
      <c r="B10" s="24" t="s">
        <v>306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>
        <f t="shared" si="0"/>
        <v>0</v>
      </c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>
        <f t="shared" si="1"/>
        <v>0</v>
      </c>
      <c r="BC10" s="31">
        <f t="shared" si="2"/>
        <v>0</v>
      </c>
    </row>
    <row r="11" spans="1:55" ht="12.75">
      <c r="A11" s="61">
        <v>5</v>
      </c>
      <c r="B11" s="24" t="s">
        <v>307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>
        <f t="shared" si="0"/>
        <v>0</v>
      </c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>
        <f t="shared" si="1"/>
        <v>0</v>
      </c>
      <c r="BC11" s="31">
        <f t="shared" si="2"/>
        <v>0</v>
      </c>
    </row>
    <row r="12" spans="1:55" ht="12.75">
      <c r="A12" s="164">
        <v>6</v>
      </c>
      <c r="B12" s="24" t="s">
        <v>308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>
        <f t="shared" si="0"/>
        <v>0</v>
      </c>
      <c r="S12" s="24">
        <v>1050</v>
      </c>
      <c r="T12" s="24"/>
      <c r="U12" s="24"/>
      <c r="V12" s="24"/>
      <c r="W12" s="24"/>
      <c r="X12" s="24">
        <v>360</v>
      </c>
      <c r="Y12" s="24"/>
      <c r="Z12" s="24"/>
      <c r="AA12" s="24"/>
      <c r="AB12" s="24"/>
      <c r="AC12" s="24"/>
      <c r="AD12" s="24"/>
      <c r="AE12" s="24"/>
      <c r="AF12" s="24">
        <v>480</v>
      </c>
      <c r="AG12" s="24">
        <v>700</v>
      </c>
      <c r="AH12" s="24"/>
      <c r="AI12" s="24"/>
      <c r="AJ12" s="24"/>
      <c r="AK12" s="24"/>
      <c r="AL12" s="24"/>
      <c r="AM12" s="24"/>
      <c r="AN12" s="24"/>
      <c r="AO12" s="24"/>
      <c r="AP12" s="24">
        <v>186</v>
      </c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>
        <f t="shared" si="1"/>
        <v>1726</v>
      </c>
      <c r="BC12" s="31">
        <f t="shared" si="2"/>
        <v>2776</v>
      </c>
    </row>
    <row r="13" spans="1:55" ht="12.75">
      <c r="A13" s="61">
        <v>7</v>
      </c>
      <c r="B13" s="24" t="s">
        <v>309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>
        <f t="shared" si="0"/>
        <v>0</v>
      </c>
      <c r="S13" s="24">
        <v>240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>
        <v>240</v>
      </c>
      <c r="AM13" s="24"/>
      <c r="AN13" s="24"/>
      <c r="AO13" s="24"/>
      <c r="AP13" s="24">
        <v>186</v>
      </c>
      <c r="AQ13" s="24"/>
      <c r="AR13" s="24"/>
      <c r="AS13" s="24">
        <v>261</v>
      </c>
      <c r="AT13" s="24"/>
      <c r="AU13" s="24"/>
      <c r="AV13" s="24"/>
      <c r="AW13" s="24"/>
      <c r="AX13" s="24"/>
      <c r="AY13" s="24"/>
      <c r="AZ13" s="24"/>
      <c r="BA13" s="24"/>
      <c r="BB13" s="24">
        <f t="shared" si="1"/>
        <v>687</v>
      </c>
      <c r="BC13" s="31">
        <f t="shared" si="2"/>
        <v>927</v>
      </c>
    </row>
    <row r="14" spans="1:55" ht="12.75">
      <c r="A14" s="61">
        <v>8</v>
      </c>
      <c r="B14" s="24" t="s">
        <v>310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>
        <f t="shared" si="0"/>
        <v>0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>
        <v>80</v>
      </c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>
        <f t="shared" si="1"/>
        <v>80</v>
      </c>
      <c r="BC14" s="31">
        <f t="shared" si="2"/>
        <v>80</v>
      </c>
    </row>
    <row r="15" spans="1:56" s="64" customFormat="1" ht="12.75">
      <c r="A15" s="61">
        <v>9</v>
      </c>
      <c r="B15" s="31" t="s">
        <v>311</v>
      </c>
      <c r="C15" s="31">
        <f>SUM(C9:C14)</f>
        <v>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24">
        <f t="shared" si="0"/>
        <v>0</v>
      </c>
      <c r="S15" s="31">
        <f>SUM(S9:S14)</f>
        <v>20117</v>
      </c>
      <c r="T15" s="31">
        <f>SUM(T9:T14)</f>
        <v>0</v>
      </c>
      <c r="U15" s="31">
        <f aca="true" t="shared" si="3" ref="U15:AN15">SUM(U9:U14)</f>
        <v>4380</v>
      </c>
      <c r="V15" s="31">
        <f t="shared" si="3"/>
        <v>3160</v>
      </c>
      <c r="W15" s="31">
        <f t="shared" si="3"/>
        <v>0</v>
      </c>
      <c r="X15" s="31">
        <f t="shared" si="3"/>
        <v>5997</v>
      </c>
      <c r="Y15" s="31">
        <f t="shared" si="3"/>
        <v>0</v>
      </c>
      <c r="Z15" s="31">
        <f t="shared" si="3"/>
        <v>0</v>
      </c>
      <c r="AA15" s="31">
        <f t="shared" si="3"/>
        <v>0</v>
      </c>
      <c r="AB15" s="31">
        <f t="shared" si="3"/>
        <v>0</v>
      </c>
      <c r="AC15" s="31">
        <f t="shared" si="3"/>
        <v>0</v>
      </c>
      <c r="AD15" s="31">
        <f t="shared" si="3"/>
        <v>0</v>
      </c>
      <c r="AE15" s="31">
        <f t="shared" si="3"/>
        <v>4380</v>
      </c>
      <c r="AF15" s="31">
        <f t="shared" si="3"/>
        <v>10318</v>
      </c>
      <c r="AG15" s="31">
        <f t="shared" si="3"/>
        <v>10687</v>
      </c>
      <c r="AH15" s="31">
        <f t="shared" si="3"/>
        <v>0</v>
      </c>
      <c r="AI15" s="31">
        <f t="shared" si="3"/>
        <v>455</v>
      </c>
      <c r="AJ15" s="31">
        <f t="shared" si="3"/>
        <v>0</v>
      </c>
      <c r="AK15" s="31">
        <f t="shared" si="3"/>
        <v>2403</v>
      </c>
      <c r="AL15" s="31">
        <f t="shared" si="3"/>
        <v>2104</v>
      </c>
      <c r="AM15" s="31">
        <f t="shared" si="3"/>
        <v>0</v>
      </c>
      <c r="AN15" s="31">
        <f t="shared" si="3"/>
        <v>0</v>
      </c>
      <c r="AO15" s="31"/>
      <c r="AP15" s="31">
        <f>SUM(AP9:AP14)</f>
        <v>1989</v>
      </c>
      <c r="AQ15" s="31">
        <f aca="true" t="shared" si="4" ref="AQ15:BA15">SUM(AQ9:AQ14)</f>
        <v>0</v>
      </c>
      <c r="AR15" s="31">
        <f t="shared" si="4"/>
        <v>0</v>
      </c>
      <c r="AS15" s="31">
        <f t="shared" si="4"/>
        <v>1725</v>
      </c>
      <c r="AT15" s="31">
        <f t="shared" si="4"/>
        <v>0</v>
      </c>
      <c r="AU15" s="31">
        <f t="shared" si="4"/>
        <v>6254</v>
      </c>
      <c r="AV15" s="31">
        <f t="shared" si="4"/>
        <v>634</v>
      </c>
      <c r="AW15" s="31">
        <f t="shared" si="4"/>
        <v>0</v>
      </c>
      <c r="AX15" s="31">
        <f t="shared" si="4"/>
        <v>1257</v>
      </c>
      <c r="AY15" s="31">
        <f t="shared" si="4"/>
        <v>0</v>
      </c>
      <c r="AZ15" s="31">
        <f t="shared" si="4"/>
        <v>0</v>
      </c>
      <c r="BA15" s="31">
        <f t="shared" si="4"/>
        <v>0</v>
      </c>
      <c r="BB15" s="24">
        <f t="shared" si="1"/>
        <v>55743</v>
      </c>
      <c r="BC15" s="31">
        <f t="shared" si="2"/>
        <v>75860</v>
      </c>
      <c r="BD15" s="64">
        <v>74960</v>
      </c>
    </row>
    <row r="16" spans="1:55" ht="12.75">
      <c r="A16" s="164">
        <v>10</v>
      </c>
      <c r="B16" s="24" t="s">
        <v>312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>
        <f t="shared" si="0"/>
        <v>0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>
        <f t="shared" si="1"/>
        <v>0</v>
      </c>
      <c r="BC16" s="31">
        <f t="shared" si="2"/>
        <v>0</v>
      </c>
    </row>
    <row r="17" spans="1:55" s="64" customFormat="1" ht="12.75">
      <c r="A17" s="61">
        <v>11</v>
      </c>
      <c r="B17" s="31" t="s">
        <v>313</v>
      </c>
      <c r="C17" s="31">
        <f>SUM(C15:C16)</f>
        <v>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24">
        <f t="shared" si="0"/>
        <v>0</v>
      </c>
      <c r="S17" s="31">
        <f>SUM(S15:S16)</f>
        <v>20117</v>
      </c>
      <c r="T17" s="31">
        <f>SUM(T15:T16)</f>
        <v>0</v>
      </c>
      <c r="U17" s="31">
        <f aca="true" t="shared" si="5" ref="U17:AN17">SUM(U15:U16)</f>
        <v>4380</v>
      </c>
      <c r="V17" s="31">
        <f t="shared" si="5"/>
        <v>3160</v>
      </c>
      <c r="W17" s="31">
        <f t="shared" si="5"/>
        <v>0</v>
      </c>
      <c r="X17" s="31">
        <f t="shared" si="5"/>
        <v>5997</v>
      </c>
      <c r="Y17" s="31">
        <f t="shared" si="5"/>
        <v>0</v>
      </c>
      <c r="Z17" s="31">
        <f t="shared" si="5"/>
        <v>0</v>
      </c>
      <c r="AA17" s="31">
        <f t="shared" si="5"/>
        <v>0</v>
      </c>
      <c r="AB17" s="31">
        <f t="shared" si="5"/>
        <v>0</v>
      </c>
      <c r="AC17" s="31">
        <f t="shared" si="5"/>
        <v>0</v>
      </c>
      <c r="AD17" s="31">
        <f t="shared" si="5"/>
        <v>0</v>
      </c>
      <c r="AE17" s="31">
        <f t="shared" si="5"/>
        <v>4380</v>
      </c>
      <c r="AF17" s="31">
        <f t="shared" si="5"/>
        <v>10318</v>
      </c>
      <c r="AG17" s="31">
        <f t="shared" si="5"/>
        <v>10687</v>
      </c>
      <c r="AH17" s="31">
        <f t="shared" si="5"/>
        <v>0</v>
      </c>
      <c r="AI17" s="31">
        <f t="shared" si="5"/>
        <v>455</v>
      </c>
      <c r="AJ17" s="31">
        <f t="shared" si="5"/>
        <v>0</v>
      </c>
      <c r="AK17" s="31">
        <f t="shared" si="5"/>
        <v>2403</v>
      </c>
      <c r="AL17" s="31">
        <f t="shared" si="5"/>
        <v>2104</v>
      </c>
      <c r="AM17" s="31">
        <f t="shared" si="5"/>
        <v>0</v>
      </c>
      <c r="AN17" s="31">
        <f t="shared" si="5"/>
        <v>0</v>
      </c>
      <c r="AO17" s="31"/>
      <c r="AP17" s="31">
        <f>SUM(AP15:AP16)</f>
        <v>1989</v>
      </c>
      <c r="AQ17" s="31">
        <f aca="true" t="shared" si="6" ref="AQ17:BA17">SUM(AQ15:AQ16)</f>
        <v>0</v>
      </c>
      <c r="AR17" s="31">
        <f t="shared" si="6"/>
        <v>0</v>
      </c>
      <c r="AS17" s="31">
        <f t="shared" si="6"/>
        <v>1725</v>
      </c>
      <c r="AT17" s="31">
        <f t="shared" si="6"/>
        <v>0</v>
      </c>
      <c r="AU17" s="31">
        <f t="shared" si="6"/>
        <v>6254</v>
      </c>
      <c r="AV17" s="31">
        <f t="shared" si="6"/>
        <v>634</v>
      </c>
      <c r="AW17" s="31">
        <f t="shared" si="6"/>
        <v>0</v>
      </c>
      <c r="AX17" s="31">
        <f t="shared" si="6"/>
        <v>1257</v>
      </c>
      <c r="AY17" s="31">
        <f t="shared" si="6"/>
        <v>0</v>
      </c>
      <c r="AZ17" s="31">
        <f t="shared" si="6"/>
        <v>0</v>
      </c>
      <c r="BA17" s="31">
        <f t="shared" si="6"/>
        <v>0</v>
      </c>
      <c r="BB17" s="24">
        <f t="shared" si="1"/>
        <v>55743</v>
      </c>
      <c r="BC17" s="31">
        <f t="shared" si="2"/>
        <v>75860</v>
      </c>
    </row>
    <row r="18" spans="1:55" ht="12.75">
      <c r="A18" s="61">
        <v>12</v>
      </c>
      <c r="B18" s="24" t="s">
        <v>314</v>
      </c>
      <c r="C18" s="24">
        <f>SUM(C17)</f>
        <v>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>
        <f t="shared" si="0"/>
        <v>0</v>
      </c>
      <c r="S18" s="24">
        <v>200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>
        <f>'[1]községgazd'!$E$9</f>
        <v>0</v>
      </c>
      <c r="AF18" s="24">
        <v>30</v>
      </c>
      <c r="AG18" s="24">
        <v>200</v>
      </c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>
        <v>100</v>
      </c>
      <c r="AT18" s="24"/>
      <c r="AU18" s="24"/>
      <c r="AV18" s="24"/>
      <c r="AW18" s="24"/>
      <c r="AX18" s="24"/>
      <c r="AY18" s="24"/>
      <c r="AZ18" s="24"/>
      <c r="BA18" s="24"/>
      <c r="BB18" s="24">
        <f t="shared" si="1"/>
        <v>330</v>
      </c>
      <c r="BC18" s="31">
        <f t="shared" si="2"/>
        <v>530</v>
      </c>
    </row>
    <row r="19" spans="1:55" ht="12.75">
      <c r="A19" s="61">
        <v>13</v>
      </c>
      <c r="B19" s="24" t="s">
        <v>315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>
        <f t="shared" si="0"/>
        <v>0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>
        <f t="shared" si="1"/>
        <v>0</v>
      </c>
      <c r="BC19" s="31">
        <f t="shared" si="2"/>
        <v>0</v>
      </c>
    </row>
    <row r="20" spans="1:55" s="64" customFormat="1" ht="12.75">
      <c r="A20" s="164">
        <v>14</v>
      </c>
      <c r="B20" s="31" t="s">
        <v>316</v>
      </c>
      <c r="C20" s="31">
        <f>SUM(C18:C19)</f>
        <v>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24">
        <f t="shared" si="0"/>
        <v>0</v>
      </c>
      <c r="S20" s="31">
        <f>SUM(S18:S19)</f>
        <v>200</v>
      </c>
      <c r="T20" s="31">
        <f>SUM(T18:T19)</f>
        <v>0</v>
      </c>
      <c r="U20" s="31">
        <f aca="true" t="shared" si="7" ref="U20:AN20">SUM(U18:U19)</f>
        <v>0</v>
      </c>
      <c r="V20" s="31">
        <f t="shared" si="7"/>
        <v>0</v>
      </c>
      <c r="W20" s="31">
        <f t="shared" si="7"/>
        <v>0</v>
      </c>
      <c r="X20" s="31">
        <f t="shared" si="7"/>
        <v>0</v>
      </c>
      <c r="Y20" s="31">
        <f t="shared" si="7"/>
        <v>0</v>
      </c>
      <c r="Z20" s="31">
        <f t="shared" si="7"/>
        <v>0</v>
      </c>
      <c r="AA20" s="31">
        <f t="shared" si="7"/>
        <v>0</v>
      </c>
      <c r="AB20" s="31">
        <f t="shared" si="7"/>
        <v>0</v>
      </c>
      <c r="AC20" s="31">
        <f t="shared" si="7"/>
        <v>0</v>
      </c>
      <c r="AD20" s="31">
        <f t="shared" si="7"/>
        <v>0</v>
      </c>
      <c r="AE20" s="31">
        <f t="shared" si="7"/>
        <v>0</v>
      </c>
      <c r="AF20" s="31">
        <f t="shared" si="7"/>
        <v>30</v>
      </c>
      <c r="AG20" s="31">
        <f t="shared" si="7"/>
        <v>200</v>
      </c>
      <c r="AH20" s="31">
        <f t="shared" si="7"/>
        <v>0</v>
      </c>
      <c r="AI20" s="31">
        <f t="shared" si="7"/>
        <v>0</v>
      </c>
      <c r="AJ20" s="31">
        <f t="shared" si="7"/>
        <v>0</v>
      </c>
      <c r="AK20" s="31">
        <f t="shared" si="7"/>
        <v>0</v>
      </c>
      <c r="AL20" s="31">
        <f t="shared" si="7"/>
        <v>0</v>
      </c>
      <c r="AM20" s="31">
        <f t="shared" si="7"/>
        <v>0</v>
      </c>
      <c r="AN20" s="31">
        <f t="shared" si="7"/>
        <v>0</v>
      </c>
      <c r="AO20" s="31"/>
      <c r="AP20" s="31">
        <f>SUM(AP18:AP19)</f>
        <v>0</v>
      </c>
      <c r="AQ20" s="31">
        <f aca="true" t="shared" si="8" ref="AQ20:BA20">SUM(AQ18:AQ19)</f>
        <v>0</v>
      </c>
      <c r="AR20" s="31">
        <f t="shared" si="8"/>
        <v>0</v>
      </c>
      <c r="AS20" s="31">
        <f t="shared" si="8"/>
        <v>100</v>
      </c>
      <c r="AT20" s="31">
        <f t="shared" si="8"/>
        <v>0</v>
      </c>
      <c r="AU20" s="31">
        <f t="shared" si="8"/>
        <v>0</v>
      </c>
      <c r="AV20" s="31">
        <f t="shared" si="8"/>
        <v>0</v>
      </c>
      <c r="AW20" s="31">
        <f t="shared" si="8"/>
        <v>0</v>
      </c>
      <c r="AX20" s="31">
        <f t="shared" si="8"/>
        <v>0</v>
      </c>
      <c r="AY20" s="31">
        <f t="shared" si="8"/>
        <v>0</v>
      </c>
      <c r="AZ20" s="31">
        <f t="shared" si="8"/>
        <v>0</v>
      </c>
      <c r="BA20" s="31">
        <f t="shared" si="8"/>
        <v>0</v>
      </c>
      <c r="BB20" s="24">
        <f t="shared" si="1"/>
        <v>330</v>
      </c>
      <c r="BC20" s="31">
        <f t="shared" si="2"/>
        <v>530</v>
      </c>
    </row>
    <row r="21" spans="1:55" ht="12.75">
      <c r="A21" s="61">
        <v>15</v>
      </c>
      <c r="B21" s="24" t="s">
        <v>317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>
        <f t="shared" si="0"/>
        <v>0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>
        <v>0</v>
      </c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>
        <f t="shared" si="1"/>
        <v>0</v>
      </c>
      <c r="BC21" s="31">
        <f t="shared" si="2"/>
        <v>0</v>
      </c>
    </row>
    <row r="22" spans="1:55" s="64" customFormat="1" ht="12.75">
      <c r="A22" s="61">
        <v>16</v>
      </c>
      <c r="B22" s="31" t="s">
        <v>316</v>
      </c>
      <c r="C22" s="31">
        <f>SUM(C20:C21)</f>
        <v>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24">
        <f t="shared" si="0"/>
        <v>0</v>
      </c>
      <c r="S22" s="31">
        <f>SUM(S20:S21)</f>
        <v>200</v>
      </c>
      <c r="T22" s="31">
        <f>SUM(T20:T21)</f>
        <v>0</v>
      </c>
      <c r="U22" s="31">
        <f aca="true" t="shared" si="9" ref="U22:AN22">SUM(U20:U21)</f>
        <v>0</v>
      </c>
      <c r="V22" s="31">
        <f t="shared" si="9"/>
        <v>0</v>
      </c>
      <c r="W22" s="31">
        <f t="shared" si="9"/>
        <v>0</v>
      </c>
      <c r="X22" s="31">
        <f t="shared" si="9"/>
        <v>0</v>
      </c>
      <c r="Y22" s="31">
        <f t="shared" si="9"/>
        <v>0</v>
      </c>
      <c r="Z22" s="31">
        <f t="shared" si="9"/>
        <v>0</v>
      </c>
      <c r="AA22" s="31">
        <f t="shared" si="9"/>
        <v>0</v>
      </c>
      <c r="AB22" s="31">
        <f t="shared" si="9"/>
        <v>0</v>
      </c>
      <c r="AC22" s="31">
        <f t="shared" si="9"/>
        <v>0</v>
      </c>
      <c r="AD22" s="31">
        <f t="shared" si="9"/>
        <v>0</v>
      </c>
      <c r="AE22" s="31">
        <f t="shared" si="9"/>
        <v>0</v>
      </c>
      <c r="AF22" s="31">
        <f t="shared" si="9"/>
        <v>30</v>
      </c>
      <c r="AG22" s="31">
        <f t="shared" si="9"/>
        <v>200</v>
      </c>
      <c r="AH22" s="31">
        <f t="shared" si="9"/>
        <v>0</v>
      </c>
      <c r="AI22" s="31">
        <f t="shared" si="9"/>
        <v>0</v>
      </c>
      <c r="AJ22" s="31">
        <f t="shared" si="9"/>
        <v>0</v>
      </c>
      <c r="AK22" s="31">
        <f t="shared" si="9"/>
        <v>0</v>
      </c>
      <c r="AL22" s="31">
        <f t="shared" si="9"/>
        <v>0</v>
      </c>
      <c r="AM22" s="31">
        <f t="shared" si="9"/>
        <v>0</v>
      </c>
      <c r="AN22" s="31">
        <f t="shared" si="9"/>
        <v>0</v>
      </c>
      <c r="AO22" s="31"/>
      <c r="AP22" s="31">
        <f>SUM(AP20:AP21)</f>
        <v>0</v>
      </c>
      <c r="AQ22" s="31">
        <f aca="true" t="shared" si="10" ref="AQ22:BA22">SUM(AQ20:AQ21)</f>
        <v>0</v>
      </c>
      <c r="AR22" s="31">
        <f t="shared" si="10"/>
        <v>0</v>
      </c>
      <c r="AS22" s="31">
        <f t="shared" si="10"/>
        <v>100</v>
      </c>
      <c r="AT22" s="31">
        <f t="shared" si="10"/>
        <v>0</v>
      </c>
      <c r="AU22" s="31">
        <f t="shared" si="10"/>
        <v>0</v>
      </c>
      <c r="AV22" s="31">
        <f t="shared" si="10"/>
        <v>0</v>
      </c>
      <c r="AW22" s="31">
        <f t="shared" si="10"/>
        <v>0</v>
      </c>
      <c r="AX22" s="31">
        <f t="shared" si="10"/>
        <v>0</v>
      </c>
      <c r="AY22" s="31">
        <f t="shared" si="10"/>
        <v>0</v>
      </c>
      <c r="AZ22" s="31">
        <f t="shared" si="10"/>
        <v>0</v>
      </c>
      <c r="BA22" s="31">
        <f t="shared" si="10"/>
        <v>0</v>
      </c>
      <c r="BB22" s="24">
        <f t="shared" si="1"/>
        <v>330</v>
      </c>
      <c r="BC22" s="31">
        <f t="shared" si="2"/>
        <v>530</v>
      </c>
    </row>
    <row r="23" spans="1:55" s="64" customFormat="1" ht="12.75">
      <c r="A23" s="61">
        <v>17</v>
      </c>
      <c r="B23" s="37" t="s">
        <v>318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24">
        <f t="shared" si="0"/>
        <v>0</v>
      </c>
      <c r="S23" s="31">
        <v>1677</v>
      </c>
      <c r="T23" s="31"/>
      <c r="U23" s="31">
        <v>452</v>
      </c>
      <c r="V23" s="31">
        <v>321</v>
      </c>
      <c r="W23" s="31"/>
      <c r="X23" s="31">
        <v>717</v>
      </c>
      <c r="Y23" s="31"/>
      <c r="Z23" s="31"/>
      <c r="AA23" s="31"/>
      <c r="AB23" s="31"/>
      <c r="AC23" s="31"/>
      <c r="AD23" s="31"/>
      <c r="AE23" s="31">
        <v>452</v>
      </c>
      <c r="AF23" s="31">
        <v>882</v>
      </c>
      <c r="AG23" s="31">
        <v>1485</v>
      </c>
      <c r="AH23" s="31"/>
      <c r="AI23" s="31">
        <v>31</v>
      </c>
      <c r="AJ23" s="31"/>
      <c r="AK23" s="31">
        <v>230</v>
      </c>
      <c r="AL23" s="31">
        <v>205</v>
      </c>
      <c r="AM23" s="31"/>
      <c r="AN23" s="31"/>
      <c r="AO23" s="31"/>
      <c r="AP23" s="31">
        <v>29</v>
      </c>
      <c r="AQ23" s="31"/>
      <c r="AR23" s="31"/>
      <c r="AS23" s="31">
        <v>162</v>
      </c>
      <c r="AT23" s="31"/>
      <c r="AU23" s="31"/>
      <c r="AV23" s="31"/>
      <c r="AW23" s="31"/>
      <c r="AX23" s="31">
        <v>134</v>
      </c>
      <c r="AY23" s="31"/>
      <c r="AZ23" s="31"/>
      <c r="BA23" s="31"/>
      <c r="BB23" s="24">
        <f t="shared" si="1"/>
        <v>5100</v>
      </c>
      <c r="BC23" s="31">
        <f t="shared" si="2"/>
        <v>6777</v>
      </c>
    </row>
    <row r="24" spans="1:55" s="64" customFormat="1" ht="12.75">
      <c r="A24" s="164">
        <v>18</v>
      </c>
      <c r="B24" s="37" t="s">
        <v>681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24">
        <f t="shared" si="0"/>
        <v>0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>
        <v>1242</v>
      </c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24">
        <f t="shared" si="1"/>
        <v>1242</v>
      </c>
      <c r="BC24" s="31"/>
    </row>
    <row r="25" spans="1:55" ht="12.75">
      <c r="A25" s="61">
        <v>19</v>
      </c>
      <c r="B25" s="24" t="s">
        <v>319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>
        <f t="shared" si="0"/>
        <v>0</v>
      </c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>
        <f>'[1]községgazd'!$C$10</f>
        <v>0</v>
      </c>
      <c r="AF25" s="24">
        <v>545</v>
      </c>
      <c r="AG25" s="24">
        <v>-20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>
        <f t="shared" si="1"/>
        <v>525</v>
      </c>
      <c r="BC25" s="31">
        <f aca="true" t="shared" si="11" ref="BC25:BC55">BB25+R25+S25</f>
        <v>525</v>
      </c>
    </row>
    <row r="26" spans="1:55" ht="12.75">
      <c r="A26" s="61">
        <v>20</v>
      </c>
      <c r="B26" s="24" t="s">
        <v>330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>
        <f t="shared" si="0"/>
        <v>0</v>
      </c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>
        <f t="shared" si="1"/>
        <v>0</v>
      </c>
      <c r="BC26" s="31">
        <f t="shared" si="11"/>
        <v>0</v>
      </c>
    </row>
    <row r="27" spans="1:55" ht="12.75">
      <c r="A27" s="61">
        <v>21</v>
      </c>
      <c r="B27" s="24" t="s">
        <v>320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>
        <f t="shared" si="0"/>
        <v>0</v>
      </c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>
        <f t="shared" si="1"/>
        <v>0</v>
      </c>
      <c r="BC27" s="31">
        <f t="shared" si="11"/>
        <v>0</v>
      </c>
    </row>
    <row r="28" spans="1:55" ht="12.75">
      <c r="A28" s="164">
        <v>22</v>
      </c>
      <c r="B28" s="24" t="s">
        <v>321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>
        <f t="shared" si="0"/>
        <v>0</v>
      </c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>
        <f t="shared" si="1"/>
        <v>0</v>
      </c>
      <c r="BC28" s="31">
        <f t="shared" si="11"/>
        <v>0</v>
      </c>
    </row>
    <row r="29" spans="1:55" s="64" customFormat="1" ht="12.75">
      <c r="A29" s="61">
        <v>23</v>
      </c>
      <c r="B29" s="31" t="s">
        <v>322</v>
      </c>
      <c r="C29" s="31">
        <f>SUM(C25:C28)</f>
        <v>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24">
        <f t="shared" si="0"/>
        <v>0</v>
      </c>
      <c r="S29" s="31">
        <f>SUM(S23:S28)</f>
        <v>1677</v>
      </c>
      <c r="T29" s="31">
        <f aca="true" t="shared" si="12" ref="T29:BB29">SUM(T23:T28)</f>
        <v>0</v>
      </c>
      <c r="U29" s="31">
        <f t="shared" si="12"/>
        <v>452</v>
      </c>
      <c r="V29" s="31">
        <f t="shared" si="12"/>
        <v>321</v>
      </c>
      <c r="W29" s="31">
        <f t="shared" si="12"/>
        <v>0</v>
      </c>
      <c r="X29" s="31">
        <f t="shared" si="12"/>
        <v>717</v>
      </c>
      <c r="Y29" s="31">
        <f t="shared" si="12"/>
        <v>0</v>
      </c>
      <c r="Z29" s="31">
        <f t="shared" si="12"/>
        <v>0</v>
      </c>
      <c r="AA29" s="31">
        <f t="shared" si="12"/>
        <v>0</v>
      </c>
      <c r="AB29" s="31">
        <f t="shared" si="12"/>
        <v>0</v>
      </c>
      <c r="AC29" s="31">
        <f t="shared" si="12"/>
        <v>0</v>
      </c>
      <c r="AD29" s="31">
        <f t="shared" si="12"/>
        <v>0</v>
      </c>
      <c r="AE29" s="31">
        <f t="shared" si="12"/>
        <v>452</v>
      </c>
      <c r="AF29" s="31">
        <f t="shared" si="12"/>
        <v>2669</v>
      </c>
      <c r="AG29" s="31">
        <f t="shared" si="12"/>
        <v>1465</v>
      </c>
      <c r="AH29" s="31">
        <f t="shared" si="12"/>
        <v>0</v>
      </c>
      <c r="AI29" s="31">
        <f t="shared" si="12"/>
        <v>31</v>
      </c>
      <c r="AJ29" s="31">
        <f t="shared" si="12"/>
        <v>0</v>
      </c>
      <c r="AK29" s="31">
        <f t="shared" si="12"/>
        <v>230</v>
      </c>
      <c r="AL29" s="31">
        <f t="shared" si="12"/>
        <v>205</v>
      </c>
      <c r="AM29" s="31">
        <f t="shared" si="12"/>
        <v>0</v>
      </c>
      <c r="AN29" s="31">
        <f t="shared" si="12"/>
        <v>0</v>
      </c>
      <c r="AO29" s="31">
        <f t="shared" si="12"/>
        <v>0</v>
      </c>
      <c r="AP29" s="31">
        <f t="shared" si="12"/>
        <v>29</v>
      </c>
      <c r="AQ29" s="31">
        <f t="shared" si="12"/>
        <v>0</v>
      </c>
      <c r="AR29" s="31">
        <f t="shared" si="12"/>
        <v>0</v>
      </c>
      <c r="AS29" s="31">
        <f t="shared" si="12"/>
        <v>162</v>
      </c>
      <c r="AT29" s="31">
        <f t="shared" si="12"/>
        <v>0</v>
      </c>
      <c r="AU29" s="31">
        <f t="shared" si="12"/>
        <v>0</v>
      </c>
      <c r="AV29" s="31">
        <f t="shared" si="12"/>
        <v>0</v>
      </c>
      <c r="AW29" s="31">
        <f t="shared" si="12"/>
        <v>0</v>
      </c>
      <c r="AX29" s="31">
        <f t="shared" si="12"/>
        <v>134</v>
      </c>
      <c r="AY29" s="31">
        <f t="shared" si="12"/>
        <v>0</v>
      </c>
      <c r="AZ29" s="31">
        <f t="shared" si="12"/>
        <v>0</v>
      </c>
      <c r="BA29" s="31">
        <f t="shared" si="12"/>
        <v>0</v>
      </c>
      <c r="BB29" s="31">
        <f t="shared" si="12"/>
        <v>6867</v>
      </c>
      <c r="BC29" s="31">
        <f t="shared" si="11"/>
        <v>8544</v>
      </c>
    </row>
    <row r="30" spans="1:55" s="64" customFormat="1" ht="12.75">
      <c r="A30" s="61">
        <v>24</v>
      </c>
      <c r="B30" s="31" t="s">
        <v>323</v>
      </c>
      <c r="C30" s="31">
        <f>SUM(C29:C29)</f>
        <v>0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24">
        <f t="shared" si="0"/>
        <v>0</v>
      </c>
      <c r="S30" s="31">
        <f aca="true" t="shared" si="13" ref="S30:AN30">SUM(S29:S29)</f>
        <v>1677</v>
      </c>
      <c r="T30" s="31">
        <f t="shared" si="13"/>
        <v>0</v>
      </c>
      <c r="U30" s="31">
        <f t="shared" si="13"/>
        <v>452</v>
      </c>
      <c r="V30" s="31">
        <f t="shared" si="13"/>
        <v>321</v>
      </c>
      <c r="W30" s="31">
        <f t="shared" si="13"/>
        <v>0</v>
      </c>
      <c r="X30" s="31">
        <f t="shared" si="13"/>
        <v>717</v>
      </c>
      <c r="Y30" s="31">
        <f t="shared" si="13"/>
        <v>0</v>
      </c>
      <c r="Z30" s="31">
        <f t="shared" si="13"/>
        <v>0</v>
      </c>
      <c r="AA30" s="31">
        <f t="shared" si="13"/>
        <v>0</v>
      </c>
      <c r="AB30" s="31">
        <f t="shared" si="13"/>
        <v>0</v>
      </c>
      <c r="AC30" s="31">
        <f t="shared" si="13"/>
        <v>0</v>
      </c>
      <c r="AD30" s="31">
        <f t="shared" si="13"/>
        <v>0</v>
      </c>
      <c r="AE30" s="31">
        <f t="shared" si="13"/>
        <v>452</v>
      </c>
      <c r="AF30" s="31">
        <f t="shared" si="13"/>
        <v>2669</v>
      </c>
      <c r="AG30" s="31">
        <f t="shared" si="13"/>
        <v>1465</v>
      </c>
      <c r="AH30" s="31">
        <f t="shared" si="13"/>
        <v>0</v>
      </c>
      <c r="AI30" s="31">
        <f t="shared" si="13"/>
        <v>31</v>
      </c>
      <c r="AJ30" s="31">
        <f t="shared" si="13"/>
        <v>0</v>
      </c>
      <c r="AK30" s="31">
        <f t="shared" si="13"/>
        <v>230</v>
      </c>
      <c r="AL30" s="31">
        <f t="shared" si="13"/>
        <v>205</v>
      </c>
      <c r="AM30" s="31">
        <f t="shared" si="13"/>
        <v>0</v>
      </c>
      <c r="AN30" s="31">
        <f t="shared" si="13"/>
        <v>0</v>
      </c>
      <c r="AO30" s="31"/>
      <c r="AP30" s="31">
        <f aca="true" t="shared" si="14" ref="AP30:BA30">SUM(AP29:AP29)</f>
        <v>29</v>
      </c>
      <c r="AQ30" s="31">
        <f t="shared" si="14"/>
        <v>0</v>
      </c>
      <c r="AR30" s="31">
        <f t="shared" si="14"/>
        <v>0</v>
      </c>
      <c r="AS30" s="31">
        <f t="shared" si="14"/>
        <v>162</v>
      </c>
      <c r="AT30" s="31">
        <f t="shared" si="14"/>
        <v>0</v>
      </c>
      <c r="AU30" s="31">
        <f t="shared" si="14"/>
        <v>0</v>
      </c>
      <c r="AV30" s="31">
        <f t="shared" si="14"/>
        <v>0</v>
      </c>
      <c r="AW30" s="31">
        <f t="shared" si="14"/>
        <v>0</v>
      </c>
      <c r="AX30" s="31">
        <f t="shared" si="14"/>
        <v>134</v>
      </c>
      <c r="AY30" s="31">
        <f t="shared" si="14"/>
        <v>0</v>
      </c>
      <c r="AZ30" s="31">
        <f t="shared" si="14"/>
        <v>0</v>
      </c>
      <c r="BA30" s="31">
        <f t="shared" si="14"/>
        <v>0</v>
      </c>
      <c r="BB30" s="24">
        <f t="shared" si="1"/>
        <v>6867</v>
      </c>
      <c r="BC30" s="31">
        <f t="shared" si="11"/>
        <v>8544</v>
      </c>
    </row>
    <row r="31" spans="1:55" ht="12.75">
      <c r="A31" s="61">
        <v>25</v>
      </c>
      <c r="B31" s="24" t="s">
        <v>324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>
        <f t="shared" si="0"/>
        <v>0</v>
      </c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>
        <v>36</v>
      </c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>
        <f t="shared" si="1"/>
        <v>36</v>
      </c>
      <c r="BC31" s="31">
        <f t="shared" si="11"/>
        <v>36</v>
      </c>
    </row>
    <row r="32" spans="1:55" ht="12.75">
      <c r="A32" s="164">
        <v>26</v>
      </c>
      <c r="B32" s="24" t="s">
        <v>325</v>
      </c>
      <c r="C32" s="24"/>
      <c r="D32" s="24"/>
      <c r="E32" s="24">
        <v>48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>
        <f t="shared" si="0"/>
        <v>48</v>
      </c>
      <c r="S32" s="24">
        <v>120</v>
      </c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>
        <v>120</v>
      </c>
      <c r="AH32" s="24"/>
      <c r="AI32" s="24"/>
      <c r="AJ32" s="24"/>
      <c r="AK32" s="24"/>
      <c r="AL32" s="24"/>
      <c r="AM32" s="24"/>
      <c r="AN32" s="24"/>
      <c r="AO32" s="24"/>
      <c r="AP32" s="24">
        <v>160</v>
      </c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>
        <f t="shared" si="1"/>
        <v>280</v>
      </c>
      <c r="BC32" s="31">
        <f t="shared" si="11"/>
        <v>448</v>
      </c>
    </row>
    <row r="33" spans="1:55" ht="12.75">
      <c r="A33" s="61">
        <v>27</v>
      </c>
      <c r="B33" s="24" t="s">
        <v>326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>
        <f t="shared" si="0"/>
        <v>0</v>
      </c>
      <c r="S33" s="24">
        <v>1163</v>
      </c>
      <c r="T33" s="24"/>
      <c r="U33" s="24">
        <v>450</v>
      </c>
      <c r="V33" s="24">
        <v>300</v>
      </c>
      <c r="W33" s="24"/>
      <c r="X33" s="24">
        <v>600</v>
      </c>
      <c r="Y33" s="24"/>
      <c r="Z33" s="24"/>
      <c r="AA33" s="24"/>
      <c r="AB33" s="24"/>
      <c r="AC33" s="24"/>
      <c r="AD33" s="24"/>
      <c r="AE33" s="24">
        <v>450</v>
      </c>
      <c r="AF33" s="24">
        <v>900</v>
      </c>
      <c r="AG33" s="24">
        <v>857</v>
      </c>
      <c r="AH33" s="24"/>
      <c r="AI33" s="24">
        <v>33</v>
      </c>
      <c r="AJ33" s="24"/>
      <c r="AK33" s="24">
        <v>263</v>
      </c>
      <c r="AL33" s="24">
        <v>150</v>
      </c>
      <c r="AM33" s="24"/>
      <c r="AN33" s="24"/>
      <c r="AO33" s="24"/>
      <c r="AP33" s="24">
        <v>150</v>
      </c>
      <c r="AQ33" s="24"/>
      <c r="AR33" s="24"/>
      <c r="AS33" s="24">
        <v>150</v>
      </c>
      <c r="AT33" s="24"/>
      <c r="AU33" s="24"/>
      <c r="AV33" s="24"/>
      <c r="AW33" s="24"/>
      <c r="AX33" s="24">
        <v>150</v>
      </c>
      <c r="AY33" s="24"/>
      <c r="AZ33" s="24"/>
      <c r="BA33" s="24"/>
      <c r="BB33" s="24">
        <f t="shared" si="1"/>
        <v>4453</v>
      </c>
      <c r="BC33" s="31">
        <f t="shared" si="11"/>
        <v>5616</v>
      </c>
    </row>
    <row r="34" spans="1:55" ht="12.75">
      <c r="A34" s="61">
        <v>28</v>
      </c>
      <c r="B34" s="24" t="s">
        <v>327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>
        <f t="shared" si="0"/>
        <v>0</v>
      </c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>
        <v>-372</v>
      </c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>
        <f t="shared" si="1"/>
        <v>-372</v>
      </c>
      <c r="BC34" s="31">
        <f t="shared" si="11"/>
        <v>-372</v>
      </c>
    </row>
    <row r="35" spans="1:55" s="64" customFormat="1" ht="12.75">
      <c r="A35" s="61">
        <v>29</v>
      </c>
      <c r="B35" s="31" t="s">
        <v>328</v>
      </c>
      <c r="C35" s="31">
        <f>SUM(C31:C34)</f>
        <v>0</v>
      </c>
      <c r="D35" s="31">
        <f aca="true" t="shared" si="15" ref="D35:Q35">SUM(D31:D34)</f>
        <v>0</v>
      </c>
      <c r="E35" s="31">
        <f t="shared" si="15"/>
        <v>48</v>
      </c>
      <c r="F35" s="31">
        <f t="shared" si="15"/>
        <v>0</v>
      </c>
      <c r="G35" s="31">
        <f t="shared" si="15"/>
        <v>0</v>
      </c>
      <c r="H35" s="31">
        <f t="shared" si="15"/>
        <v>0</v>
      </c>
      <c r="I35" s="31">
        <f t="shared" si="15"/>
        <v>0</v>
      </c>
      <c r="J35" s="31">
        <f t="shared" si="15"/>
        <v>0</v>
      </c>
      <c r="K35" s="31">
        <f t="shared" si="15"/>
        <v>0</v>
      </c>
      <c r="L35" s="31">
        <f t="shared" si="15"/>
        <v>0</v>
      </c>
      <c r="M35" s="31">
        <f t="shared" si="15"/>
        <v>0</v>
      </c>
      <c r="N35" s="31">
        <f t="shared" si="15"/>
        <v>0</v>
      </c>
      <c r="O35" s="31">
        <f t="shared" si="15"/>
        <v>0</v>
      </c>
      <c r="P35" s="31">
        <f t="shared" si="15"/>
        <v>0</v>
      </c>
      <c r="Q35" s="31">
        <f t="shared" si="15"/>
        <v>0</v>
      </c>
      <c r="R35" s="24">
        <f t="shared" si="0"/>
        <v>48</v>
      </c>
      <c r="S35" s="31">
        <f aca="true" t="shared" si="16" ref="S35:AN35">SUM(S31:S34)</f>
        <v>1283</v>
      </c>
      <c r="T35" s="31">
        <f t="shared" si="16"/>
        <v>0</v>
      </c>
      <c r="U35" s="31">
        <f t="shared" si="16"/>
        <v>450</v>
      </c>
      <c r="V35" s="31">
        <f t="shared" si="16"/>
        <v>300</v>
      </c>
      <c r="W35" s="31">
        <f t="shared" si="16"/>
        <v>0</v>
      </c>
      <c r="X35" s="31">
        <f t="shared" si="16"/>
        <v>600</v>
      </c>
      <c r="Y35" s="31">
        <f t="shared" si="16"/>
        <v>0</v>
      </c>
      <c r="Z35" s="31">
        <f t="shared" si="16"/>
        <v>0</v>
      </c>
      <c r="AA35" s="31">
        <f t="shared" si="16"/>
        <v>0</v>
      </c>
      <c r="AB35" s="31">
        <f t="shared" si="16"/>
        <v>0</v>
      </c>
      <c r="AC35" s="31">
        <f t="shared" si="16"/>
        <v>0</v>
      </c>
      <c r="AD35" s="31">
        <f t="shared" si="16"/>
        <v>0</v>
      </c>
      <c r="AE35" s="31">
        <f t="shared" si="16"/>
        <v>450</v>
      </c>
      <c r="AF35" s="31">
        <f>SUM(AF31:AF34)</f>
        <v>936</v>
      </c>
      <c r="AG35" s="31">
        <f t="shared" si="16"/>
        <v>605</v>
      </c>
      <c r="AH35" s="31">
        <f t="shared" si="16"/>
        <v>0</v>
      </c>
      <c r="AI35" s="31">
        <f t="shared" si="16"/>
        <v>33</v>
      </c>
      <c r="AJ35" s="31">
        <f t="shared" si="16"/>
        <v>0</v>
      </c>
      <c r="AK35" s="31">
        <f t="shared" si="16"/>
        <v>263</v>
      </c>
      <c r="AL35" s="31">
        <f t="shared" si="16"/>
        <v>150</v>
      </c>
      <c r="AM35" s="31">
        <f t="shared" si="16"/>
        <v>0</v>
      </c>
      <c r="AN35" s="31">
        <f t="shared" si="16"/>
        <v>0</v>
      </c>
      <c r="AO35" s="31"/>
      <c r="AP35" s="31">
        <f aca="true" t="shared" si="17" ref="AP35:BA35">SUM(AP31:AP34)</f>
        <v>310</v>
      </c>
      <c r="AQ35" s="31">
        <f t="shared" si="17"/>
        <v>0</v>
      </c>
      <c r="AR35" s="31">
        <f t="shared" si="17"/>
        <v>0</v>
      </c>
      <c r="AS35" s="31">
        <f t="shared" si="17"/>
        <v>150</v>
      </c>
      <c r="AT35" s="31">
        <f t="shared" si="17"/>
        <v>0</v>
      </c>
      <c r="AU35" s="31">
        <f t="shared" si="17"/>
        <v>0</v>
      </c>
      <c r="AV35" s="31">
        <f t="shared" si="17"/>
        <v>0</v>
      </c>
      <c r="AW35" s="31">
        <f t="shared" si="17"/>
        <v>0</v>
      </c>
      <c r="AX35" s="31">
        <f t="shared" si="17"/>
        <v>150</v>
      </c>
      <c r="AY35" s="31">
        <f t="shared" si="17"/>
        <v>0</v>
      </c>
      <c r="AZ35" s="31">
        <f t="shared" si="17"/>
        <v>0</v>
      </c>
      <c r="BA35" s="31">
        <f t="shared" si="17"/>
        <v>0</v>
      </c>
      <c r="BB35" s="24">
        <f t="shared" si="1"/>
        <v>4397</v>
      </c>
      <c r="BC35" s="31">
        <f t="shared" si="11"/>
        <v>5728</v>
      </c>
    </row>
    <row r="36" spans="1:55" ht="12.75">
      <c r="A36" s="164">
        <v>30</v>
      </c>
      <c r="B36" s="24" t="s">
        <v>682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>
        <f t="shared" si="0"/>
        <v>0</v>
      </c>
      <c r="S36" s="24">
        <v>118</v>
      </c>
      <c r="T36" s="24"/>
      <c r="U36" s="24">
        <v>232</v>
      </c>
      <c r="V36" s="24">
        <v>136</v>
      </c>
      <c r="W36" s="24"/>
      <c r="X36" s="24">
        <v>214</v>
      </c>
      <c r="Y36" s="24"/>
      <c r="Z36" s="24"/>
      <c r="AA36" s="24"/>
      <c r="AB36" s="24"/>
      <c r="AC36" s="24"/>
      <c r="AD36" s="24"/>
      <c r="AE36" s="24">
        <v>199</v>
      </c>
      <c r="AF36" s="24">
        <v>393</v>
      </c>
      <c r="AG36" s="24">
        <v>326</v>
      </c>
      <c r="AH36" s="24"/>
      <c r="AI36" s="24"/>
      <c r="AJ36" s="24"/>
      <c r="AK36" s="24">
        <v>148</v>
      </c>
      <c r="AL36" s="24">
        <v>146</v>
      </c>
      <c r="AM36" s="24"/>
      <c r="AN36" s="24"/>
      <c r="AO36" s="24"/>
      <c r="AP36" s="24"/>
      <c r="AQ36" s="24"/>
      <c r="AR36" s="24"/>
      <c r="AS36" s="24">
        <v>78</v>
      </c>
      <c r="AT36" s="24"/>
      <c r="AU36" s="24"/>
      <c r="AV36" s="24"/>
      <c r="AW36" s="24"/>
      <c r="AX36" s="24">
        <v>143</v>
      </c>
      <c r="AY36" s="24"/>
      <c r="AZ36" s="24"/>
      <c r="BA36" s="24"/>
      <c r="BB36" s="24">
        <f t="shared" si="1"/>
        <v>2015</v>
      </c>
      <c r="BC36" s="31">
        <f t="shared" si="11"/>
        <v>2133</v>
      </c>
    </row>
    <row r="37" spans="1:55" s="64" customFormat="1" ht="12.75">
      <c r="A37" s="61">
        <v>31</v>
      </c>
      <c r="B37" s="31" t="s">
        <v>329</v>
      </c>
      <c r="C37" s="31">
        <f>SUM(C35:C36)</f>
        <v>0</v>
      </c>
      <c r="D37" s="31">
        <f aca="true" t="shared" si="18" ref="D37:Q37">SUM(D35:D36)</f>
        <v>0</v>
      </c>
      <c r="E37" s="31">
        <f t="shared" si="18"/>
        <v>48</v>
      </c>
      <c r="F37" s="31">
        <f t="shared" si="18"/>
        <v>0</v>
      </c>
      <c r="G37" s="31">
        <f t="shared" si="18"/>
        <v>0</v>
      </c>
      <c r="H37" s="31">
        <f t="shared" si="18"/>
        <v>0</v>
      </c>
      <c r="I37" s="31">
        <f t="shared" si="18"/>
        <v>0</v>
      </c>
      <c r="J37" s="31">
        <f t="shared" si="18"/>
        <v>0</v>
      </c>
      <c r="K37" s="31">
        <f t="shared" si="18"/>
        <v>0</v>
      </c>
      <c r="L37" s="31">
        <f t="shared" si="18"/>
        <v>0</v>
      </c>
      <c r="M37" s="31">
        <f t="shared" si="18"/>
        <v>0</v>
      </c>
      <c r="N37" s="31">
        <f t="shared" si="18"/>
        <v>0</v>
      </c>
      <c r="O37" s="31">
        <f t="shared" si="18"/>
        <v>0</v>
      </c>
      <c r="P37" s="31">
        <f t="shared" si="18"/>
        <v>0</v>
      </c>
      <c r="Q37" s="31">
        <f t="shared" si="18"/>
        <v>0</v>
      </c>
      <c r="R37" s="24">
        <f t="shared" si="0"/>
        <v>48</v>
      </c>
      <c r="S37" s="31">
        <f>SUM(S35,S36)</f>
        <v>1401</v>
      </c>
      <c r="T37" s="31">
        <f>SUM(T35,T36)</f>
        <v>0</v>
      </c>
      <c r="U37" s="31">
        <f aca="true" t="shared" si="19" ref="U37:AK37">SUM(U35,U36)</f>
        <v>682</v>
      </c>
      <c r="V37" s="31">
        <f t="shared" si="19"/>
        <v>436</v>
      </c>
      <c r="W37" s="31">
        <f t="shared" si="19"/>
        <v>0</v>
      </c>
      <c r="X37" s="31">
        <f t="shared" si="19"/>
        <v>814</v>
      </c>
      <c r="Y37" s="31">
        <f t="shared" si="19"/>
        <v>0</v>
      </c>
      <c r="Z37" s="31">
        <f t="shared" si="19"/>
        <v>0</v>
      </c>
      <c r="AA37" s="31">
        <f t="shared" si="19"/>
        <v>0</v>
      </c>
      <c r="AB37" s="31">
        <f t="shared" si="19"/>
        <v>0</v>
      </c>
      <c r="AC37" s="31">
        <f t="shared" si="19"/>
        <v>0</v>
      </c>
      <c r="AD37" s="31">
        <f t="shared" si="19"/>
        <v>0</v>
      </c>
      <c r="AE37" s="31">
        <f t="shared" si="19"/>
        <v>649</v>
      </c>
      <c r="AF37" s="31">
        <f t="shared" si="19"/>
        <v>1329</v>
      </c>
      <c r="AG37" s="31">
        <f t="shared" si="19"/>
        <v>931</v>
      </c>
      <c r="AH37" s="31">
        <f t="shared" si="19"/>
        <v>0</v>
      </c>
      <c r="AI37" s="31">
        <f t="shared" si="19"/>
        <v>33</v>
      </c>
      <c r="AJ37" s="31">
        <f t="shared" si="19"/>
        <v>0</v>
      </c>
      <c r="AK37" s="31">
        <f t="shared" si="19"/>
        <v>411</v>
      </c>
      <c r="AL37" s="31">
        <f>SUM(AL35,AL36)</f>
        <v>296</v>
      </c>
      <c r="AM37" s="31">
        <f>SUM(AM35,AM36)</f>
        <v>0</v>
      </c>
      <c r="AN37" s="31">
        <f>SUM(AN35,AN36)</f>
        <v>0</v>
      </c>
      <c r="AO37" s="31"/>
      <c r="AP37" s="31">
        <f>SUM(AP35,AP36)</f>
        <v>310</v>
      </c>
      <c r="AQ37" s="31">
        <f aca="true" t="shared" si="20" ref="AQ37:BA37">SUM(AQ35,AQ36)</f>
        <v>0</v>
      </c>
      <c r="AR37" s="31">
        <f t="shared" si="20"/>
        <v>0</v>
      </c>
      <c r="AS37" s="31">
        <f t="shared" si="20"/>
        <v>228</v>
      </c>
      <c r="AT37" s="31">
        <f t="shared" si="20"/>
        <v>0</v>
      </c>
      <c r="AU37" s="31">
        <f t="shared" si="20"/>
        <v>0</v>
      </c>
      <c r="AV37" s="31">
        <f t="shared" si="20"/>
        <v>0</v>
      </c>
      <c r="AW37" s="31">
        <f t="shared" si="20"/>
        <v>0</v>
      </c>
      <c r="AX37" s="31">
        <f t="shared" si="20"/>
        <v>293</v>
      </c>
      <c r="AY37" s="31">
        <f t="shared" si="20"/>
        <v>0</v>
      </c>
      <c r="AZ37" s="31">
        <f t="shared" si="20"/>
        <v>0</v>
      </c>
      <c r="BA37" s="31">
        <f t="shared" si="20"/>
        <v>0</v>
      </c>
      <c r="BB37" s="24">
        <f t="shared" si="1"/>
        <v>6412</v>
      </c>
      <c r="BC37" s="31">
        <f t="shared" si="11"/>
        <v>7861</v>
      </c>
    </row>
    <row r="38" spans="1:55" ht="12.75">
      <c r="A38" s="61">
        <v>32</v>
      </c>
      <c r="B38" s="24" t="s">
        <v>330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>
        <f t="shared" si="0"/>
        <v>0</v>
      </c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>
        <f t="shared" si="1"/>
        <v>0</v>
      </c>
      <c r="BC38" s="31">
        <f t="shared" si="11"/>
        <v>0</v>
      </c>
    </row>
    <row r="39" spans="1:55" ht="12.75">
      <c r="A39" s="61">
        <v>33</v>
      </c>
      <c r="B39" s="24" t="s">
        <v>331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>
        <f t="shared" si="0"/>
        <v>0</v>
      </c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>
        <f t="shared" si="1"/>
        <v>0</v>
      </c>
      <c r="BC39" s="31">
        <f t="shared" si="11"/>
        <v>0</v>
      </c>
    </row>
    <row r="40" spans="1:55" s="64" customFormat="1" ht="12.75">
      <c r="A40" s="164">
        <v>34</v>
      </c>
      <c r="B40" s="31" t="s">
        <v>332</v>
      </c>
      <c r="C40" s="31">
        <f>SUM(C38:C39)</f>
        <v>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24">
        <f t="shared" si="0"/>
        <v>0</v>
      </c>
      <c r="S40" s="31"/>
      <c r="T40" s="31">
        <f>SUM(T38:T39)</f>
        <v>0</v>
      </c>
      <c r="U40" s="31">
        <f aca="true" t="shared" si="21" ref="U40:AK40">SUM(U38:U39)</f>
        <v>0</v>
      </c>
      <c r="V40" s="31">
        <f t="shared" si="21"/>
        <v>0</v>
      </c>
      <c r="W40" s="31">
        <f t="shared" si="21"/>
        <v>0</v>
      </c>
      <c r="X40" s="31">
        <f t="shared" si="21"/>
        <v>0</v>
      </c>
      <c r="Y40" s="31">
        <f t="shared" si="21"/>
        <v>0</v>
      </c>
      <c r="Z40" s="31">
        <f t="shared" si="21"/>
        <v>0</v>
      </c>
      <c r="AA40" s="31">
        <f t="shared" si="21"/>
        <v>0</v>
      </c>
      <c r="AB40" s="31">
        <f t="shared" si="21"/>
        <v>0</v>
      </c>
      <c r="AC40" s="31">
        <f t="shared" si="21"/>
        <v>0</v>
      </c>
      <c r="AD40" s="31">
        <f t="shared" si="21"/>
        <v>0</v>
      </c>
      <c r="AE40" s="31">
        <f t="shared" si="21"/>
        <v>0</v>
      </c>
      <c r="AF40" s="31">
        <f t="shared" si="21"/>
        <v>0</v>
      </c>
      <c r="AG40" s="31">
        <f t="shared" si="21"/>
        <v>0</v>
      </c>
      <c r="AH40" s="31">
        <f t="shared" si="21"/>
        <v>0</v>
      </c>
      <c r="AI40" s="31">
        <f t="shared" si="21"/>
        <v>0</v>
      </c>
      <c r="AJ40" s="31">
        <f t="shared" si="21"/>
        <v>0</v>
      </c>
      <c r="AK40" s="31">
        <f t="shared" si="21"/>
        <v>0</v>
      </c>
      <c r="AL40" s="31">
        <f>SUM(AL38:AL39)</f>
        <v>0</v>
      </c>
      <c r="AM40" s="31">
        <f>SUM(AM38:AM39)</f>
        <v>0</v>
      </c>
      <c r="AN40" s="31">
        <f>SUM(AN38:AN39)</f>
        <v>0</v>
      </c>
      <c r="AO40" s="31"/>
      <c r="AP40" s="31">
        <f>SUM(AP38:AP39)</f>
        <v>0</v>
      </c>
      <c r="AQ40" s="31">
        <f aca="true" t="shared" si="22" ref="AQ40:BA40">SUM(AQ38:AQ39)</f>
        <v>0</v>
      </c>
      <c r="AR40" s="31">
        <f t="shared" si="22"/>
        <v>0</v>
      </c>
      <c r="AS40" s="31">
        <f t="shared" si="22"/>
        <v>0</v>
      </c>
      <c r="AT40" s="31">
        <f t="shared" si="22"/>
        <v>0</v>
      </c>
      <c r="AU40" s="31">
        <f t="shared" si="22"/>
        <v>0</v>
      </c>
      <c r="AV40" s="31">
        <f t="shared" si="22"/>
        <v>0</v>
      </c>
      <c r="AW40" s="31">
        <f t="shared" si="22"/>
        <v>0</v>
      </c>
      <c r="AX40" s="31">
        <f t="shared" si="22"/>
        <v>0</v>
      </c>
      <c r="AY40" s="31">
        <f t="shared" si="22"/>
        <v>0</v>
      </c>
      <c r="AZ40" s="31">
        <f t="shared" si="22"/>
        <v>0</v>
      </c>
      <c r="BA40" s="31">
        <f t="shared" si="22"/>
        <v>0</v>
      </c>
      <c r="BB40" s="24">
        <f t="shared" si="1"/>
        <v>0</v>
      </c>
      <c r="BC40" s="31">
        <f t="shared" si="11"/>
        <v>0</v>
      </c>
    </row>
    <row r="41" spans="1:55" ht="12.75">
      <c r="A41" s="61">
        <v>35</v>
      </c>
      <c r="B41" s="24" t="s">
        <v>333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>
        <f t="shared" si="0"/>
        <v>0</v>
      </c>
      <c r="S41" s="24">
        <v>60</v>
      </c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>
        <v>100</v>
      </c>
      <c r="AG41" s="24">
        <v>256</v>
      </c>
      <c r="AH41" s="24"/>
      <c r="AI41" s="24"/>
      <c r="AJ41" s="24"/>
      <c r="AK41" s="24"/>
      <c r="AL41" s="24"/>
      <c r="AM41" s="24"/>
      <c r="AN41" s="24"/>
      <c r="AO41" s="24"/>
      <c r="AP41" s="24">
        <v>10</v>
      </c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>
        <f t="shared" si="1"/>
        <v>366</v>
      </c>
      <c r="BC41" s="31">
        <f t="shared" si="11"/>
        <v>426</v>
      </c>
    </row>
    <row r="42" spans="1:55" ht="12.75">
      <c r="A42" s="61">
        <v>36</v>
      </c>
      <c r="B42" s="24" t="s">
        <v>334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>
        <f t="shared" si="0"/>
        <v>0</v>
      </c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>
        <f t="shared" si="1"/>
        <v>0</v>
      </c>
      <c r="BC42" s="31">
        <f t="shared" si="11"/>
        <v>0</v>
      </c>
    </row>
    <row r="43" spans="1:55" ht="12.75">
      <c r="A43" s="61">
        <v>37</v>
      </c>
      <c r="B43" s="24" t="s">
        <v>335</v>
      </c>
      <c r="C43" s="24">
        <f>SUM(C41:C42)</f>
        <v>0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>
        <f t="shared" si="0"/>
        <v>0</v>
      </c>
      <c r="S43" s="31">
        <f aca="true" t="shared" si="23" ref="S43:AN43">SUM(S41:S42)</f>
        <v>60</v>
      </c>
      <c r="T43" s="31">
        <f t="shared" si="23"/>
        <v>0</v>
      </c>
      <c r="U43" s="31">
        <f t="shared" si="23"/>
        <v>0</v>
      </c>
      <c r="V43" s="31">
        <f t="shared" si="23"/>
        <v>0</v>
      </c>
      <c r="W43" s="31">
        <f t="shared" si="23"/>
        <v>0</v>
      </c>
      <c r="X43" s="31">
        <f t="shared" si="23"/>
        <v>0</v>
      </c>
      <c r="Y43" s="31">
        <f t="shared" si="23"/>
        <v>0</v>
      </c>
      <c r="Z43" s="31">
        <f t="shared" si="23"/>
        <v>0</v>
      </c>
      <c r="AA43" s="31">
        <f t="shared" si="23"/>
        <v>0</v>
      </c>
      <c r="AB43" s="31">
        <f t="shared" si="23"/>
        <v>0</v>
      </c>
      <c r="AC43" s="31">
        <f t="shared" si="23"/>
        <v>0</v>
      </c>
      <c r="AD43" s="31">
        <f t="shared" si="23"/>
        <v>0</v>
      </c>
      <c r="AE43" s="31">
        <f t="shared" si="23"/>
        <v>0</v>
      </c>
      <c r="AF43" s="31">
        <f t="shared" si="23"/>
        <v>100</v>
      </c>
      <c r="AG43" s="31">
        <f t="shared" si="23"/>
        <v>256</v>
      </c>
      <c r="AH43" s="31">
        <f t="shared" si="23"/>
        <v>0</v>
      </c>
      <c r="AI43" s="31">
        <f t="shared" si="23"/>
        <v>0</v>
      </c>
      <c r="AJ43" s="31">
        <f t="shared" si="23"/>
        <v>0</v>
      </c>
      <c r="AK43" s="31">
        <f t="shared" si="23"/>
        <v>0</v>
      </c>
      <c r="AL43" s="31">
        <f t="shared" si="23"/>
        <v>0</v>
      </c>
      <c r="AM43" s="31">
        <f t="shared" si="23"/>
        <v>0</v>
      </c>
      <c r="AN43" s="31">
        <f t="shared" si="23"/>
        <v>0</v>
      </c>
      <c r="AO43" s="31"/>
      <c r="AP43" s="31">
        <f>SUM(AP41:AP42)</f>
        <v>10</v>
      </c>
      <c r="AQ43" s="31">
        <f aca="true" t="shared" si="24" ref="AQ43:BA43">SUM(AQ41:AQ42)</f>
        <v>0</v>
      </c>
      <c r="AR43" s="31">
        <f t="shared" si="24"/>
        <v>0</v>
      </c>
      <c r="AS43" s="31">
        <f t="shared" si="24"/>
        <v>0</v>
      </c>
      <c r="AT43" s="31">
        <f t="shared" si="24"/>
        <v>0</v>
      </c>
      <c r="AU43" s="31">
        <f t="shared" si="24"/>
        <v>0</v>
      </c>
      <c r="AV43" s="31">
        <f t="shared" si="24"/>
        <v>0</v>
      </c>
      <c r="AW43" s="31">
        <f t="shared" si="24"/>
        <v>0</v>
      </c>
      <c r="AX43" s="31">
        <f t="shared" si="24"/>
        <v>0</v>
      </c>
      <c r="AY43" s="31">
        <f t="shared" si="24"/>
        <v>0</v>
      </c>
      <c r="AZ43" s="31">
        <f t="shared" si="24"/>
        <v>0</v>
      </c>
      <c r="BA43" s="31">
        <f t="shared" si="24"/>
        <v>0</v>
      </c>
      <c r="BB43" s="24">
        <f t="shared" si="1"/>
        <v>366</v>
      </c>
      <c r="BC43" s="31">
        <f t="shared" si="11"/>
        <v>426</v>
      </c>
    </row>
    <row r="44" spans="1:55" s="64" customFormat="1" ht="12.75">
      <c r="A44" s="164">
        <v>38</v>
      </c>
      <c r="B44" s="31" t="s">
        <v>336</v>
      </c>
      <c r="C44" s="31">
        <f>C43+C40+C37+C30+C22</f>
        <v>0</v>
      </c>
      <c r="D44" s="31">
        <f aca="true" t="shared" si="25" ref="D44:Q44">D43+D40+D37+D30+D22</f>
        <v>0</v>
      </c>
      <c r="E44" s="31">
        <f t="shared" si="25"/>
        <v>48</v>
      </c>
      <c r="F44" s="31">
        <f t="shared" si="25"/>
        <v>0</v>
      </c>
      <c r="G44" s="31">
        <f t="shared" si="25"/>
        <v>0</v>
      </c>
      <c r="H44" s="31">
        <f t="shared" si="25"/>
        <v>0</v>
      </c>
      <c r="I44" s="31">
        <f t="shared" si="25"/>
        <v>0</v>
      </c>
      <c r="J44" s="31">
        <f t="shared" si="25"/>
        <v>0</v>
      </c>
      <c r="K44" s="31">
        <f t="shared" si="25"/>
        <v>0</v>
      </c>
      <c r="L44" s="31">
        <f t="shared" si="25"/>
        <v>0</v>
      </c>
      <c r="M44" s="31">
        <f t="shared" si="25"/>
        <v>0</v>
      </c>
      <c r="N44" s="31">
        <f t="shared" si="25"/>
        <v>0</v>
      </c>
      <c r="O44" s="31">
        <f t="shared" si="25"/>
        <v>0</v>
      </c>
      <c r="P44" s="31">
        <f t="shared" si="25"/>
        <v>0</v>
      </c>
      <c r="Q44" s="31">
        <f t="shared" si="25"/>
        <v>0</v>
      </c>
      <c r="R44" s="24">
        <f t="shared" si="0"/>
        <v>48</v>
      </c>
      <c r="S44" s="31">
        <f>SUM(S43,S40,S37,S30,S22)</f>
        <v>3338</v>
      </c>
      <c r="T44" s="31">
        <f aca="true" t="shared" si="26" ref="T44:AN44">SUM(T43,T40,T37,T30,T22)</f>
        <v>0</v>
      </c>
      <c r="U44" s="31">
        <f t="shared" si="26"/>
        <v>1134</v>
      </c>
      <c r="V44" s="31">
        <f t="shared" si="26"/>
        <v>757</v>
      </c>
      <c r="W44" s="31">
        <f t="shared" si="26"/>
        <v>0</v>
      </c>
      <c r="X44" s="31">
        <f t="shared" si="26"/>
        <v>1531</v>
      </c>
      <c r="Y44" s="31">
        <f t="shared" si="26"/>
        <v>0</v>
      </c>
      <c r="Z44" s="31">
        <f t="shared" si="26"/>
        <v>0</v>
      </c>
      <c r="AA44" s="31">
        <f t="shared" si="26"/>
        <v>0</v>
      </c>
      <c r="AB44" s="31">
        <f t="shared" si="26"/>
        <v>0</v>
      </c>
      <c r="AC44" s="31">
        <f t="shared" si="26"/>
        <v>0</v>
      </c>
      <c r="AD44" s="31">
        <f t="shared" si="26"/>
        <v>0</v>
      </c>
      <c r="AE44" s="31">
        <f t="shared" si="26"/>
        <v>1101</v>
      </c>
      <c r="AF44" s="31">
        <f t="shared" si="26"/>
        <v>4128</v>
      </c>
      <c r="AG44" s="31">
        <f t="shared" si="26"/>
        <v>2852</v>
      </c>
      <c r="AH44" s="31">
        <f t="shared" si="26"/>
        <v>0</v>
      </c>
      <c r="AI44" s="31">
        <f t="shared" si="26"/>
        <v>64</v>
      </c>
      <c r="AJ44" s="31">
        <f t="shared" si="26"/>
        <v>0</v>
      </c>
      <c r="AK44" s="31">
        <f t="shared" si="26"/>
        <v>641</v>
      </c>
      <c r="AL44" s="31">
        <f t="shared" si="26"/>
        <v>501</v>
      </c>
      <c r="AM44" s="31">
        <f t="shared" si="26"/>
        <v>0</v>
      </c>
      <c r="AN44" s="31">
        <f t="shared" si="26"/>
        <v>0</v>
      </c>
      <c r="AO44" s="31"/>
      <c r="AP44" s="31">
        <f aca="true" t="shared" si="27" ref="AP44:BA44">SUM(AP43,AP40,AP37,AP30,AP22)</f>
        <v>349</v>
      </c>
      <c r="AQ44" s="31">
        <f t="shared" si="27"/>
        <v>0</v>
      </c>
      <c r="AR44" s="31">
        <f t="shared" si="27"/>
        <v>0</v>
      </c>
      <c r="AS44" s="31">
        <f t="shared" si="27"/>
        <v>490</v>
      </c>
      <c r="AT44" s="31">
        <f t="shared" si="27"/>
        <v>0</v>
      </c>
      <c r="AU44" s="31">
        <f t="shared" si="27"/>
        <v>0</v>
      </c>
      <c r="AV44" s="31">
        <f t="shared" si="27"/>
        <v>0</v>
      </c>
      <c r="AW44" s="31">
        <f t="shared" si="27"/>
        <v>0</v>
      </c>
      <c r="AX44" s="31">
        <f t="shared" si="27"/>
        <v>427</v>
      </c>
      <c r="AY44" s="31">
        <f t="shared" si="27"/>
        <v>0</v>
      </c>
      <c r="AZ44" s="31">
        <f t="shared" si="27"/>
        <v>0</v>
      </c>
      <c r="BA44" s="31">
        <f t="shared" si="27"/>
        <v>0</v>
      </c>
      <c r="BB44" s="24">
        <f t="shared" si="1"/>
        <v>13975</v>
      </c>
      <c r="BC44" s="31">
        <f t="shared" si="11"/>
        <v>17361</v>
      </c>
    </row>
    <row r="45" spans="1:55" ht="12.75">
      <c r="A45" s="61">
        <v>39</v>
      </c>
      <c r="B45" s="24" t="s">
        <v>337</v>
      </c>
      <c r="C45" s="24">
        <v>698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>
        <f t="shared" si="0"/>
        <v>698</v>
      </c>
      <c r="S45" s="24">
        <v>25</v>
      </c>
      <c r="T45" s="24"/>
      <c r="U45" s="24"/>
      <c r="V45" s="24"/>
      <c r="W45" s="24"/>
      <c r="X45" s="24">
        <v>420</v>
      </c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>
        <v>465</v>
      </c>
      <c r="AL45" s="24"/>
      <c r="AM45" s="24"/>
      <c r="AN45" s="24"/>
      <c r="AO45" s="24"/>
      <c r="AP45" s="24">
        <v>122</v>
      </c>
      <c r="AQ45" s="24"/>
      <c r="AR45" s="24"/>
      <c r="AS45" s="24"/>
      <c r="AT45" s="24"/>
      <c r="AU45" s="24"/>
      <c r="AV45" s="24"/>
      <c r="AW45" s="24"/>
      <c r="AX45" s="24"/>
      <c r="AY45" s="24"/>
      <c r="AZ45" s="24">
        <v>300</v>
      </c>
      <c r="BA45" s="24"/>
      <c r="BB45" s="24">
        <f>SUM(T45:BA45)</f>
        <v>1307</v>
      </c>
      <c r="BC45" s="31">
        <f t="shared" si="11"/>
        <v>2030</v>
      </c>
    </row>
    <row r="46" spans="1:55" ht="12.75">
      <c r="A46" s="61">
        <v>40</v>
      </c>
      <c r="B46" s="24" t="s">
        <v>338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>
        <f t="shared" si="0"/>
        <v>0</v>
      </c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>
        <f>'[2]750000'!G7</f>
        <v>0</v>
      </c>
      <c r="AD46" s="24"/>
      <c r="AE46" s="24"/>
      <c r="AF46" s="24"/>
      <c r="AG46" s="24">
        <v>2103</v>
      </c>
      <c r="AH46" s="24"/>
      <c r="AI46" s="24"/>
      <c r="AJ46" s="24"/>
      <c r="AK46" s="24"/>
      <c r="AL46" s="24">
        <v>200</v>
      </c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>
        <v>420</v>
      </c>
      <c r="AX46" s="24">
        <v>80</v>
      </c>
      <c r="AY46" s="24"/>
      <c r="AZ46" s="24"/>
      <c r="BA46" s="24">
        <v>140</v>
      </c>
      <c r="BB46" s="24">
        <f>SUM(T46:BA46)</f>
        <v>2943</v>
      </c>
      <c r="BC46" s="31">
        <f t="shared" si="11"/>
        <v>2943</v>
      </c>
    </row>
    <row r="47" spans="1:55" ht="12.75">
      <c r="A47" s="61">
        <v>41</v>
      </c>
      <c r="B47" s="24" t="s">
        <v>339</v>
      </c>
      <c r="C47" s="24">
        <v>3882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>
        <f t="shared" si="0"/>
        <v>3882</v>
      </c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>
        <f>SUM(T47:BA47)</f>
        <v>0</v>
      </c>
      <c r="BC47" s="31">
        <f t="shared" si="11"/>
        <v>3882</v>
      </c>
    </row>
    <row r="48" spans="1:55" ht="12.75">
      <c r="A48" s="164">
        <v>42</v>
      </c>
      <c r="B48" s="24" t="s">
        <v>340</v>
      </c>
      <c r="C48" s="24">
        <v>1976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>
        <f t="shared" si="0"/>
        <v>1976</v>
      </c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>
        <f>SUM(T48:BA48)</f>
        <v>0</v>
      </c>
      <c r="BC48" s="31">
        <f t="shared" si="11"/>
        <v>1976</v>
      </c>
    </row>
    <row r="49" spans="1:56" s="166" customFormat="1" ht="12.75">
      <c r="A49" s="61">
        <v>43</v>
      </c>
      <c r="B49" s="34" t="s">
        <v>341</v>
      </c>
      <c r="C49" s="31">
        <f>SUM(C45:C48)</f>
        <v>6556</v>
      </c>
      <c r="D49" s="31">
        <f aca="true" t="shared" si="28" ref="D49:Q49">SUM(D45:D48)</f>
        <v>0</v>
      </c>
      <c r="E49" s="31">
        <f t="shared" si="28"/>
        <v>0</v>
      </c>
      <c r="F49" s="31">
        <f t="shared" si="28"/>
        <v>0</v>
      </c>
      <c r="G49" s="31">
        <f t="shared" si="28"/>
        <v>0</v>
      </c>
      <c r="H49" s="31">
        <f t="shared" si="28"/>
        <v>0</v>
      </c>
      <c r="I49" s="31">
        <f t="shared" si="28"/>
        <v>0</v>
      </c>
      <c r="J49" s="31">
        <f t="shared" si="28"/>
        <v>0</v>
      </c>
      <c r="K49" s="31">
        <f t="shared" si="28"/>
        <v>0</v>
      </c>
      <c r="L49" s="31">
        <f t="shared" si="28"/>
        <v>0</v>
      </c>
      <c r="M49" s="31">
        <f t="shared" si="28"/>
        <v>0</v>
      </c>
      <c r="N49" s="31">
        <f t="shared" si="28"/>
        <v>0</v>
      </c>
      <c r="O49" s="31">
        <f t="shared" si="28"/>
        <v>0</v>
      </c>
      <c r="P49" s="31">
        <f t="shared" si="28"/>
        <v>0</v>
      </c>
      <c r="Q49" s="31">
        <f t="shared" si="28"/>
        <v>0</v>
      </c>
      <c r="R49" s="31">
        <f t="shared" si="0"/>
        <v>6556</v>
      </c>
      <c r="S49" s="31">
        <f aca="true" t="shared" si="29" ref="S49:AI49">SUM(S45:S48)</f>
        <v>25</v>
      </c>
      <c r="T49" s="31">
        <f t="shared" si="29"/>
        <v>0</v>
      </c>
      <c r="U49" s="31">
        <f t="shared" si="29"/>
        <v>0</v>
      </c>
      <c r="V49" s="31">
        <f t="shared" si="29"/>
        <v>0</v>
      </c>
      <c r="W49" s="31">
        <f t="shared" si="29"/>
        <v>0</v>
      </c>
      <c r="X49" s="31">
        <f t="shared" si="29"/>
        <v>420</v>
      </c>
      <c r="Y49" s="31">
        <f t="shared" si="29"/>
        <v>0</v>
      </c>
      <c r="Z49" s="31">
        <f t="shared" si="29"/>
        <v>0</v>
      </c>
      <c r="AA49" s="31">
        <f t="shared" si="29"/>
        <v>0</v>
      </c>
      <c r="AB49" s="31">
        <f t="shared" si="29"/>
        <v>0</v>
      </c>
      <c r="AC49" s="31">
        <f t="shared" si="29"/>
        <v>0</v>
      </c>
      <c r="AD49" s="31">
        <f t="shared" si="29"/>
        <v>0</v>
      </c>
      <c r="AE49" s="31">
        <f t="shared" si="29"/>
        <v>0</v>
      </c>
      <c r="AF49" s="31">
        <f t="shared" si="29"/>
        <v>0</v>
      </c>
      <c r="AG49" s="31">
        <f t="shared" si="29"/>
        <v>2103</v>
      </c>
      <c r="AH49" s="31">
        <f t="shared" si="29"/>
        <v>0</v>
      </c>
      <c r="AI49" s="31">
        <f t="shared" si="29"/>
        <v>0</v>
      </c>
      <c r="AJ49" s="31">
        <f>SUM(AJ45:AJ48)</f>
        <v>0</v>
      </c>
      <c r="AK49" s="31">
        <f>SUM(AK45:AK48)</f>
        <v>465</v>
      </c>
      <c r="AL49" s="31">
        <f>SUM(AL45:AL48)</f>
        <v>200</v>
      </c>
      <c r="AM49" s="31">
        <f>SUM(AM45:AM48)</f>
        <v>0</v>
      </c>
      <c r="AN49" s="31">
        <f>SUM(AN45:AN48)</f>
        <v>0</v>
      </c>
      <c r="AO49" s="31"/>
      <c r="AP49" s="31">
        <f>SUM(AP45:AP48)</f>
        <v>122</v>
      </c>
      <c r="AQ49" s="31">
        <f aca="true" t="shared" si="30" ref="AQ49:BA49">SUM(AQ45:AQ48)</f>
        <v>0</v>
      </c>
      <c r="AR49" s="31">
        <f t="shared" si="30"/>
        <v>0</v>
      </c>
      <c r="AS49" s="31">
        <f t="shared" si="30"/>
        <v>0</v>
      </c>
      <c r="AT49" s="31">
        <f t="shared" si="30"/>
        <v>0</v>
      </c>
      <c r="AU49" s="31">
        <f t="shared" si="30"/>
        <v>0</v>
      </c>
      <c r="AV49" s="31">
        <f t="shared" si="30"/>
        <v>0</v>
      </c>
      <c r="AW49" s="31">
        <f t="shared" si="30"/>
        <v>420</v>
      </c>
      <c r="AX49" s="31">
        <f t="shared" si="30"/>
        <v>80</v>
      </c>
      <c r="AY49" s="31">
        <f t="shared" si="30"/>
        <v>0</v>
      </c>
      <c r="AZ49" s="31">
        <f t="shared" si="30"/>
        <v>300</v>
      </c>
      <c r="BA49" s="31">
        <f t="shared" si="30"/>
        <v>140</v>
      </c>
      <c r="BB49" s="31">
        <f t="shared" si="1"/>
        <v>4250</v>
      </c>
      <c r="BC49" s="31">
        <f t="shared" si="11"/>
        <v>10831</v>
      </c>
      <c r="BD49" s="166">
        <v>10731</v>
      </c>
    </row>
    <row r="50" spans="1:56" s="64" customFormat="1" ht="12.75">
      <c r="A50" s="61">
        <v>44</v>
      </c>
      <c r="B50" s="31" t="s">
        <v>212</v>
      </c>
      <c r="C50" s="31">
        <f>SUM(C49,C44,C17)</f>
        <v>6556</v>
      </c>
      <c r="D50" s="31">
        <f aca="true" t="shared" si="31" ref="D50:Q50">SUM(D49,D44,D17)</f>
        <v>0</v>
      </c>
      <c r="E50" s="31">
        <f t="shared" si="31"/>
        <v>48</v>
      </c>
      <c r="F50" s="31">
        <f t="shared" si="31"/>
        <v>0</v>
      </c>
      <c r="G50" s="31">
        <f t="shared" si="31"/>
        <v>0</v>
      </c>
      <c r="H50" s="31">
        <f t="shared" si="31"/>
        <v>0</v>
      </c>
      <c r="I50" s="31">
        <f t="shared" si="31"/>
        <v>0</v>
      </c>
      <c r="J50" s="31">
        <f t="shared" si="31"/>
        <v>0</v>
      </c>
      <c r="K50" s="31">
        <f t="shared" si="31"/>
        <v>0</v>
      </c>
      <c r="L50" s="31">
        <f t="shared" si="31"/>
        <v>0</v>
      </c>
      <c r="M50" s="31">
        <f t="shared" si="31"/>
        <v>0</v>
      </c>
      <c r="N50" s="31">
        <f t="shared" si="31"/>
        <v>0</v>
      </c>
      <c r="O50" s="31">
        <f t="shared" si="31"/>
        <v>0</v>
      </c>
      <c r="P50" s="31">
        <f t="shared" si="31"/>
        <v>0</v>
      </c>
      <c r="Q50" s="31">
        <f t="shared" si="31"/>
        <v>0</v>
      </c>
      <c r="R50" s="31">
        <f t="shared" si="0"/>
        <v>6604</v>
      </c>
      <c r="S50" s="31">
        <f>SUM(S49,S44,S17)</f>
        <v>23480</v>
      </c>
      <c r="T50" s="31">
        <f aca="true" t="shared" si="32" ref="T50:BA50">SUM(T49,T44,T17)</f>
        <v>0</v>
      </c>
      <c r="U50" s="31">
        <f t="shared" si="32"/>
        <v>5514</v>
      </c>
      <c r="V50" s="31">
        <f t="shared" si="32"/>
        <v>3917</v>
      </c>
      <c r="W50" s="31">
        <f t="shared" si="32"/>
        <v>0</v>
      </c>
      <c r="X50" s="31">
        <f t="shared" si="32"/>
        <v>7948</v>
      </c>
      <c r="Y50" s="31">
        <f t="shared" si="32"/>
        <v>0</v>
      </c>
      <c r="Z50" s="31">
        <f t="shared" si="32"/>
        <v>0</v>
      </c>
      <c r="AA50" s="31">
        <f t="shared" si="32"/>
        <v>0</v>
      </c>
      <c r="AB50" s="31">
        <f t="shared" si="32"/>
        <v>0</v>
      </c>
      <c r="AC50" s="31">
        <f t="shared" si="32"/>
        <v>0</v>
      </c>
      <c r="AD50" s="31">
        <f t="shared" si="32"/>
        <v>0</v>
      </c>
      <c r="AE50" s="31">
        <f t="shared" si="32"/>
        <v>5481</v>
      </c>
      <c r="AF50" s="31">
        <f t="shared" si="32"/>
        <v>14446</v>
      </c>
      <c r="AG50" s="31">
        <f t="shared" si="32"/>
        <v>15642</v>
      </c>
      <c r="AH50" s="31">
        <f t="shared" si="32"/>
        <v>0</v>
      </c>
      <c r="AI50" s="31">
        <f t="shared" si="32"/>
        <v>519</v>
      </c>
      <c r="AJ50" s="31">
        <f t="shared" si="32"/>
        <v>0</v>
      </c>
      <c r="AK50" s="31">
        <f t="shared" si="32"/>
        <v>3509</v>
      </c>
      <c r="AL50" s="31">
        <f t="shared" si="32"/>
        <v>2805</v>
      </c>
      <c r="AM50" s="31">
        <f t="shared" si="32"/>
        <v>0</v>
      </c>
      <c r="AN50" s="31">
        <f t="shared" si="32"/>
        <v>0</v>
      </c>
      <c r="AO50" s="31">
        <f t="shared" si="32"/>
        <v>0</v>
      </c>
      <c r="AP50" s="31">
        <f t="shared" si="32"/>
        <v>2460</v>
      </c>
      <c r="AQ50" s="31">
        <f t="shared" si="32"/>
        <v>0</v>
      </c>
      <c r="AR50" s="31">
        <f t="shared" si="32"/>
        <v>0</v>
      </c>
      <c r="AS50" s="31">
        <f t="shared" si="32"/>
        <v>2215</v>
      </c>
      <c r="AT50" s="31">
        <f t="shared" si="32"/>
        <v>0</v>
      </c>
      <c r="AU50" s="31">
        <f t="shared" si="32"/>
        <v>6254</v>
      </c>
      <c r="AV50" s="31">
        <f t="shared" si="32"/>
        <v>634</v>
      </c>
      <c r="AW50" s="31">
        <f t="shared" si="32"/>
        <v>420</v>
      </c>
      <c r="AX50" s="31">
        <f t="shared" si="32"/>
        <v>1764</v>
      </c>
      <c r="AY50" s="31">
        <f t="shared" si="32"/>
        <v>0</v>
      </c>
      <c r="AZ50" s="31">
        <f t="shared" si="32"/>
        <v>300</v>
      </c>
      <c r="BA50" s="31">
        <f t="shared" si="32"/>
        <v>140</v>
      </c>
      <c r="BB50" s="24">
        <f t="shared" si="1"/>
        <v>73968</v>
      </c>
      <c r="BC50" s="31">
        <f t="shared" si="11"/>
        <v>104052</v>
      </c>
      <c r="BD50" s="64">
        <v>104052</v>
      </c>
    </row>
    <row r="51" spans="1:55" ht="12.75">
      <c r="A51" s="61">
        <v>45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>
        <f t="shared" si="0"/>
        <v>0</v>
      </c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>
        <f t="shared" si="1"/>
        <v>0</v>
      </c>
      <c r="BC51" s="31">
        <f t="shared" si="11"/>
        <v>0</v>
      </c>
    </row>
    <row r="52" spans="1:55" ht="12.75">
      <c r="A52" s="164">
        <v>46</v>
      </c>
      <c r="B52" s="24" t="s">
        <v>342</v>
      </c>
      <c r="C52" s="24">
        <v>1766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>
        <f t="shared" si="0"/>
        <v>1766</v>
      </c>
      <c r="S52" s="24">
        <v>5957</v>
      </c>
      <c r="T52" s="24"/>
      <c r="U52" s="24">
        <v>1368</v>
      </c>
      <c r="V52" s="24">
        <v>977</v>
      </c>
      <c r="W52" s="24"/>
      <c r="X52" s="24">
        <v>1979</v>
      </c>
      <c r="Y52" s="24"/>
      <c r="Z52" s="24"/>
      <c r="AA52" s="24"/>
      <c r="AB52" s="24"/>
      <c r="AC52" s="24"/>
      <c r="AD52" s="24"/>
      <c r="AE52" s="24">
        <v>1359</v>
      </c>
      <c r="AF52" s="24">
        <v>3640</v>
      </c>
      <c r="AG52" s="24">
        <v>3891</v>
      </c>
      <c r="AH52" s="24"/>
      <c r="AI52" s="24">
        <v>132</v>
      </c>
      <c r="AJ52" s="24"/>
      <c r="AK52" s="24">
        <v>859</v>
      </c>
      <c r="AL52" s="24">
        <v>717</v>
      </c>
      <c r="AM52" s="24"/>
      <c r="AN52" s="24"/>
      <c r="AO52" s="24"/>
      <c r="AP52" s="24">
        <v>579</v>
      </c>
      <c r="AQ52" s="24"/>
      <c r="AR52" s="24"/>
      <c r="AS52" s="24">
        <v>558</v>
      </c>
      <c r="AT52" s="24"/>
      <c r="AU52" s="24">
        <v>844</v>
      </c>
      <c r="AV52" s="24">
        <v>86</v>
      </c>
      <c r="AW52" s="24">
        <v>114</v>
      </c>
      <c r="AX52" s="24">
        <v>434</v>
      </c>
      <c r="AY52" s="24"/>
      <c r="AZ52" s="24">
        <v>81</v>
      </c>
      <c r="BA52" s="24">
        <v>38</v>
      </c>
      <c r="BB52" s="24">
        <f t="shared" si="1"/>
        <v>17656</v>
      </c>
      <c r="BC52" s="31">
        <f t="shared" si="11"/>
        <v>25379</v>
      </c>
    </row>
    <row r="53" spans="1:55" ht="12.75">
      <c r="A53" s="61">
        <v>47</v>
      </c>
      <c r="B53" s="24" t="s">
        <v>343</v>
      </c>
      <c r="C53" s="24">
        <v>36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>
        <f t="shared" si="0"/>
        <v>36</v>
      </c>
      <c r="S53" s="24">
        <v>207</v>
      </c>
      <c r="T53" s="24"/>
      <c r="U53" s="24">
        <v>75</v>
      </c>
      <c r="V53" s="24">
        <v>50</v>
      </c>
      <c r="W53" s="24"/>
      <c r="X53" s="24">
        <v>100</v>
      </c>
      <c r="Y53" s="24"/>
      <c r="Z53" s="24"/>
      <c r="AA53" s="24"/>
      <c r="AB53" s="24"/>
      <c r="AC53" s="24"/>
      <c r="AD53" s="24"/>
      <c r="AE53" s="24">
        <v>75</v>
      </c>
      <c r="AF53" s="24">
        <v>150</v>
      </c>
      <c r="AG53" s="24">
        <v>145</v>
      </c>
      <c r="AH53" s="24"/>
      <c r="AI53" s="24">
        <v>5</v>
      </c>
      <c r="AJ53" s="24"/>
      <c r="AK53" s="24">
        <v>44</v>
      </c>
      <c r="AL53" s="24">
        <v>25</v>
      </c>
      <c r="AM53" s="24"/>
      <c r="AN53" s="24"/>
      <c r="AO53" s="24"/>
      <c r="AP53" s="24">
        <v>25</v>
      </c>
      <c r="AQ53" s="24"/>
      <c r="AR53" s="24"/>
      <c r="AS53" s="24">
        <v>25</v>
      </c>
      <c r="AT53" s="24"/>
      <c r="AU53" s="24"/>
      <c r="AV53" s="24"/>
      <c r="AW53" s="24"/>
      <c r="AX53" s="24">
        <v>25</v>
      </c>
      <c r="AY53" s="24"/>
      <c r="AZ53" s="24"/>
      <c r="BA53" s="24"/>
      <c r="BB53" s="24">
        <f t="shared" si="1"/>
        <v>744</v>
      </c>
      <c r="BC53" s="31">
        <f t="shared" si="11"/>
        <v>987</v>
      </c>
    </row>
    <row r="54" spans="1:55" ht="12.75">
      <c r="A54" s="61">
        <v>48</v>
      </c>
      <c r="B54" s="24" t="s">
        <v>522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>
        <f t="shared" si="0"/>
        <v>0</v>
      </c>
      <c r="S54" s="24">
        <v>230</v>
      </c>
      <c r="T54" s="24"/>
      <c r="U54" s="24">
        <v>87</v>
      </c>
      <c r="V54" s="24">
        <v>58</v>
      </c>
      <c r="W54" s="24"/>
      <c r="X54" s="24">
        <v>116</v>
      </c>
      <c r="Y54" s="24"/>
      <c r="Z54" s="24"/>
      <c r="AA54" s="24"/>
      <c r="AB54" s="24"/>
      <c r="AC54" s="24"/>
      <c r="AD54" s="24"/>
      <c r="AE54" s="24">
        <v>87</v>
      </c>
      <c r="AF54" s="24">
        <v>174</v>
      </c>
      <c r="AG54" s="24">
        <v>161</v>
      </c>
      <c r="AH54" s="24"/>
      <c r="AI54" s="24">
        <v>4</v>
      </c>
      <c r="AJ54" s="24"/>
      <c r="AK54" s="24">
        <v>51</v>
      </c>
      <c r="AL54" s="24">
        <v>29</v>
      </c>
      <c r="AM54" s="24"/>
      <c r="AN54" s="24"/>
      <c r="AO54" s="24"/>
      <c r="AP54" s="24">
        <v>29</v>
      </c>
      <c r="AQ54" s="24"/>
      <c r="AR54" s="24"/>
      <c r="AS54" s="24">
        <v>29</v>
      </c>
      <c r="AT54" s="24"/>
      <c r="AU54" s="24"/>
      <c r="AV54" s="24"/>
      <c r="AW54" s="24"/>
      <c r="AX54" s="24">
        <v>29</v>
      </c>
      <c r="AY54" s="24"/>
      <c r="AZ54" s="24"/>
      <c r="BA54" s="24"/>
      <c r="BB54" s="24">
        <f t="shared" si="1"/>
        <v>854</v>
      </c>
      <c r="BC54" s="31">
        <f t="shared" si="11"/>
        <v>1084</v>
      </c>
    </row>
    <row r="55" spans="1:55" ht="12.75">
      <c r="A55" s="61">
        <v>49</v>
      </c>
      <c r="B55" s="24" t="s">
        <v>523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>
        <f t="shared" si="0"/>
        <v>0</v>
      </c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>
        <v>1430</v>
      </c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>
        <f t="shared" si="1"/>
        <v>1430</v>
      </c>
      <c r="BC55" s="31">
        <f t="shared" si="11"/>
        <v>1430</v>
      </c>
    </row>
    <row r="56" spans="1:114" s="64" customFormat="1" ht="12.75">
      <c r="A56" s="164">
        <v>50</v>
      </c>
      <c r="B56" s="31" t="s">
        <v>344</v>
      </c>
      <c r="C56" s="31">
        <f aca="true" t="shared" si="33" ref="C56:AF56">SUM(C52:C55)</f>
        <v>1802</v>
      </c>
      <c r="D56" s="31">
        <f t="shared" si="33"/>
        <v>0</v>
      </c>
      <c r="E56" s="31">
        <f t="shared" si="33"/>
        <v>0</v>
      </c>
      <c r="F56" s="31">
        <f t="shared" si="33"/>
        <v>0</v>
      </c>
      <c r="G56" s="31">
        <f t="shared" si="33"/>
        <v>0</v>
      </c>
      <c r="H56" s="31">
        <f t="shared" si="33"/>
        <v>0</v>
      </c>
      <c r="I56" s="31">
        <f t="shared" si="33"/>
        <v>0</v>
      </c>
      <c r="J56" s="31">
        <f t="shared" si="33"/>
        <v>0</v>
      </c>
      <c r="K56" s="31">
        <f t="shared" si="33"/>
        <v>0</v>
      </c>
      <c r="L56" s="31">
        <f t="shared" si="33"/>
        <v>0</v>
      </c>
      <c r="M56" s="31">
        <f t="shared" si="33"/>
        <v>0</v>
      </c>
      <c r="N56" s="31">
        <f t="shared" si="33"/>
        <v>0</v>
      </c>
      <c r="O56" s="31">
        <f t="shared" si="33"/>
        <v>0</v>
      </c>
      <c r="P56" s="31">
        <f t="shared" si="33"/>
        <v>0</v>
      </c>
      <c r="Q56" s="31">
        <f t="shared" si="33"/>
        <v>0</v>
      </c>
      <c r="R56" s="31">
        <f t="shared" si="33"/>
        <v>1802</v>
      </c>
      <c r="S56" s="31">
        <f t="shared" si="33"/>
        <v>6394</v>
      </c>
      <c r="T56" s="31">
        <f t="shared" si="33"/>
        <v>0</v>
      </c>
      <c r="U56" s="31">
        <f t="shared" si="33"/>
        <v>1530</v>
      </c>
      <c r="V56" s="31">
        <f t="shared" si="33"/>
        <v>1085</v>
      </c>
      <c r="W56" s="31">
        <f t="shared" si="33"/>
        <v>0</v>
      </c>
      <c r="X56" s="31">
        <f t="shared" si="33"/>
        <v>2195</v>
      </c>
      <c r="Y56" s="31">
        <f t="shared" si="33"/>
        <v>0</v>
      </c>
      <c r="Z56" s="31">
        <f t="shared" si="33"/>
        <v>0</v>
      </c>
      <c r="AA56" s="31">
        <f t="shared" si="33"/>
        <v>0</v>
      </c>
      <c r="AB56" s="31">
        <f t="shared" si="33"/>
        <v>0</v>
      </c>
      <c r="AC56" s="31">
        <f t="shared" si="33"/>
        <v>0</v>
      </c>
      <c r="AD56" s="31">
        <f t="shared" si="33"/>
        <v>0</v>
      </c>
      <c r="AE56" s="31">
        <f t="shared" si="33"/>
        <v>1521</v>
      </c>
      <c r="AF56" s="31">
        <f t="shared" si="33"/>
        <v>3964</v>
      </c>
      <c r="AG56" s="31">
        <f>SUM(AG52:AG55)</f>
        <v>5627</v>
      </c>
      <c r="AH56" s="31">
        <f aca="true" t="shared" si="34" ref="AH56:BC56">SUM(AH52:AH55)</f>
        <v>0</v>
      </c>
      <c r="AI56" s="31">
        <f t="shared" si="34"/>
        <v>141</v>
      </c>
      <c r="AJ56" s="31">
        <f t="shared" si="34"/>
        <v>0</v>
      </c>
      <c r="AK56" s="31">
        <f t="shared" si="34"/>
        <v>954</v>
      </c>
      <c r="AL56" s="31">
        <f t="shared" si="34"/>
        <v>771</v>
      </c>
      <c r="AM56" s="31">
        <f t="shared" si="34"/>
        <v>0</v>
      </c>
      <c r="AN56" s="31">
        <f t="shared" si="34"/>
        <v>0</v>
      </c>
      <c r="AO56" s="31">
        <f t="shared" si="34"/>
        <v>0</v>
      </c>
      <c r="AP56" s="31">
        <f t="shared" si="34"/>
        <v>633</v>
      </c>
      <c r="AQ56" s="31">
        <f t="shared" si="34"/>
        <v>0</v>
      </c>
      <c r="AR56" s="31">
        <f t="shared" si="34"/>
        <v>0</v>
      </c>
      <c r="AS56" s="31">
        <f t="shared" si="34"/>
        <v>612</v>
      </c>
      <c r="AT56" s="31">
        <f t="shared" si="34"/>
        <v>0</v>
      </c>
      <c r="AU56" s="31">
        <f t="shared" si="34"/>
        <v>844</v>
      </c>
      <c r="AV56" s="31">
        <f t="shared" si="34"/>
        <v>86</v>
      </c>
      <c r="AW56" s="31">
        <f t="shared" si="34"/>
        <v>114</v>
      </c>
      <c r="AX56" s="31">
        <f t="shared" si="34"/>
        <v>488</v>
      </c>
      <c r="AY56" s="31">
        <f t="shared" si="34"/>
        <v>0</v>
      </c>
      <c r="AZ56" s="31">
        <f t="shared" si="34"/>
        <v>81</v>
      </c>
      <c r="BA56" s="31">
        <f t="shared" si="34"/>
        <v>38</v>
      </c>
      <c r="BB56" s="31">
        <f>SUM(BB52:BB55)</f>
        <v>20684</v>
      </c>
      <c r="BC56" s="31">
        <f t="shared" si="34"/>
        <v>28880</v>
      </c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</row>
    <row r="57" spans="1:55" ht="12.75">
      <c r="A57" s="61">
        <v>51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>
        <f aca="true" t="shared" si="35" ref="R57:R73">SUM(C57:Q57)</f>
        <v>0</v>
      </c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>
        <f t="shared" si="1"/>
        <v>0</v>
      </c>
      <c r="BC57" s="31">
        <f>BB57+R57+S57</f>
        <v>0</v>
      </c>
    </row>
    <row r="58" spans="1:55" s="64" customFormat="1" ht="22.5">
      <c r="A58" s="61">
        <v>52</v>
      </c>
      <c r="B58" s="64" t="s">
        <v>81</v>
      </c>
      <c r="C58" s="64">
        <v>841112</v>
      </c>
      <c r="R58" s="24">
        <f t="shared" si="35"/>
        <v>841112</v>
      </c>
      <c r="S58" s="64">
        <v>801115</v>
      </c>
      <c r="T58" s="64">
        <v>370000</v>
      </c>
      <c r="U58" s="64">
        <v>381103</v>
      </c>
      <c r="V58" s="64">
        <v>522110</v>
      </c>
      <c r="W58" s="64">
        <v>562912</v>
      </c>
      <c r="X58" s="64">
        <v>562913</v>
      </c>
      <c r="Y58" s="64">
        <v>562917</v>
      </c>
      <c r="Z58" s="64">
        <v>562916</v>
      </c>
      <c r="AA58" s="64">
        <v>682001</v>
      </c>
      <c r="AB58" s="64">
        <v>682002</v>
      </c>
      <c r="AC58" s="64">
        <v>750000</v>
      </c>
      <c r="AD58" s="64">
        <v>791200</v>
      </c>
      <c r="AE58" s="64">
        <v>811000</v>
      </c>
      <c r="AF58" s="64">
        <v>813000</v>
      </c>
      <c r="AG58" s="64">
        <v>841154</v>
      </c>
      <c r="AH58" s="64">
        <v>841402</v>
      </c>
      <c r="AI58" s="64">
        <v>841403</v>
      </c>
      <c r="AJ58" s="64">
        <v>842155</v>
      </c>
      <c r="AK58" s="64">
        <v>850001</v>
      </c>
      <c r="AL58" s="64">
        <v>862101</v>
      </c>
      <c r="AM58" s="64">
        <v>862102</v>
      </c>
      <c r="AN58" s="64">
        <v>862231</v>
      </c>
      <c r="AO58" s="64">
        <v>862231</v>
      </c>
      <c r="AP58" s="64">
        <v>851297</v>
      </c>
      <c r="AQ58" s="64">
        <v>889921</v>
      </c>
      <c r="AR58" s="64">
        <v>889924</v>
      </c>
      <c r="AS58" s="64">
        <v>889928</v>
      </c>
      <c r="AT58" s="64">
        <v>890301</v>
      </c>
      <c r="AU58" s="64">
        <v>853322</v>
      </c>
      <c r="AV58" s="64">
        <v>890444</v>
      </c>
      <c r="AW58" s="64">
        <v>910123</v>
      </c>
      <c r="AX58" s="64">
        <v>910502</v>
      </c>
      <c r="AY58" s="64">
        <v>932911</v>
      </c>
      <c r="AZ58" s="64">
        <v>949900</v>
      </c>
      <c r="BA58" s="64">
        <v>960302</v>
      </c>
      <c r="BB58" s="62" t="s">
        <v>303</v>
      </c>
      <c r="BC58" s="31"/>
    </row>
    <row r="59" spans="1:55" s="64" customFormat="1" ht="12.75">
      <c r="A59" s="61">
        <v>53</v>
      </c>
      <c r="B59" s="63" t="s">
        <v>345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24">
        <f t="shared" si="35"/>
        <v>0</v>
      </c>
      <c r="S59" s="24"/>
      <c r="T59" s="24"/>
      <c r="W59" s="63">
        <v>2648</v>
      </c>
      <c r="X59" s="63">
        <v>7972</v>
      </c>
      <c r="Y59" s="63">
        <v>2254</v>
      </c>
      <c r="Z59" s="63">
        <v>2592</v>
      </c>
      <c r="AA59" s="24"/>
      <c r="AQ59" s="63">
        <v>980</v>
      </c>
      <c r="BB59" s="24">
        <f aca="true" t="shared" si="36" ref="BB59:BB112">SUM(T59:BA59)</f>
        <v>16446</v>
      </c>
      <c r="BC59" s="31">
        <f aca="true" t="shared" si="37" ref="BC59:BC73">BB59+R59+S59</f>
        <v>16446</v>
      </c>
    </row>
    <row r="60" spans="1:55" s="64" customFormat="1" ht="12.75">
      <c r="A60" s="164">
        <v>54</v>
      </c>
      <c r="B60" s="63" t="s">
        <v>346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24">
        <f t="shared" si="35"/>
        <v>0</v>
      </c>
      <c r="S60" s="24">
        <v>10</v>
      </c>
      <c r="T60" s="24"/>
      <c r="W60" s="63"/>
      <c r="X60" s="63"/>
      <c r="Y60" s="63"/>
      <c r="Z60" s="63"/>
      <c r="AA60" s="24"/>
      <c r="AK60" s="64">
        <v>10</v>
      </c>
      <c r="AL60" s="64">
        <v>79</v>
      </c>
      <c r="AQ60" s="63"/>
      <c r="BB60" s="24">
        <f t="shared" si="36"/>
        <v>89</v>
      </c>
      <c r="BC60" s="31">
        <f t="shared" si="37"/>
        <v>99</v>
      </c>
    </row>
    <row r="61" spans="1:55" ht="12.75">
      <c r="A61" s="61">
        <v>55</v>
      </c>
      <c r="B61" s="24" t="s">
        <v>347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>
        <v>0</v>
      </c>
      <c r="S61" s="24">
        <v>30</v>
      </c>
      <c r="T61" s="24"/>
      <c r="U61" s="24"/>
      <c r="V61" s="24"/>
      <c r="W61" s="24"/>
      <c r="X61" s="24">
        <v>120</v>
      </c>
      <c r="Y61" s="24"/>
      <c r="Z61" s="24"/>
      <c r="AA61" s="24"/>
      <c r="AB61" s="24"/>
      <c r="AC61" s="24"/>
      <c r="AD61" s="24"/>
      <c r="AE61" s="24"/>
      <c r="AF61" s="24">
        <v>50</v>
      </c>
      <c r="AG61" s="24">
        <v>1500</v>
      </c>
      <c r="AH61" s="24"/>
      <c r="AI61" s="24"/>
      <c r="AJ61" s="24"/>
      <c r="AK61" s="24"/>
      <c r="AL61" s="24">
        <v>175</v>
      </c>
      <c r="AM61" s="24"/>
      <c r="AN61" s="24"/>
      <c r="AO61" s="24"/>
      <c r="AP61" s="24">
        <v>20</v>
      </c>
      <c r="AQ61" s="24"/>
      <c r="AR61" s="24"/>
      <c r="AS61" s="24">
        <v>5</v>
      </c>
      <c r="AT61" s="24"/>
      <c r="AU61" s="24"/>
      <c r="AV61" s="24"/>
      <c r="AW61" s="24"/>
      <c r="AX61" s="24"/>
      <c r="AY61" s="24"/>
      <c r="AZ61" s="24">
        <v>10</v>
      </c>
      <c r="BA61" s="24"/>
      <c r="BB61" s="24">
        <f t="shared" si="36"/>
        <v>1880</v>
      </c>
      <c r="BC61" s="31">
        <f t="shared" si="37"/>
        <v>1910</v>
      </c>
    </row>
    <row r="62" spans="1:55" ht="12.75">
      <c r="A62" s="61">
        <v>56</v>
      </c>
      <c r="B62" s="24" t="s">
        <v>348</v>
      </c>
      <c r="C62" s="24">
        <v>48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>
        <f t="shared" si="35"/>
        <v>48</v>
      </c>
      <c r="S62" s="24">
        <v>30</v>
      </c>
      <c r="T62" s="24"/>
      <c r="U62" s="24"/>
      <c r="V62" s="24"/>
      <c r="W62" s="24"/>
      <c r="X62" s="24">
        <v>10</v>
      </c>
      <c r="Y62" s="24"/>
      <c r="Z62" s="24"/>
      <c r="AA62" s="24"/>
      <c r="AB62" s="24"/>
      <c r="AC62" s="24"/>
      <c r="AD62" s="24"/>
      <c r="AE62" s="24"/>
      <c r="AF62" s="24">
        <v>200</v>
      </c>
      <c r="AG62" s="24">
        <v>115</v>
      </c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>
        <v>50</v>
      </c>
      <c r="AX62" s="24">
        <v>20</v>
      </c>
      <c r="AY62" s="24"/>
      <c r="AZ62" s="24"/>
      <c r="BA62" s="24"/>
      <c r="BB62" s="24">
        <f t="shared" si="36"/>
        <v>395</v>
      </c>
      <c r="BC62" s="31">
        <f t="shared" si="37"/>
        <v>473</v>
      </c>
    </row>
    <row r="63" spans="1:55" ht="12.75">
      <c r="A63" s="61">
        <v>57</v>
      </c>
      <c r="B63" s="24" t="s">
        <v>349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>
        <f t="shared" si="35"/>
        <v>0</v>
      </c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>
        <v>50</v>
      </c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>
        <f t="shared" si="36"/>
        <v>50</v>
      </c>
      <c r="BC63" s="31">
        <f t="shared" si="37"/>
        <v>50</v>
      </c>
    </row>
    <row r="64" spans="1:55" ht="12.75">
      <c r="A64" s="164">
        <v>58</v>
      </c>
      <c r="B64" s="24" t="s">
        <v>350</v>
      </c>
      <c r="C64" s="24">
        <v>236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>
        <f t="shared" si="35"/>
        <v>236</v>
      </c>
      <c r="S64" s="24"/>
      <c r="T64" s="24"/>
      <c r="U64" s="24">
        <v>1600</v>
      </c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>
        <v>3100</v>
      </c>
      <c r="AG64" s="24">
        <v>200</v>
      </c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>
        <v>800</v>
      </c>
      <c r="AT64" s="24"/>
      <c r="AU64" s="24"/>
      <c r="AV64" s="24"/>
      <c r="AW64" s="24"/>
      <c r="AX64" s="24"/>
      <c r="AY64" s="24"/>
      <c r="AZ64" s="24"/>
      <c r="BA64" s="24"/>
      <c r="BB64" s="24">
        <f t="shared" si="36"/>
        <v>5700</v>
      </c>
      <c r="BC64" s="31">
        <f t="shared" si="37"/>
        <v>5936</v>
      </c>
    </row>
    <row r="65" spans="1:55" ht="12.75">
      <c r="A65" s="61">
        <v>59</v>
      </c>
      <c r="B65" s="24" t="s">
        <v>351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>
        <f t="shared" si="35"/>
        <v>0</v>
      </c>
      <c r="S65" s="24">
        <v>428</v>
      </c>
      <c r="T65" s="24"/>
      <c r="U65" s="24"/>
      <c r="V65" s="24"/>
      <c r="W65" s="24"/>
      <c r="X65" s="24">
        <v>0</v>
      </c>
      <c r="Y65" s="24"/>
      <c r="Z65" s="24"/>
      <c r="AA65" s="24"/>
      <c r="AB65" s="24"/>
      <c r="AC65" s="24"/>
      <c r="AD65" s="24"/>
      <c r="AE65" s="24"/>
      <c r="AF65" s="24">
        <v>230</v>
      </c>
      <c r="AG65" s="24">
        <v>505</v>
      </c>
      <c r="AH65" s="24"/>
      <c r="AI65" s="24"/>
      <c r="AJ65" s="24"/>
      <c r="AK65" s="24"/>
      <c r="AL65" s="24"/>
      <c r="AM65" s="24"/>
      <c r="AN65" s="24"/>
      <c r="AO65" s="24"/>
      <c r="AP65" s="24">
        <v>50</v>
      </c>
      <c r="AQ65" s="24"/>
      <c r="AR65" s="24"/>
      <c r="AS65" s="24">
        <v>161</v>
      </c>
      <c r="AT65" s="24"/>
      <c r="AU65" s="24"/>
      <c r="AV65" s="24"/>
      <c r="AW65" s="24">
        <v>134</v>
      </c>
      <c r="AX65" s="24">
        <v>40</v>
      </c>
      <c r="AY65" s="24">
        <v>110</v>
      </c>
      <c r="AZ65" s="24">
        <v>300</v>
      </c>
      <c r="BA65" s="24"/>
      <c r="BB65" s="24">
        <f t="shared" si="36"/>
        <v>1530</v>
      </c>
      <c r="BC65" s="31">
        <f t="shared" si="37"/>
        <v>1958</v>
      </c>
    </row>
    <row r="66" spans="1:55" ht="12.75">
      <c r="A66" s="61">
        <v>60</v>
      </c>
      <c r="B66" s="24" t="s">
        <v>352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>
        <f t="shared" si="35"/>
        <v>0</v>
      </c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>
        <v>95</v>
      </c>
      <c r="AY66" s="24"/>
      <c r="AZ66" s="24"/>
      <c r="BA66" s="24"/>
      <c r="BB66" s="24">
        <f t="shared" si="36"/>
        <v>95</v>
      </c>
      <c r="BC66" s="31">
        <f t="shared" si="37"/>
        <v>95</v>
      </c>
    </row>
    <row r="67" spans="1:55" ht="12.75">
      <c r="A67" s="61">
        <v>61</v>
      </c>
      <c r="B67" s="24" t="s">
        <v>353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>
        <f t="shared" si="35"/>
        <v>0</v>
      </c>
      <c r="S67" s="24">
        <v>76</v>
      </c>
      <c r="T67" s="24"/>
      <c r="U67" s="24">
        <v>120</v>
      </c>
      <c r="V67" s="24">
        <v>80</v>
      </c>
      <c r="W67" s="24"/>
      <c r="X67" s="24">
        <v>74</v>
      </c>
      <c r="Y67" s="24"/>
      <c r="Z67" s="24"/>
      <c r="AA67" s="24"/>
      <c r="AB67" s="24"/>
      <c r="AC67" s="24"/>
      <c r="AD67" s="24"/>
      <c r="AE67" s="24">
        <v>120</v>
      </c>
      <c r="AF67" s="24">
        <v>200</v>
      </c>
      <c r="AG67" s="24">
        <v>20</v>
      </c>
      <c r="AH67" s="24"/>
      <c r="AI67" s="24"/>
      <c r="AJ67" s="24"/>
      <c r="AK67" s="24">
        <v>36</v>
      </c>
      <c r="AL67" s="24">
        <v>20</v>
      </c>
      <c r="AM67" s="24"/>
      <c r="AN67" s="24"/>
      <c r="AO67" s="24"/>
      <c r="AP67" s="24">
        <v>20</v>
      </c>
      <c r="AQ67" s="24"/>
      <c r="AR67" s="24"/>
      <c r="AS67" s="24">
        <v>40</v>
      </c>
      <c r="AT67" s="24"/>
      <c r="AU67" s="24">
        <v>101</v>
      </c>
      <c r="AV67" s="24"/>
      <c r="AW67" s="24"/>
      <c r="AX67" s="24">
        <v>20</v>
      </c>
      <c r="AY67" s="24"/>
      <c r="AZ67" s="24"/>
      <c r="BA67" s="24">
        <v>20</v>
      </c>
      <c r="BB67" s="24">
        <f t="shared" si="36"/>
        <v>871</v>
      </c>
      <c r="BC67" s="31">
        <f t="shared" si="37"/>
        <v>947</v>
      </c>
    </row>
    <row r="68" spans="1:55" ht="12.75">
      <c r="A68" s="164">
        <v>62</v>
      </c>
      <c r="B68" s="24" t="s">
        <v>354</v>
      </c>
      <c r="C68" s="24">
        <v>20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>
        <f t="shared" si="35"/>
        <v>20</v>
      </c>
      <c r="S68" s="24">
        <v>120</v>
      </c>
      <c r="T68" s="24"/>
      <c r="U68" s="24">
        <v>215</v>
      </c>
      <c r="V68" s="24">
        <v>270</v>
      </c>
      <c r="W68" s="24"/>
      <c r="X68" s="24">
        <v>520</v>
      </c>
      <c r="Y68" s="24"/>
      <c r="Z68" s="24"/>
      <c r="AA68" s="24">
        <v>50</v>
      </c>
      <c r="AB68" s="24">
        <v>100</v>
      </c>
      <c r="AC68" s="24"/>
      <c r="AD68" s="24"/>
      <c r="AE68" s="24">
        <v>118</v>
      </c>
      <c r="AF68" s="24">
        <v>2120</v>
      </c>
      <c r="AG68" s="24"/>
      <c r="AH68" s="24"/>
      <c r="AI68" s="24">
        <v>350</v>
      </c>
      <c r="AJ68" s="24"/>
      <c r="AK68" s="24">
        <v>450</v>
      </c>
      <c r="AL68" s="24">
        <v>20</v>
      </c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>
        <v>60</v>
      </c>
      <c r="AY68" s="24">
        <v>270</v>
      </c>
      <c r="AZ68" s="24"/>
      <c r="BA68" s="24">
        <v>30</v>
      </c>
      <c r="BB68" s="24">
        <f t="shared" si="36"/>
        <v>4573</v>
      </c>
      <c r="BC68" s="31">
        <f t="shared" si="37"/>
        <v>4713</v>
      </c>
    </row>
    <row r="69" spans="1:56" s="64" customFormat="1" ht="12.75">
      <c r="A69" s="61">
        <v>63</v>
      </c>
      <c r="B69" s="31" t="s">
        <v>355</v>
      </c>
      <c r="C69" s="31">
        <f>SUM(C59:C68)</f>
        <v>304</v>
      </c>
      <c r="D69" s="31">
        <f aca="true" t="shared" si="38" ref="D69:Q69">SUM(D59:D68)</f>
        <v>0</v>
      </c>
      <c r="E69" s="31">
        <f t="shared" si="38"/>
        <v>0</v>
      </c>
      <c r="F69" s="31">
        <f t="shared" si="38"/>
        <v>0</v>
      </c>
      <c r="G69" s="31">
        <f t="shared" si="38"/>
        <v>0</v>
      </c>
      <c r="H69" s="31">
        <f t="shared" si="38"/>
        <v>0</v>
      </c>
      <c r="I69" s="31">
        <f t="shared" si="38"/>
        <v>0</v>
      </c>
      <c r="J69" s="31">
        <f t="shared" si="38"/>
        <v>0</v>
      </c>
      <c r="K69" s="31">
        <f t="shared" si="38"/>
        <v>0</v>
      </c>
      <c r="L69" s="31">
        <f t="shared" si="38"/>
        <v>0</v>
      </c>
      <c r="M69" s="31">
        <f t="shared" si="38"/>
        <v>0</v>
      </c>
      <c r="N69" s="31">
        <f t="shared" si="38"/>
        <v>0</v>
      </c>
      <c r="O69" s="31">
        <f t="shared" si="38"/>
        <v>0</v>
      </c>
      <c r="P69" s="31">
        <f t="shared" si="38"/>
        <v>0</v>
      </c>
      <c r="Q69" s="31">
        <f t="shared" si="38"/>
        <v>0</v>
      </c>
      <c r="R69" s="24">
        <f t="shared" si="35"/>
        <v>304</v>
      </c>
      <c r="S69" s="31">
        <f>SUM(S59:S68)</f>
        <v>694</v>
      </c>
      <c r="T69" s="31">
        <f>SUM(T59:T68)</f>
        <v>0</v>
      </c>
      <c r="U69" s="31">
        <f aca="true" t="shared" si="39" ref="U69:BA69">SUM(U59:U68)</f>
        <v>1935</v>
      </c>
      <c r="V69" s="31">
        <f t="shared" si="39"/>
        <v>350</v>
      </c>
      <c r="W69" s="31">
        <f t="shared" si="39"/>
        <v>2648</v>
      </c>
      <c r="X69" s="31">
        <f t="shared" si="39"/>
        <v>8696</v>
      </c>
      <c r="Y69" s="31">
        <f t="shared" si="39"/>
        <v>2254</v>
      </c>
      <c r="Z69" s="31">
        <f t="shared" si="39"/>
        <v>2592</v>
      </c>
      <c r="AA69" s="31">
        <f t="shared" si="39"/>
        <v>50</v>
      </c>
      <c r="AB69" s="31">
        <f t="shared" si="39"/>
        <v>100</v>
      </c>
      <c r="AC69" s="31">
        <f t="shared" si="39"/>
        <v>0</v>
      </c>
      <c r="AD69" s="31">
        <f t="shared" si="39"/>
        <v>0</v>
      </c>
      <c r="AE69" s="31">
        <f t="shared" si="39"/>
        <v>238</v>
      </c>
      <c r="AF69" s="31">
        <f t="shared" si="39"/>
        <v>5900</v>
      </c>
      <c r="AG69" s="31">
        <f t="shared" si="39"/>
        <v>2390</v>
      </c>
      <c r="AH69" s="31">
        <f t="shared" si="39"/>
        <v>0</v>
      </c>
      <c r="AI69" s="31">
        <f t="shared" si="39"/>
        <v>350</v>
      </c>
      <c r="AJ69" s="31">
        <f t="shared" si="39"/>
        <v>0</v>
      </c>
      <c r="AK69" s="31">
        <f t="shared" si="39"/>
        <v>496</v>
      </c>
      <c r="AL69" s="31">
        <f t="shared" si="39"/>
        <v>294</v>
      </c>
      <c r="AM69" s="31">
        <f t="shared" si="39"/>
        <v>0</v>
      </c>
      <c r="AN69" s="31">
        <f t="shared" si="39"/>
        <v>0</v>
      </c>
      <c r="AO69" s="31">
        <f t="shared" si="39"/>
        <v>0</v>
      </c>
      <c r="AP69" s="31">
        <f t="shared" si="39"/>
        <v>90</v>
      </c>
      <c r="AQ69" s="31">
        <f t="shared" si="39"/>
        <v>980</v>
      </c>
      <c r="AR69" s="31">
        <f t="shared" si="39"/>
        <v>0</v>
      </c>
      <c r="AS69" s="31">
        <f t="shared" si="39"/>
        <v>1006</v>
      </c>
      <c r="AT69" s="31">
        <f t="shared" si="39"/>
        <v>0</v>
      </c>
      <c r="AU69" s="31">
        <f t="shared" si="39"/>
        <v>101</v>
      </c>
      <c r="AV69" s="31">
        <f t="shared" si="39"/>
        <v>0</v>
      </c>
      <c r="AW69" s="31">
        <f t="shared" si="39"/>
        <v>184</v>
      </c>
      <c r="AX69" s="31">
        <f t="shared" si="39"/>
        <v>235</v>
      </c>
      <c r="AY69" s="31">
        <f t="shared" si="39"/>
        <v>380</v>
      </c>
      <c r="AZ69" s="31">
        <f t="shared" si="39"/>
        <v>310</v>
      </c>
      <c r="BA69" s="31">
        <f t="shared" si="39"/>
        <v>50</v>
      </c>
      <c r="BB69" s="24">
        <f t="shared" si="36"/>
        <v>31629</v>
      </c>
      <c r="BC69" s="31">
        <f t="shared" si="37"/>
        <v>32627</v>
      </c>
      <c r="BD69" s="64">
        <v>32509</v>
      </c>
    </row>
    <row r="70" spans="1:55" ht="12.75">
      <c r="A70" s="61">
        <v>64</v>
      </c>
      <c r="B70" s="24" t="s">
        <v>356</v>
      </c>
      <c r="C70" s="24">
        <v>340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>
        <f t="shared" si="35"/>
        <v>340</v>
      </c>
      <c r="S70" s="24">
        <v>100</v>
      </c>
      <c r="T70" s="24"/>
      <c r="U70" s="24"/>
      <c r="V70" s="24"/>
      <c r="W70" s="24"/>
      <c r="X70" s="24">
        <v>120</v>
      </c>
      <c r="Y70" s="24"/>
      <c r="Z70" s="24"/>
      <c r="AA70" s="24"/>
      <c r="AB70" s="24"/>
      <c r="AC70" s="24"/>
      <c r="AD70" s="24"/>
      <c r="AE70" s="24"/>
      <c r="AF70" s="24">
        <v>130</v>
      </c>
      <c r="AG70" s="24">
        <v>415</v>
      </c>
      <c r="AH70" s="24"/>
      <c r="AI70" s="24"/>
      <c r="AJ70" s="24"/>
      <c r="AK70" s="24">
        <v>150</v>
      </c>
      <c r="AL70" s="24">
        <v>185</v>
      </c>
      <c r="AM70" s="24"/>
      <c r="AN70" s="24"/>
      <c r="AO70" s="24"/>
      <c r="AP70" s="24">
        <v>55</v>
      </c>
      <c r="AQ70" s="24"/>
      <c r="AR70" s="24"/>
      <c r="AS70" s="24">
        <v>85</v>
      </c>
      <c r="AT70" s="24"/>
      <c r="AU70" s="24"/>
      <c r="AV70" s="24"/>
      <c r="AW70" s="24">
        <v>120</v>
      </c>
      <c r="AX70" s="24">
        <v>230</v>
      </c>
      <c r="AY70" s="24"/>
      <c r="AZ70" s="24"/>
      <c r="BA70" s="24"/>
      <c r="BB70" s="24">
        <f t="shared" si="36"/>
        <v>1490</v>
      </c>
      <c r="BC70" s="31">
        <f t="shared" si="37"/>
        <v>1930</v>
      </c>
    </row>
    <row r="71" spans="1:55" ht="12.75">
      <c r="A71" s="61">
        <v>65</v>
      </c>
      <c r="B71" s="24" t="s">
        <v>357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>
        <f t="shared" si="35"/>
        <v>0</v>
      </c>
      <c r="S71" s="24">
        <v>70</v>
      </c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>
        <v>385</v>
      </c>
      <c r="AH71" s="24"/>
      <c r="AI71" s="24"/>
      <c r="AJ71" s="24"/>
      <c r="AK71" s="24">
        <v>80</v>
      </c>
      <c r="AL71" s="24"/>
      <c r="AM71" s="24"/>
      <c r="AN71" s="24"/>
      <c r="AO71" s="24"/>
      <c r="AP71" s="24">
        <v>50</v>
      </c>
      <c r="AQ71" s="24"/>
      <c r="AR71" s="24"/>
      <c r="AS71" s="24"/>
      <c r="AT71" s="24"/>
      <c r="AU71" s="24"/>
      <c r="AV71" s="24"/>
      <c r="AW71" s="24">
        <v>87</v>
      </c>
      <c r="AX71" s="24"/>
      <c r="AY71" s="24"/>
      <c r="AZ71" s="24"/>
      <c r="BA71" s="24"/>
      <c r="BB71" s="24">
        <f t="shared" si="36"/>
        <v>602</v>
      </c>
      <c r="BC71" s="31">
        <f t="shared" si="37"/>
        <v>672</v>
      </c>
    </row>
    <row r="72" spans="1:55" ht="12.75">
      <c r="A72" s="164">
        <v>66</v>
      </c>
      <c r="B72" s="24" t="s">
        <v>358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>
        <f t="shared" si="35"/>
        <v>0</v>
      </c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>
        <v>250</v>
      </c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>
        <f t="shared" si="36"/>
        <v>250</v>
      </c>
      <c r="BC72" s="31">
        <f t="shared" si="37"/>
        <v>250</v>
      </c>
    </row>
    <row r="73" spans="1:56" s="64" customFormat="1" ht="12.75">
      <c r="A73" s="61">
        <v>67</v>
      </c>
      <c r="B73" s="31" t="s">
        <v>359</v>
      </c>
      <c r="C73" s="31">
        <f>SUM(C70:C72)</f>
        <v>340</v>
      </c>
      <c r="D73" s="31">
        <f aca="true" t="shared" si="40" ref="D73:Q73">SUM(D70:D72)</f>
        <v>0</v>
      </c>
      <c r="E73" s="31">
        <f t="shared" si="40"/>
        <v>0</v>
      </c>
      <c r="F73" s="31">
        <f t="shared" si="40"/>
        <v>0</v>
      </c>
      <c r="G73" s="31">
        <f t="shared" si="40"/>
        <v>0</v>
      </c>
      <c r="H73" s="31">
        <f t="shared" si="40"/>
        <v>0</v>
      </c>
      <c r="I73" s="31">
        <f t="shared" si="40"/>
        <v>0</v>
      </c>
      <c r="J73" s="31">
        <f t="shared" si="40"/>
        <v>0</v>
      </c>
      <c r="K73" s="31">
        <f t="shared" si="40"/>
        <v>0</v>
      </c>
      <c r="L73" s="31">
        <f t="shared" si="40"/>
        <v>0</v>
      </c>
      <c r="M73" s="31">
        <f t="shared" si="40"/>
        <v>0</v>
      </c>
      <c r="N73" s="31">
        <f t="shared" si="40"/>
        <v>0</v>
      </c>
      <c r="O73" s="31">
        <f t="shared" si="40"/>
        <v>0</v>
      </c>
      <c r="P73" s="31">
        <f t="shared" si="40"/>
        <v>0</v>
      </c>
      <c r="Q73" s="31">
        <f t="shared" si="40"/>
        <v>0</v>
      </c>
      <c r="R73" s="24">
        <f t="shared" si="35"/>
        <v>340</v>
      </c>
      <c r="S73" s="31">
        <f>SUM(S70:S72)</f>
        <v>170</v>
      </c>
      <c r="T73" s="31">
        <f>SUM(T70:T72)</f>
        <v>0</v>
      </c>
      <c r="U73" s="31">
        <f aca="true" t="shared" si="41" ref="U73:BA73">SUM(U70:U72)</f>
        <v>0</v>
      </c>
      <c r="V73" s="31">
        <f t="shared" si="41"/>
        <v>0</v>
      </c>
      <c r="W73" s="31">
        <f t="shared" si="41"/>
        <v>0</v>
      </c>
      <c r="X73" s="31">
        <f t="shared" si="41"/>
        <v>120</v>
      </c>
      <c r="Y73" s="31">
        <f t="shared" si="41"/>
        <v>0</v>
      </c>
      <c r="Z73" s="31">
        <f t="shared" si="41"/>
        <v>0</v>
      </c>
      <c r="AA73" s="31">
        <f t="shared" si="41"/>
        <v>0</v>
      </c>
      <c r="AB73" s="31">
        <f t="shared" si="41"/>
        <v>0</v>
      </c>
      <c r="AC73" s="31">
        <f t="shared" si="41"/>
        <v>0</v>
      </c>
      <c r="AD73" s="31">
        <f t="shared" si="41"/>
        <v>0</v>
      </c>
      <c r="AE73" s="31">
        <f t="shared" si="41"/>
        <v>0</v>
      </c>
      <c r="AF73" s="31">
        <f t="shared" si="41"/>
        <v>130</v>
      </c>
      <c r="AG73" s="31">
        <f t="shared" si="41"/>
        <v>1050</v>
      </c>
      <c r="AH73" s="31">
        <f t="shared" si="41"/>
        <v>0</v>
      </c>
      <c r="AI73" s="31">
        <f t="shared" si="41"/>
        <v>0</v>
      </c>
      <c r="AJ73" s="31">
        <f t="shared" si="41"/>
        <v>0</v>
      </c>
      <c r="AK73" s="31">
        <f t="shared" si="41"/>
        <v>230</v>
      </c>
      <c r="AL73" s="31">
        <f t="shared" si="41"/>
        <v>185</v>
      </c>
      <c r="AM73" s="31">
        <f t="shared" si="41"/>
        <v>0</v>
      </c>
      <c r="AN73" s="31">
        <f t="shared" si="41"/>
        <v>0</v>
      </c>
      <c r="AO73" s="31">
        <f t="shared" si="41"/>
        <v>0</v>
      </c>
      <c r="AP73" s="31">
        <f t="shared" si="41"/>
        <v>105</v>
      </c>
      <c r="AQ73" s="31">
        <f t="shared" si="41"/>
        <v>0</v>
      </c>
      <c r="AR73" s="31">
        <f t="shared" si="41"/>
        <v>0</v>
      </c>
      <c r="AS73" s="31">
        <f t="shared" si="41"/>
        <v>85</v>
      </c>
      <c r="AT73" s="31">
        <f t="shared" si="41"/>
        <v>0</v>
      </c>
      <c r="AU73" s="31">
        <f t="shared" si="41"/>
        <v>0</v>
      </c>
      <c r="AV73" s="31">
        <f t="shared" si="41"/>
        <v>0</v>
      </c>
      <c r="AW73" s="31">
        <f t="shared" si="41"/>
        <v>207</v>
      </c>
      <c r="AX73" s="31">
        <f t="shared" si="41"/>
        <v>230</v>
      </c>
      <c r="AY73" s="31">
        <f t="shared" si="41"/>
        <v>0</v>
      </c>
      <c r="AZ73" s="31">
        <f t="shared" si="41"/>
        <v>0</v>
      </c>
      <c r="BA73" s="31">
        <f t="shared" si="41"/>
        <v>0</v>
      </c>
      <c r="BB73" s="24">
        <f t="shared" si="36"/>
        <v>2342</v>
      </c>
      <c r="BC73" s="31">
        <f t="shared" si="37"/>
        <v>2852</v>
      </c>
      <c r="BD73" s="64">
        <v>2852</v>
      </c>
    </row>
    <row r="74" spans="1:55" ht="12.75">
      <c r="A74" s="61">
        <v>68</v>
      </c>
      <c r="B74" s="24" t="s">
        <v>360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>
        <f aca="true" t="shared" si="42" ref="R74:R135">SUM(C74:Q74)</f>
        <v>0</v>
      </c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>
        <f t="shared" si="36"/>
        <v>0</v>
      </c>
      <c r="BC74" s="31">
        <f aca="true" t="shared" si="43" ref="BC74:BC135">BB74+R74+S74</f>
        <v>0</v>
      </c>
    </row>
    <row r="75" spans="1:56" ht="12.75">
      <c r="A75" s="61">
        <v>69</v>
      </c>
      <c r="B75" s="24" t="s">
        <v>16</v>
      </c>
      <c r="C75" s="24">
        <v>17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>
        <f t="shared" si="42"/>
        <v>17</v>
      </c>
      <c r="S75" s="24"/>
      <c r="T75" s="24"/>
      <c r="U75" s="24"/>
      <c r="V75" s="24">
        <v>68</v>
      </c>
      <c r="W75" s="24"/>
      <c r="X75" s="24"/>
      <c r="Y75" s="24"/>
      <c r="Z75" s="24"/>
      <c r="AA75" s="24"/>
      <c r="AB75" s="24">
        <v>700</v>
      </c>
      <c r="AC75" s="24"/>
      <c r="AD75" s="24"/>
      <c r="AE75" s="24">
        <v>50</v>
      </c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>
        <f t="shared" si="36"/>
        <v>818</v>
      </c>
      <c r="BC75" s="31">
        <f t="shared" si="43"/>
        <v>835</v>
      </c>
      <c r="BD75" s="63">
        <v>835</v>
      </c>
    </row>
    <row r="76" spans="1:55" ht="12.75">
      <c r="A76" s="164">
        <v>70</v>
      </c>
      <c r="B76" s="24" t="s">
        <v>361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>
        <f t="shared" si="42"/>
        <v>0</v>
      </c>
      <c r="S76" s="24"/>
      <c r="T76" s="24"/>
      <c r="U76" s="24"/>
      <c r="V76" s="24">
        <v>150</v>
      </c>
      <c r="W76" s="24"/>
      <c r="X76" s="24"/>
      <c r="Y76" s="24"/>
      <c r="Z76" s="24"/>
      <c r="AA76" s="24"/>
      <c r="AB76" s="24"/>
      <c r="AC76" s="24"/>
      <c r="AD76" s="24"/>
      <c r="AE76" s="24"/>
      <c r="AF76" s="24">
        <v>80</v>
      </c>
      <c r="AG76" s="24">
        <v>110</v>
      </c>
      <c r="AH76" s="24"/>
      <c r="AI76" s="24"/>
      <c r="AJ76" s="24"/>
      <c r="AK76" s="24">
        <v>5719</v>
      </c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>
        <f t="shared" si="36"/>
        <v>6059</v>
      </c>
      <c r="BC76" s="31">
        <f t="shared" si="43"/>
        <v>6059</v>
      </c>
    </row>
    <row r="77" spans="1:55" ht="12.75">
      <c r="A77" s="61">
        <v>71</v>
      </c>
      <c r="B77" s="24" t="s">
        <v>362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>
        <f t="shared" si="42"/>
        <v>0</v>
      </c>
      <c r="S77" s="24">
        <v>520</v>
      </c>
      <c r="T77" s="24"/>
      <c r="U77" s="24"/>
      <c r="V77" s="24"/>
      <c r="W77" s="24"/>
      <c r="X77" s="24">
        <v>536</v>
      </c>
      <c r="Y77" s="24"/>
      <c r="Z77" s="24"/>
      <c r="AA77" s="24"/>
      <c r="AB77" s="24"/>
      <c r="AC77" s="24"/>
      <c r="AD77" s="24"/>
      <c r="AE77" s="24"/>
      <c r="AF77" s="24">
        <v>480</v>
      </c>
      <c r="AG77" s="24">
        <v>700</v>
      </c>
      <c r="AH77" s="24"/>
      <c r="AI77" s="24">
        <v>50</v>
      </c>
      <c r="AJ77" s="24"/>
      <c r="AK77" s="24">
        <v>3500</v>
      </c>
      <c r="AL77" s="24">
        <v>155</v>
      </c>
      <c r="AM77" s="24"/>
      <c r="AN77" s="24"/>
      <c r="AO77" s="24"/>
      <c r="AP77" s="24">
        <v>200</v>
      </c>
      <c r="AQ77" s="24"/>
      <c r="AR77" s="24"/>
      <c r="AS77" s="24"/>
      <c r="AT77" s="24"/>
      <c r="AU77" s="24"/>
      <c r="AV77" s="24"/>
      <c r="AW77" s="24"/>
      <c r="AX77" s="24">
        <v>400</v>
      </c>
      <c r="AY77" s="24"/>
      <c r="AZ77" s="24"/>
      <c r="BA77" s="24"/>
      <c r="BB77" s="24">
        <f t="shared" si="36"/>
        <v>6021</v>
      </c>
      <c r="BC77" s="31">
        <f t="shared" si="43"/>
        <v>6541</v>
      </c>
    </row>
    <row r="78" spans="1:55" ht="12.75">
      <c r="A78" s="61">
        <v>72</v>
      </c>
      <c r="B78" s="24" t="s">
        <v>363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>
        <f t="shared" si="42"/>
        <v>0</v>
      </c>
      <c r="S78" s="24">
        <v>110</v>
      </c>
      <c r="T78" s="24"/>
      <c r="U78" s="24"/>
      <c r="V78" s="24"/>
      <c r="W78" s="24"/>
      <c r="X78" s="24">
        <v>600</v>
      </c>
      <c r="Y78" s="24"/>
      <c r="Z78" s="24"/>
      <c r="AA78" s="24"/>
      <c r="AB78" s="24"/>
      <c r="AC78" s="24"/>
      <c r="AD78" s="24"/>
      <c r="AE78" s="24"/>
      <c r="AF78" s="24">
        <v>115</v>
      </c>
      <c r="AG78" s="24">
        <v>550</v>
      </c>
      <c r="AH78" s="24">
        <v>9578</v>
      </c>
      <c r="AI78" s="24">
        <v>50</v>
      </c>
      <c r="AJ78" s="24"/>
      <c r="AK78" s="24">
        <v>910</v>
      </c>
      <c r="AL78" s="24">
        <v>280</v>
      </c>
      <c r="AM78" s="24"/>
      <c r="AN78" s="24"/>
      <c r="AO78" s="24"/>
      <c r="AP78" s="24">
        <v>40</v>
      </c>
      <c r="AQ78" s="24"/>
      <c r="AR78" s="24"/>
      <c r="AS78" s="24"/>
      <c r="AT78" s="24"/>
      <c r="AU78" s="24"/>
      <c r="AV78" s="24"/>
      <c r="AW78" s="24"/>
      <c r="AX78" s="24">
        <v>250</v>
      </c>
      <c r="AY78" s="24">
        <v>15</v>
      </c>
      <c r="AZ78" s="24"/>
      <c r="BA78" s="24">
        <v>15</v>
      </c>
      <c r="BB78" s="24">
        <f t="shared" si="36"/>
        <v>12403</v>
      </c>
      <c r="BC78" s="31">
        <f t="shared" si="43"/>
        <v>12513</v>
      </c>
    </row>
    <row r="79" spans="1:55" ht="12.75">
      <c r="A79" s="61">
        <v>73</v>
      </c>
      <c r="B79" s="24" t="s">
        <v>364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>
        <f t="shared" si="42"/>
        <v>0</v>
      </c>
      <c r="S79" s="24">
        <v>300</v>
      </c>
      <c r="T79" s="24"/>
      <c r="U79" s="24"/>
      <c r="V79" s="24"/>
      <c r="W79" s="24"/>
      <c r="X79" s="24">
        <v>670</v>
      </c>
      <c r="Y79" s="24"/>
      <c r="Z79" s="24"/>
      <c r="AA79" s="24"/>
      <c r="AB79" s="24"/>
      <c r="AC79" s="24"/>
      <c r="AD79" s="24"/>
      <c r="AE79" s="24"/>
      <c r="AF79" s="24">
        <v>215</v>
      </c>
      <c r="AG79" s="24">
        <v>185</v>
      </c>
      <c r="AH79" s="24"/>
      <c r="AI79" s="24">
        <v>200</v>
      </c>
      <c r="AJ79" s="24"/>
      <c r="AK79" s="24">
        <v>450</v>
      </c>
      <c r="AL79" s="24">
        <v>55</v>
      </c>
      <c r="AM79" s="24"/>
      <c r="AN79" s="24"/>
      <c r="AO79" s="24"/>
      <c r="AP79" s="24">
        <v>30</v>
      </c>
      <c r="AQ79" s="24"/>
      <c r="AR79" s="24"/>
      <c r="AS79" s="24"/>
      <c r="AT79" s="24"/>
      <c r="AU79" s="24"/>
      <c r="AV79" s="24"/>
      <c r="AW79" s="24"/>
      <c r="AX79" s="24">
        <v>45</v>
      </c>
      <c r="AY79" s="24">
        <v>85</v>
      </c>
      <c r="AZ79" s="24"/>
      <c r="BA79" s="24">
        <v>15</v>
      </c>
      <c r="BB79" s="24">
        <f t="shared" si="36"/>
        <v>1950</v>
      </c>
      <c r="BC79" s="31">
        <f t="shared" si="43"/>
        <v>2250</v>
      </c>
    </row>
    <row r="80" spans="1:55" ht="12.75">
      <c r="A80" s="164">
        <v>74</v>
      </c>
      <c r="B80" s="24" t="s">
        <v>365</v>
      </c>
      <c r="C80" s="24"/>
      <c r="D80" s="24">
        <f>'[8]680001'!$H$15</f>
        <v>120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>
        <f t="shared" si="42"/>
        <v>120</v>
      </c>
      <c r="S80" s="24">
        <v>70</v>
      </c>
      <c r="T80" s="24"/>
      <c r="U80" s="24"/>
      <c r="V80" s="24">
        <v>1299</v>
      </c>
      <c r="W80" s="24"/>
      <c r="X80" s="24"/>
      <c r="Y80" s="24"/>
      <c r="Z80" s="24"/>
      <c r="AA80" s="24">
        <v>50</v>
      </c>
      <c r="AB80" s="24">
        <v>200</v>
      </c>
      <c r="AC80" s="24"/>
      <c r="AD80" s="24"/>
      <c r="AE80" s="24"/>
      <c r="AF80" s="24"/>
      <c r="AG80" s="24">
        <v>50</v>
      </c>
      <c r="AH80" s="24"/>
      <c r="AI80" s="24">
        <v>50</v>
      </c>
      <c r="AJ80" s="24"/>
      <c r="AK80" s="24">
        <v>195</v>
      </c>
      <c r="AL80" s="24">
        <v>180</v>
      </c>
      <c r="AM80" s="24"/>
      <c r="AN80" s="24"/>
      <c r="AO80" s="24"/>
      <c r="AP80" s="24">
        <v>220</v>
      </c>
      <c r="AQ80" s="24"/>
      <c r="AR80" s="24"/>
      <c r="AS80" s="24"/>
      <c r="AT80" s="24"/>
      <c r="AU80" s="24"/>
      <c r="AV80" s="24"/>
      <c r="AW80" s="24"/>
      <c r="AX80" s="24">
        <v>60</v>
      </c>
      <c r="AY80" s="24"/>
      <c r="AZ80" s="24"/>
      <c r="BA80" s="24">
        <v>30</v>
      </c>
      <c r="BB80" s="24">
        <f t="shared" si="36"/>
        <v>2334</v>
      </c>
      <c r="BC80" s="31">
        <f t="shared" si="43"/>
        <v>2524</v>
      </c>
    </row>
    <row r="81" spans="1:56" ht="12.75">
      <c r="A81" s="61">
        <v>75</v>
      </c>
      <c r="B81" s="24" t="s">
        <v>366</v>
      </c>
      <c r="C81" s="24"/>
      <c r="D81" s="24"/>
      <c r="E81" s="24">
        <v>375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>
        <f t="shared" si="42"/>
        <v>375</v>
      </c>
      <c r="S81" s="24">
        <v>18</v>
      </c>
      <c r="T81" s="24"/>
      <c r="U81" s="24">
        <v>720</v>
      </c>
      <c r="V81" s="24"/>
      <c r="W81" s="24"/>
      <c r="X81" s="206">
        <v>65</v>
      </c>
      <c r="Y81" s="24"/>
      <c r="Z81" s="24"/>
      <c r="AA81" s="24"/>
      <c r="AB81" s="24"/>
      <c r="AC81" s="24"/>
      <c r="AD81" s="24"/>
      <c r="AE81" s="24"/>
      <c r="AF81" s="24">
        <v>640</v>
      </c>
      <c r="AG81" s="24">
        <v>700</v>
      </c>
      <c r="AH81" s="24">
        <v>705</v>
      </c>
      <c r="AJ81" s="24"/>
      <c r="AK81" s="24">
        <v>90</v>
      </c>
      <c r="AL81" s="24">
        <v>20</v>
      </c>
      <c r="AM81" s="24"/>
      <c r="AN81" s="24"/>
      <c r="AO81" s="24"/>
      <c r="AP81" s="24">
        <v>10</v>
      </c>
      <c r="AQ81" s="24"/>
      <c r="AR81" s="24"/>
      <c r="AS81" s="24">
        <v>220</v>
      </c>
      <c r="AT81" s="24"/>
      <c r="AU81" s="24"/>
      <c r="AV81" s="24"/>
      <c r="AW81" s="24"/>
      <c r="AX81" s="24"/>
      <c r="AY81" s="24"/>
      <c r="AZ81" s="24"/>
      <c r="BA81" s="24"/>
      <c r="BB81" s="24">
        <f t="shared" si="36"/>
        <v>3170</v>
      </c>
      <c r="BC81" s="31">
        <f t="shared" si="43"/>
        <v>3563</v>
      </c>
      <c r="BD81" s="63">
        <v>6205</v>
      </c>
    </row>
    <row r="82" spans="1:55" ht="12.75">
      <c r="A82" s="61">
        <v>76</v>
      </c>
      <c r="B82" s="24" t="s">
        <v>367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>
        <f t="shared" si="42"/>
        <v>0</v>
      </c>
      <c r="S82" s="24">
        <v>61</v>
      </c>
      <c r="T82" s="24"/>
      <c r="U82" s="24"/>
      <c r="V82" s="24"/>
      <c r="W82" s="24"/>
      <c r="X82" s="24">
        <v>120</v>
      </c>
      <c r="Y82" s="24"/>
      <c r="Z82" s="24"/>
      <c r="AA82" s="24"/>
      <c r="AB82" s="24"/>
      <c r="AC82" s="24"/>
      <c r="AD82" s="24"/>
      <c r="AE82" s="24"/>
      <c r="AF82" s="24"/>
      <c r="AG82" s="24">
        <v>874</v>
      </c>
      <c r="AH82" s="24"/>
      <c r="AI82" s="24"/>
      <c r="AJ82" s="24"/>
      <c r="AK82" s="24">
        <v>20</v>
      </c>
      <c r="AL82" s="24"/>
      <c r="AM82" s="24"/>
      <c r="AN82" s="24"/>
      <c r="AO82" s="24"/>
      <c r="AP82" s="24">
        <v>115</v>
      </c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>
        <f t="shared" si="36"/>
        <v>1129</v>
      </c>
      <c r="BC82" s="31">
        <f t="shared" si="43"/>
        <v>1190</v>
      </c>
    </row>
    <row r="83" spans="1:55" ht="12.75">
      <c r="A83" s="61">
        <v>77</v>
      </c>
      <c r="B83" s="24" t="s">
        <v>368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>
        <f t="shared" si="42"/>
        <v>0</v>
      </c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>
        <f t="shared" si="36"/>
        <v>0</v>
      </c>
      <c r="BC83" s="31">
        <f t="shared" si="43"/>
        <v>0</v>
      </c>
    </row>
    <row r="84" spans="1:56" ht="12.75">
      <c r="A84" s="164">
        <v>78</v>
      </c>
      <c r="B84" s="24" t="s">
        <v>369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>
        <f t="shared" si="42"/>
        <v>0</v>
      </c>
      <c r="S84" s="24"/>
      <c r="T84" s="24"/>
      <c r="U84" s="24"/>
      <c r="V84" s="24"/>
      <c r="W84" s="24"/>
      <c r="Y84" s="24"/>
      <c r="Z84" s="24"/>
      <c r="AA84" s="24"/>
      <c r="AB84" s="24">
        <v>3400</v>
      </c>
      <c r="AC84" s="24"/>
      <c r="AD84" s="24"/>
      <c r="AE84" s="24"/>
      <c r="AF84" s="24"/>
      <c r="AG84" s="24">
        <v>-1500</v>
      </c>
      <c r="AH84" s="24"/>
      <c r="AI84" s="24">
        <v>1500</v>
      </c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>
        <f t="shared" si="36"/>
        <v>3400</v>
      </c>
      <c r="BC84" s="31">
        <f t="shared" si="43"/>
        <v>3400</v>
      </c>
      <c r="BD84" s="63">
        <v>6400</v>
      </c>
    </row>
    <row r="85" spans="1:55" s="64" customFormat="1" ht="12.75">
      <c r="A85" s="61">
        <v>79</v>
      </c>
      <c r="B85" s="31" t="s">
        <v>370</v>
      </c>
      <c r="C85" s="31">
        <f>SUM(C74:C84)</f>
        <v>17</v>
      </c>
      <c r="D85" s="31">
        <f aca="true" t="shared" si="44" ref="D85:Q85">SUM(D74:D84)</f>
        <v>120</v>
      </c>
      <c r="E85" s="31">
        <f t="shared" si="44"/>
        <v>375</v>
      </c>
      <c r="F85" s="31">
        <f t="shared" si="44"/>
        <v>0</v>
      </c>
      <c r="G85" s="31">
        <f t="shared" si="44"/>
        <v>0</v>
      </c>
      <c r="H85" s="31">
        <f t="shared" si="44"/>
        <v>0</v>
      </c>
      <c r="I85" s="31">
        <f t="shared" si="44"/>
        <v>0</v>
      </c>
      <c r="J85" s="31">
        <f t="shared" si="44"/>
        <v>0</v>
      </c>
      <c r="K85" s="31">
        <f t="shared" si="44"/>
        <v>0</v>
      </c>
      <c r="L85" s="31">
        <f t="shared" si="44"/>
        <v>0</v>
      </c>
      <c r="M85" s="31">
        <f t="shared" si="44"/>
        <v>0</v>
      </c>
      <c r="N85" s="31">
        <f t="shared" si="44"/>
        <v>0</v>
      </c>
      <c r="O85" s="31">
        <f t="shared" si="44"/>
        <v>0</v>
      </c>
      <c r="P85" s="31">
        <f t="shared" si="44"/>
        <v>0</v>
      </c>
      <c r="Q85" s="31">
        <f t="shared" si="44"/>
        <v>0</v>
      </c>
      <c r="R85" s="24">
        <f t="shared" si="42"/>
        <v>512</v>
      </c>
      <c r="S85" s="31">
        <f>SUM(S74:S84)</f>
        <v>1079</v>
      </c>
      <c r="T85" s="31">
        <f>SUM(T74:T84)</f>
        <v>0</v>
      </c>
      <c r="U85" s="31">
        <f aca="true" t="shared" si="45" ref="U85:BA85">SUM(U74:U84)</f>
        <v>720</v>
      </c>
      <c r="V85" s="31">
        <f t="shared" si="45"/>
        <v>1517</v>
      </c>
      <c r="W85" s="31">
        <f t="shared" si="45"/>
        <v>0</v>
      </c>
      <c r="X85" s="31">
        <f t="shared" si="45"/>
        <v>1991</v>
      </c>
      <c r="Y85" s="31">
        <f t="shared" si="45"/>
        <v>0</v>
      </c>
      <c r="Z85" s="31">
        <f t="shared" si="45"/>
        <v>0</v>
      </c>
      <c r="AA85" s="31">
        <f t="shared" si="45"/>
        <v>50</v>
      </c>
      <c r="AB85" s="31">
        <f t="shared" si="45"/>
        <v>4300</v>
      </c>
      <c r="AC85" s="31">
        <f t="shared" si="45"/>
        <v>0</v>
      </c>
      <c r="AD85" s="31">
        <f t="shared" si="45"/>
        <v>0</v>
      </c>
      <c r="AE85" s="31">
        <f t="shared" si="45"/>
        <v>50</v>
      </c>
      <c r="AF85" s="31">
        <f t="shared" si="45"/>
        <v>1530</v>
      </c>
      <c r="AG85" s="31">
        <f t="shared" si="45"/>
        <v>1669</v>
      </c>
      <c r="AH85" s="31">
        <f t="shared" si="45"/>
        <v>10283</v>
      </c>
      <c r="AI85" s="31">
        <f t="shared" si="45"/>
        <v>1850</v>
      </c>
      <c r="AJ85" s="31">
        <f t="shared" si="45"/>
        <v>0</v>
      </c>
      <c r="AK85" s="31">
        <f t="shared" si="45"/>
        <v>10884</v>
      </c>
      <c r="AL85" s="31">
        <f t="shared" si="45"/>
        <v>690</v>
      </c>
      <c r="AM85" s="31">
        <f t="shared" si="45"/>
        <v>0</v>
      </c>
      <c r="AN85" s="31">
        <f t="shared" si="45"/>
        <v>0</v>
      </c>
      <c r="AO85" s="31">
        <f t="shared" si="45"/>
        <v>0</v>
      </c>
      <c r="AP85" s="31">
        <f t="shared" si="45"/>
        <v>615</v>
      </c>
      <c r="AQ85" s="31">
        <f t="shared" si="45"/>
        <v>0</v>
      </c>
      <c r="AR85" s="31">
        <f t="shared" si="45"/>
        <v>0</v>
      </c>
      <c r="AS85" s="31">
        <f t="shared" si="45"/>
        <v>220</v>
      </c>
      <c r="AT85" s="31">
        <f t="shared" si="45"/>
        <v>0</v>
      </c>
      <c r="AU85" s="31">
        <f t="shared" si="45"/>
        <v>0</v>
      </c>
      <c r="AV85" s="31">
        <f t="shared" si="45"/>
        <v>0</v>
      </c>
      <c r="AW85" s="31">
        <f t="shared" si="45"/>
        <v>0</v>
      </c>
      <c r="AX85" s="31">
        <f t="shared" si="45"/>
        <v>755</v>
      </c>
      <c r="AY85" s="31">
        <f t="shared" si="45"/>
        <v>100</v>
      </c>
      <c r="AZ85" s="31">
        <f t="shared" si="45"/>
        <v>0</v>
      </c>
      <c r="BA85" s="31">
        <f t="shared" si="45"/>
        <v>60</v>
      </c>
      <c r="BB85" s="24">
        <f t="shared" si="36"/>
        <v>37284</v>
      </c>
      <c r="BC85" s="31">
        <f t="shared" si="43"/>
        <v>38875</v>
      </c>
    </row>
    <row r="86" spans="1:55" ht="12.75">
      <c r="A86" s="61">
        <v>80</v>
      </c>
      <c r="B86" s="24" t="s">
        <v>371</v>
      </c>
      <c r="C86" s="24">
        <v>210</v>
      </c>
      <c r="D86" s="24"/>
      <c r="E86" s="24">
        <v>4816</v>
      </c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>
        <f t="shared" si="42"/>
        <v>5026</v>
      </c>
      <c r="S86" s="24">
        <v>385</v>
      </c>
      <c r="T86" s="24">
        <v>5676</v>
      </c>
      <c r="U86" s="24">
        <v>6500</v>
      </c>
      <c r="V86" s="24"/>
      <c r="W86" s="24"/>
      <c r="X86" s="206">
        <v>268</v>
      </c>
      <c r="Y86" s="24"/>
      <c r="Z86" s="24"/>
      <c r="AA86" s="24"/>
      <c r="AB86" s="24">
        <v>100</v>
      </c>
      <c r="AC86" s="24">
        <v>250</v>
      </c>
      <c r="AD86" s="24"/>
      <c r="AE86" s="24"/>
      <c r="AF86" s="24">
        <v>688</v>
      </c>
      <c r="AG86" s="24">
        <f>3745-35</f>
        <v>3710</v>
      </c>
      <c r="AH86" s="24"/>
      <c r="AI86" s="24">
        <v>13970</v>
      </c>
      <c r="AJ86" s="24">
        <v>500</v>
      </c>
      <c r="AK86" s="24">
        <v>462</v>
      </c>
      <c r="AL86" s="24">
        <v>4410</v>
      </c>
      <c r="AM86" s="63">
        <v>1334</v>
      </c>
      <c r="AN86" s="24">
        <v>300</v>
      </c>
      <c r="AO86" s="24">
        <v>1200</v>
      </c>
      <c r="AP86" s="24"/>
      <c r="AQ86" s="24"/>
      <c r="AR86" s="24">
        <v>1172</v>
      </c>
      <c r="AS86" s="24">
        <v>50</v>
      </c>
      <c r="AT86" s="24"/>
      <c r="AU86" s="24"/>
      <c r="AV86" s="24"/>
      <c r="AW86" s="24"/>
      <c r="AX86" s="24">
        <v>6378</v>
      </c>
      <c r="AY86" s="24"/>
      <c r="AZ86" s="24"/>
      <c r="BA86" s="24">
        <v>300</v>
      </c>
      <c r="BB86" s="24">
        <f t="shared" si="36"/>
        <v>47268</v>
      </c>
      <c r="BC86" s="31">
        <f t="shared" si="43"/>
        <v>52679</v>
      </c>
    </row>
    <row r="87" spans="1:55" ht="12.75">
      <c r="A87" s="61">
        <v>81</v>
      </c>
      <c r="B87" s="24" t="s">
        <v>372</v>
      </c>
      <c r="C87" s="24">
        <v>309</v>
      </c>
      <c r="D87" s="24"/>
      <c r="E87" s="24">
        <v>734</v>
      </c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>
        <f t="shared" si="42"/>
        <v>1043</v>
      </c>
      <c r="S87" s="24">
        <v>653</v>
      </c>
      <c r="T87" s="24"/>
      <c r="U87" s="24">
        <v>2472</v>
      </c>
      <c r="V87" s="24">
        <v>481</v>
      </c>
      <c r="W87" s="24">
        <v>715</v>
      </c>
      <c r="X87" s="24">
        <v>2805</v>
      </c>
      <c r="Y87" s="24">
        <v>608</v>
      </c>
      <c r="Z87" s="24">
        <v>700</v>
      </c>
      <c r="AA87" s="24">
        <v>27</v>
      </c>
      <c r="AB87" s="24">
        <v>1215</v>
      </c>
      <c r="AC87" s="24"/>
      <c r="AD87" s="24"/>
      <c r="AE87" s="24">
        <v>78</v>
      </c>
      <c r="AF87" s="24">
        <v>2389</v>
      </c>
      <c r="AG87" s="24">
        <v>2467</v>
      </c>
      <c r="AH87" s="24">
        <v>2636</v>
      </c>
      <c r="AI87" s="24">
        <v>4366</v>
      </c>
      <c r="AJ87" s="24">
        <v>135</v>
      </c>
      <c r="AK87" s="24">
        <v>3199</v>
      </c>
      <c r="AL87" s="24">
        <v>433</v>
      </c>
      <c r="AM87" s="24"/>
      <c r="AN87" s="24"/>
      <c r="AO87" s="24"/>
      <c r="AP87" s="24">
        <v>220</v>
      </c>
      <c r="AQ87" s="24">
        <v>265</v>
      </c>
      <c r="AR87" s="24"/>
      <c r="AS87" s="24">
        <v>369</v>
      </c>
      <c r="AT87" s="24"/>
      <c r="AU87" s="24">
        <v>27</v>
      </c>
      <c r="AV87" s="24"/>
      <c r="AW87" s="24">
        <v>107</v>
      </c>
      <c r="AX87" s="24">
        <v>2051</v>
      </c>
      <c r="AY87" s="24">
        <v>125</v>
      </c>
      <c r="AZ87" s="24">
        <v>84</v>
      </c>
      <c r="BA87" s="24">
        <v>111</v>
      </c>
      <c r="BB87" s="24">
        <f t="shared" si="36"/>
        <v>28085</v>
      </c>
      <c r="BC87" s="31">
        <f t="shared" si="43"/>
        <v>29781</v>
      </c>
    </row>
    <row r="88" spans="1:55" ht="12.75">
      <c r="A88" s="164">
        <v>82</v>
      </c>
      <c r="B88" s="24" t="s">
        <v>373</v>
      </c>
      <c r="C88" s="24">
        <v>690</v>
      </c>
      <c r="D88" s="24"/>
      <c r="E88" s="24">
        <v>914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>
        <f t="shared" si="42"/>
        <v>1604</v>
      </c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>
        <v>3845</v>
      </c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>
        <f t="shared" si="36"/>
        <v>3845</v>
      </c>
      <c r="BC88" s="31">
        <f t="shared" si="43"/>
        <v>5449</v>
      </c>
    </row>
    <row r="89" spans="1:55" ht="12.75">
      <c r="A89" s="61">
        <v>83</v>
      </c>
      <c r="B89" s="24" t="s">
        <v>374</v>
      </c>
      <c r="C89" s="24">
        <v>10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>
        <f t="shared" si="42"/>
        <v>10</v>
      </c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>
        <f t="shared" si="36"/>
        <v>0</v>
      </c>
      <c r="BC89" s="31">
        <f t="shared" si="43"/>
        <v>10</v>
      </c>
    </row>
    <row r="90" spans="1:55" s="64" customFormat="1" ht="12.75">
      <c r="A90" s="61">
        <v>84</v>
      </c>
      <c r="B90" s="31" t="s">
        <v>375</v>
      </c>
      <c r="C90" s="31">
        <f>SUM(C87:C89)</f>
        <v>1009</v>
      </c>
      <c r="D90" s="31">
        <f aca="true" t="shared" si="46" ref="D90:Q90">SUM(D87:D89)</f>
        <v>0</v>
      </c>
      <c r="E90" s="31">
        <f t="shared" si="46"/>
        <v>1648</v>
      </c>
      <c r="F90" s="31">
        <f t="shared" si="46"/>
        <v>0</v>
      </c>
      <c r="G90" s="31">
        <f t="shared" si="46"/>
        <v>0</v>
      </c>
      <c r="H90" s="31">
        <f t="shared" si="46"/>
        <v>0</v>
      </c>
      <c r="I90" s="31">
        <f t="shared" si="46"/>
        <v>0</v>
      </c>
      <c r="J90" s="31">
        <f t="shared" si="46"/>
        <v>0</v>
      </c>
      <c r="K90" s="31">
        <f t="shared" si="46"/>
        <v>0</v>
      </c>
      <c r="L90" s="31">
        <f t="shared" si="46"/>
        <v>0</v>
      </c>
      <c r="M90" s="31">
        <f t="shared" si="46"/>
        <v>0</v>
      </c>
      <c r="N90" s="31">
        <f t="shared" si="46"/>
        <v>0</v>
      </c>
      <c r="O90" s="31">
        <f t="shared" si="46"/>
        <v>0</v>
      </c>
      <c r="P90" s="31">
        <f t="shared" si="46"/>
        <v>0</v>
      </c>
      <c r="Q90" s="31">
        <f t="shared" si="46"/>
        <v>0</v>
      </c>
      <c r="R90" s="24">
        <f t="shared" si="42"/>
        <v>2657</v>
      </c>
      <c r="S90" s="31">
        <f>SUM(S87:S89)</f>
        <v>653</v>
      </c>
      <c r="T90" s="31">
        <f>SUM(T87:T89)</f>
        <v>0</v>
      </c>
      <c r="U90" s="31">
        <f aca="true" t="shared" si="47" ref="U90:BA90">SUM(U87:U89)</f>
        <v>2472</v>
      </c>
      <c r="V90" s="31">
        <f t="shared" si="47"/>
        <v>481</v>
      </c>
      <c r="W90" s="31">
        <f t="shared" si="47"/>
        <v>715</v>
      </c>
      <c r="X90" s="31">
        <f t="shared" si="47"/>
        <v>2805</v>
      </c>
      <c r="Y90" s="31">
        <f t="shared" si="47"/>
        <v>608</v>
      </c>
      <c r="Z90" s="31">
        <f t="shared" si="47"/>
        <v>700</v>
      </c>
      <c r="AA90" s="31">
        <f t="shared" si="47"/>
        <v>27</v>
      </c>
      <c r="AB90" s="31">
        <f t="shared" si="47"/>
        <v>1215</v>
      </c>
      <c r="AC90" s="31">
        <f t="shared" si="47"/>
        <v>0</v>
      </c>
      <c r="AD90" s="31">
        <f t="shared" si="47"/>
        <v>0</v>
      </c>
      <c r="AE90" s="31">
        <f t="shared" si="47"/>
        <v>78</v>
      </c>
      <c r="AF90" s="31">
        <f t="shared" si="47"/>
        <v>2389</v>
      </c>
      <c r="AG90" s="31">
        <f t="shared" si="47"/>
        <v>6312</v>
      </c>
      <c r="AH90" s="31">
        <f t="shared" si="47"/>
        <v>2636</v>
      </c>
      <c r="AI90" s="31">
        <f t="shared" si="47"/>
        <v>4366</v>
      </c>
      <c r="AJ90" s="31">
        <f t="shared" si="47"/>
        <v>135</v>
      </c>
      <c r="AK90" s="31">
        <f t="shared" si="47"/>
        <v>3199</v>
      </c>
      <c r="AL90" s="31">
        <f t="shared" si="47"/>
        <v>433</v>
      </c>
      <c r="AM90" s="31">
        <f t="shared" si="47"/>
        <v>0</v>
      </c>
      <c r="AN90" s="31">
        <f t="shared" si="47"/>
        <v>0</v>
      </c>
      <c r="AO90" s="31">
        <f t="shared" si="47"/>
        <v>0</v>
      </c>
      <c r="AP90" s="31">
        <f t="shared" si="47"/>
        <v>220</v>
      </c>
      <c r="AQ90" s="31">
        <f t="shared" si="47"/>
        <v>265</v>
      </c>
      <c r="AR90" s="31">
        <f t="shared" si="47"/>
        <v>0</v>
      </c>
      <c r="AS90" s="31">
        <f t="shared" si="47"/>
        <v>369</v>
      </c>
      <c r="AT90" s="31">
        <f t="shared" si="47"/>
        <v>0</v>
      </c>
      <c r="AU90" s="31">
        <f t="shared" si="47"/>
        <v>27</v>
      </c>
      <c r="AV90" s="31">
        <f t="shared" si="47"/>
        <v>0</v>
      </c>
      <c r="AW90" s="31">
        <f t="shared" si="47"/>
        <v>107</v>
      </c>
      <c r="AX90" s="31">
        <f t="shared" si="47"/>
        <v>2051</v>
      </c>
      <c r="AY90" s="31">
        <f t="shared" si="47"/>
        <v>125</v>
      </c>
      <c r="AZ90" s="31">
        <f t="shared" si="47"/>
        <v>84</v>
      </c>
      <c r="BA90" s="31">
        <f t="shared" si="47"/>
        <v>111</v>
      </c>
      <c r="BB90" s="24">
        <f t="shared" si="36"/>
        <v>31930</v>
      </c>
      <c r="BC90" s="31">
        <f t="shared" si="43"/>
        <v>35240</v>
      </c>
    </row>
    <row r="91" spans="1:55" ht="12.75">
      <c r="A91" s="61">
        <v>85</v>
      </c>
      <c r="B91" s="24" t="s">
        <v>376</v>
      </c>
      <c r="C91" s="24"/>
      <c r="D91" s="24"/>
      <c r="E91" s="24">
        <v>192</v>
      </c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>
        <f t="shared" si="42"/>
        <v>192</v>
      </c>
      <c r="S91" s="24">
        <v>14</v>
      </c>
      <c r="T91" s="24"/>
      <c r="U91" s="24"/>
      <c r="V91" s="24"/>
      <c r="W91" s="24"/>
      <c r="X91" s="24">
        <v>30</v>
      </c>
      <c r="Y91" s="24"/>
      <c r="Z91" s="24"/>
      <c r="AA91" s="24"/>
      <c r="AB91" s="24"/>
      <c r="AC91" s="24"/>
      <c r="AD91" s="24"/>
      <c r="AE91" s="24"/>
      <c r="AF91" s="24">
        <v>55</v>
      </c>
      <c r="AG91" s="24">
        <v>330</v>
      </c>
      <c r="AH91" s="24"/>
      <c r="AI91" s="24"/>
      <c r="AJ91" s="24"/>
      <c r="AK91" s="24"/>
      <c r="AL91" s="24">
        <v>60</v>
      </c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>
        <f t="shared" si="36"/>
        <v>475</v>
      </c>
      <c r="BC91" s="31">
        <f t="shared" si="43"/>
        <v>681</v>
      </c>
    </row>
    <row r="92" spans="1:55" ht="12.75">
      <c r="A92" s="164">
        <v>86</v>
      </c>
      <c r="B92" s="24" t="s">
        <v>377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>
        <f>SUM(C92:Q92)</f>
        <v>0</v>
      </c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>
        <f t="shared" si="36"/>
        <v>0</v>
      </c>
      <c r="BC92" s="31">
        <f t="shared" si="43"/>
        <v>0</v>
      </c>
    </row>
    <row r="93" spans="1:55" ht="12.75">
      <c r="A93" s="61">
        <v>87</v>
      </c>
      <c r="B93" s="24" t="s">
        <v>378</v>
      </c>
      <c r="D93" s="24"/>
      <c r="E93" s="24">
        <v>124</v>
      </c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>
        <f t="shared" si="42"/>
        <v>124</v>
      </c>
      <c r="S93" s="24">
        <v>5</v>
      </c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>
        <v>200</v>
      </c>
      <c r="AJ93" s="24"/>
      <c r="AK93" s="24"/>
      <c r="AL93" s="24">
        <v>215</v>
      </c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>
        <f t="shared" si="36"/>
        <v>415</v>
      </c>
      <c r="BC93" s="31">
        <f t="shared" si="43"/>
        <v>544</v>
      </c>
    </row>
    <row r="94" spans="1:55" s="64" customFormat="1" ht="12.75">
      <c r="A94" s="61">
        <v>88</v>
      </c>
      <c r="B94" s="31" t="s">
        <v>379</v>
      </c>
      <c r="C94" s="31">
        <f>SUM(C91:C92)</f>
        <v>0</v>
      </c>
      <c r="D94" s="31">
        <f aca="true" t="shared" si="48" ref="D94:Q94">SUM(D91:D92)</f>
        <v>0</v>
      </c>
      <c r="E94" s="31">
        <f>SUM(E91:E93)</f>
        <v>316</v>
      </c>
      <c r="F94" s="31">
        <f t="shared" si="48"/>
        <v>0</v>
      </c>
      <c r="G94" s="31">
        <f t="shared" si="48"/>
        <v>0</v>
      </c>
      <c r="H94" s="31">
        <f t="shared" si="48"/>
        <v>0</v>
      </c>
      <c r="I94" s="31">
        <f t="shared" si="48"/>
        <v>0</v>
      </c>
      <c r="J94" s="31">
        <f t="shared" si="48"/>
        <v>0</v>
      </c>
      <c r="K94" s="31">
        <f t="shared" si="48"/>
        <v>0</v>
      </c>
      <c r="L94" s="31">
        <f t="shared" si="48"/>
        <v>0</v>
      </c>
      <c r="M94" s="31">
        <f t="shared" si="48"/>
        <v>0</v>
      </c>
      <c r="N94" s="31">
        <f t="shared" si="48"/>
        <v>0</v>
      </c>
      <c r="O94" s="31">
        <f t="shared" si="48"/>
        <v>0</v>
      </c>
      <c r="P94" s="31">
        <f t="shared" si="48"/>
        <v>0</v>
      </c>
      <c r="Q94" s="31">
        <f t="shared" si="48"/>
        <v>0</v>
      </c>
      <c r="R94" s="24">
        <f t="shared" si="42"/>
        <v>316</v>
      </c>
      <c r="S94" s="31">
        <f>SUM(S91:S93)</f>
        <v>19</v>
      </c>
      <c r="T94" s="31">
        <f>SUM(T91:T93)</f>
        <v>0</v>
      </c>
      <c r="U94" s="31">
        <f aca="true" t="shared" si="49" ref="U94:BA94">SUM(U91:U93)</f>
        <v>0</v>
      </c>
      <c r="V94" s="31">
        <f t="shared" si="49"/>
        <v>0</v>
      </c>
      <c r="W94" s="31">
        <f t="shared" si="49"/>
        <v>0</v>
      </c>
      <c r="X94" s="31">
        <f t="shared" si="49"/>
        <v>30</v>
      </c>
      <c r="Y94" s="31">
        <f t="shared" si="49"/>
        <v>0</v>
      </c>
      <c r="Z94" s="31">
        <f t="shared" si="49"/>
        <v>0</v>
      </c>
      <c r="AA94" s="31">
        <f t="shared" si="49"/>
        <v>0</v>
      </c>
      <c r="AB94" s="31">
        <f t="shared" si="49"/>
        <v>0</v>
      </c>
      <c r="AC94" s="31">
        <f t="shared" si="49"/>
        <v>0</v>
      </c>
      <c r="AD94" s="31">
        <f t="shared" si="49"/>
        <v>0</v>
      </c>
      <c r="AE94" s="31">
        <f t="shared" si="49"/>
        <v>0</v>
      </c>
      <c r="AF94" s="31">
        <f t="shared" si="49"/>
        <v>55</v>
      </c>
      <c r="AG94" s="31">
        <f t="shared" si="49"/>
        <v>330</v>
      </c>
      <c r="AH94" s="31">
        <f t="shared" si="49"/>
        <v>0</v>
      </c>
      <c r="AI94" s="31">
        <f t="shared" si="49"/>
        <v>200</v>
      </c>
      <c r="AJ94" s="31">
        <f t="shared" si="49"/>
        <v>0</v>
      </c>
      <c r="AK94" s="31">
        <f t="shared" si="49"/>
        <v>0</v>
      </c>
      <c r="AL94" s="31">
        <f t="shared" si="49"/>
        <v>275</v>
      </c>
      <c r="AM94" s="31">
        <f t="shared" si="49"/>
        <v>0</v>
      </c>
      <c r="AN94" s="31">
        <f t="shared" si="49"/>
        <v>0</v>
      </c>
      <c r="AO94" s="31">
        <f t="shared" si="49"/>
        <v>0</v>
      </c>
      <c r="AP94" s="31">
        <f t="shared" si="49"/>
        <v>0</v>
      </c>
      <c r="AQ94" s="31">
        <f t="shared" si="49"/>
        <v>0</v>
      </c>
      <c r="AR94" s="31">
        <f t="shared" si="49"/>
        <v>0</v>
      </c>
      <c r="AS94" s="31">
        <f t="shared" si="49"/>
        <v>0</v>
      </c>
      <c r="AT94" s="31">
        <f t="shared" si="49"/>
        <v>0</v>
      </c>
      <c r="AU94" s="31">
        <f t="shared" si="49"/>
        <v>0</v>
      </c>
      <c r="AV94" s="31">
        <f t="shared" si="49"/>
        <v>0</v>
      </c>
      <c r="AW94" s="31">
        <f t="shared" si="49"/>
        <v>0</v>
      </c>
      <c r="AX94" s="31">
        <f t="shared" si="49"/>
        <v>0</v>
      </c>
      <c r="AY94" s="31">
        <f t="shared" si="49"/>
        <v>0</v>
      </c>
      <c r="AZ94" s="31">
        <f t="shared" si="49"/>
        <v>0</v>
      </c>
      <c r="BA94" s="31">
        <f t="shared" si="49"/>
        <v>0</v>
      </c>
      <c r="BB94" s="24">
        <f t="shared" si="36"/>
        <v>890</v>
      </c>
      <c r="BC94" s="31">
        <f t="shared" si="43"/>
        <v>1225</v>
      </c>
    </row>
    <row r="95" spans="1:55" ht="12.75">
      <c r="A95" s="61">
        <v>89</v>
      </c>
      <c r="B95" s="24" t="s">
        <v>380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>
        <f t="shared" si="42"/>
        <v>0</v>
      </c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>
        <v>55</v>
      </c>
      <c r="AH95" s="24"/>
      <c r="AI95" s="24"/>
      <c r="AJ95" s="24"/>
      <c r="AK95" s="24">
        <v>10</v>
      </c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>
        <f t="shared" si="36"/>
        <v>65</v>
      </c>
      <c r="BC95" s="31">
        <f t="shared" si="43"/>
        <v>65</v>
      </c>
    </row>
    <row r="96" spans="1:55" s="64" customFormat="1" ht="12.75">
      <c r="A96" s="164">
        <v>90</v>
      </c>
      <c r="B96" s="31" t="s">
        <v>381</v>
      </c>
      <c r="C96" s="31">
        <f>SUM(C95,C94,C90,C86,C85,C73,C69)</f>
        <v>1880</v>
      </c>
      <c r="D96" s="31">
        <f aca="true" t="shared" si="50" ref="D96:Q96">SUM(D95,D94,D90,D86,D85,D73,D69)</f>
        <v>120</v>
      </c>
      <c r="E96" s="31">
        <f t="shared" si="50"/>
        <v>7155</v>
      </c>
      <c r="F96" s="31">
        <f t="shared" si="50"/>
        <v>0</v>
      </c>
      <c r="G96" s="31">
        <f t="shared" si="50"/>
        <v>0</v>
      </c>
      <c r="H96" s="31">
        <f t="shared" si="50"/>
        <v>0</v>
      </c>
      <c r="I96" s="31">
        <f t="shared" si="50"/>
        <v>0</v>
      </c>
      <c r="J96" s="31">
        <f t="shared" si="50"/>
        <v>0</v>
      </c>
      <c r="K96" s="31">
        <f t="shared" si="50"/>
        <v>0</v>
      </c>
      <c r="L96" s="31">
        <f t="shared" si="50"/>
        <v>0</v>
      </c>
      <c r="M96" s="31">
        <f t="shared" si="50"/>
        <v>0</v>
      </c>
      <c r="N96" s="31">
        <f t="shared" si="50"/>
        <v>0</v>
      </c>
      <c r="O96" s="31">
        <f t="shared" si="50"/>
        <v>0</v>
      </c>
      <c r="P96" s="31">
        <f t="shared" si="50"/>
        <v>0</v>
      </c>
      <c r="Q96" s="31">
        <f t="shared" si="50"/>
        <v>0</v>
      </c>
      <c r="R96" s="24">
        <f t="shared" si="42"/>
        <v>9155</v>
      </c>
      <c r="S96" s="31">
        <f>SUM(S95,S94,S90,S86,S85,S73,S69)</f>
        <v>3000</v>
      </c>
      <c r="T96" s="31">
        <f>SUM(T95,T94,T90,T86,T85,T73,T69)</f>
        <v>5676</v>
      </c>
      <c r="U96" s="31">
        <f aca="true" t="shared" si="51" ref="U96:BA96">SUM(U95,U94,U90,U86,U85,U73,U69)</f>
        <v>11627</v>
      </c>
      <c r="V96" s="31">
        <f t="shared" si="51"/>
        <v>2348</v>
      </c>
      <c r="W96" s="31">
        <f t="shared" si="51"/>
        <v>3363</v>
      </c>
      <c r="X96" s="31">
        <f t="shared" si="51"/>
        <v>13910</v>
      </c>
      <c r="Y96" s="31">
        <f t="shared" si="51"/>
        <v>2862</v>
      </c>
      <c r="Z96" s="31">
        <f t="shared" si="51"/>
        <v>3292</v>
      </c>
      <c r="AA96" s="31">
        <f t="shared" si="51"/>
        <v>127</v>
      </c>
      <c r="AB96" s="31">
        <f t="shared" si="51"/>
        <v>5715</v>
      </c>
      <c r="AC96" s="31">
        <f t="shared" si="51"/>
        <v>250</v>
      </c>
      <c r="AD96" s="31">
        <f t="shared" si="51"/>
        <v>0</v>
      </c>
      <c r="AE96" s="31">
        <f t="shared" si="51"/>
        <v>366</v>
      </c>
      <c r="AF96" s="31">
        <f t="shared" si="51"/>
        <v>10692</v>
      </c>
      <c r="AG96" s="31">
        <f t="shared" si="51"/>
        <v>15516</v>
      </c>
      <c r="AH96" s="31">
        <f t="shared" si="51"/>
        <v>12919</v>
      </c>
      <c r="AI96" s="31">
        <f t="shared" si="51"/>
        <v>20736</v>
      </c>
      <c r="AJ96" s="31">
        <f t="shared" si="51"/>
        <v>635</v>
      </c>
      <c r="AK96" s="31">
        <f t="shared" si="51"/>
        <v>15281</v>
      </c>
      <c r="AL96" s="31">
        <f t="shared" si="51"/>
        <v>6287</v>
      </c>
      <c r="AM96" s="31">
        <f t="shared" si="51"/>
        <v>1334</v>
      </c>
      <c r="AN96" s="31">
        <f t="shared" si="51"/>
        <v>300</v>
      </c>
      <c r="AO96" s="31">
        <f t="shared" si="51"/>
        <v>1200</v>
      </c>
      <c r="AP96" s="31">
        <f t="shared" si="51"/>
        <v>1030</v>
      </c>
      <c r="AQ96" s="31">
        <f t="shared" si="51"/>
        <v>1245</v>
      </c>
      <c r="AR96" s="31">
        <f t="shared" si="51"/>
        <v>1172</v>
      </c>
      <c r="AS96" s="31">
        <f t="shared" si="51"/>
        <v>1730</v>
      </c>
      <c r="AT96" s="31">
        <f t="shared" si="51"/>
        <v>0</v>
      </c>
      <c r="AU96" s="31">
        <f t="shared" si="51"/>
        <v>128</v>
      </c>
      <c r="AV96" s="31">
        <f t="shared" si="51"/>
        <v>0</v>
      </c>
      <c r="AW96" s="31">
        <f t="shared" si="51"/>
        <v>498</v>
      </c>
      <c r="AX96" s="31">
        <f t="shared" si="51"/>
        <v>9649</v>
      </c>
      <c r="AY96" s="31">
        <f t="shared" si="51"/>
        <v>605</v>
      </c>
      <c r="AZ96" s="31">
        <f t="shared" si="51"/>
        <v>394</v>
      </c>
      <c r="BA96" s="31">
        <f t="shared" si="51"/>
        <v>521</v>
      </c>
      <c r="BB96" s="24">
        <f t="shared" si="36"/>
        <v>151408</v>
      </c>
      <c r="BC96" s="31">
        <f t="shared" si="43"/>
        <v>163563</v>
      </c>
    </row>
    <row r="97" spans="1:55" ht="12.75">
      <c r="A97" s="61">
        <v>91</v>
      </c>
      <c r="B97" s="24" t="s">
        <v>382</v>
      </c>
      <c r="C97" s="24"/>
      <c r="D97" s="24"/>
      <c r="E97" s="24">
        <v>430</v>
      </c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>
        <f t="shared" si="42"/>
        <v>430</v>
      </c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>
        <f>'[1]kisegmg'!$E$55</f>
        <v>0</v>
      </c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>
        <f t="shared" si="36"/>
        <v>0</v>
      </c>
      <c r="BC97" s="31">
        <f t="shared" si="43"/>
        <v>430</v>
      </c>
    </row>
    <row r="98" spans="1:55" s="64" customFormat="1" ht="12.75">
      <c r="A98" s="61">
        <v>92</v>
      </c>
      <c r="B98" s="31" t="s">
        <v>383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24">
        <f t="shared" si="42"/>
        <v>0</v>
      </c>
      <c r="S98" s="31">
        <f>SUM(S97:S97)</f>
        <v>0</v>
      </c>
      <c r="T98" s="31"/>
      <c r="U98" s="31">
        <f>SUM(U97:U97)</f>
        <v>0</v>
      </c>
      <c r="V98" s="31">
        <f>SUM(V97:V97)</f>
        <v>0</v>
      </c>
      <c r="W98" s="31">
        <f>SUM(W97:W97)</f>
        <v>0</v>
      </c>
      <c r="X98" s="31">
        <f>SUM(X97:X97)</f>
        <v>0</v>
      </c>
      <c r="Y98" s="31">
        <f>SUM(Y97:Y97)</f>
        <v>0</v>
      </c>
      <c r="Z98" s="31"/>
      <c r="AA98" s="31">
        <f aca="true" t="shared" si="52" ref="AA98:AN98">SUM(AA97:AA97)</f>
        <v>0</v>
      </c>
      <c r="AB98" s="31">
        <f t="shared" si="52"/>
        <v>0</v>
      </c>
      <c r="AC98" s="31">
        <f t="shared" si="52"/>
        <v>0</v>
      </c>
      <c r="AD98" s="31">
        <f t="shared" si="52"/>
        <v>0</v>
      </c>
      <c r="AE98" s="31">
        <f t="shared" si="52"/>
        <v>0</v>
      </c>
      <c r="AF98" s="31">
        <f t="shared" si="52"/>
        <v>0</v>
      </c>
      <c r="AG98" s="31">
        <f t="shared" si="52"/>
        <v>0</v>
      </c>
      <c r="AH98" s="31">
        <f t="shared" si="52"/>
        <v>0</v>
      </c>
      <c r="AI98" s="31">
        <f t="shared" si="52"/>
        <v>0</v>
      </c>
      <c r="AJ98" s="31">
        <f t="shared" si="52"/>
        <v>0</v>
      </c>
      <c r="AK98" s="31">
        <f t="shared" si="52"/>
        <v>0</v>
      </c>
      <c r="AL98" s="31">
        <f t="shared" si="52"/>
        <v>0</v>
      </c>
      <c r="AM98" s="31">
        <f t="shared" si="52"/>
        <v>0</v>
      </c>
      <c r="AN98" s="31">
        <f t="shared" si="52"/>
        <v>0</v>
      </c>
      <c r="AO98" s="31"/>
      <c r="AP98" s="31">
        <f>SUM(AP97:AP97)</f>
        <v>0</v>
      </c>
      <c r="AQ98" s="31">
        <f aca="true" t="shared" si="53" ref="AQ98:BA98">SUM(AQ97:AQ97)</f>
        <v>0</v>
      </c>
      <c r="AR98" s="31">
        <f t="shared" si="53"/>
        <v>0</v>
      </c>
      <c r="AS98" s="31">
        <f t="shared" si="53"/>
        <v>0</v>
      </c>
      <c r="AT98" s="31">
        <f t="shared" si="53"/>
        <v>0</v>
      </c>
      <c r="AU98" s="31">
        <f t="shared" si="53"/>
        <v>0</v>
      </c>
      <c r="AV98" s="31">
        <f t="shared" si="53"/>
        <v>0</v>
      </c>
      <c r="AW98" s="31">
        <f t="shared" si="53"/>
        <v>0</v>
      </c>
      <c r="AX98" s="31">
        <f t="shared" si="53"/>
        <v>0</v>
      </c>
      <c r="AY98" s="31">
        <f t="shared" si="53"/>
        <v>0</v>
      </c>
      <c r="AZ98" s="31">
        <f t="shared" si="53"/>
        <v>0</v>
      </c>
      <c r="BA98" s="31">
        <f t="shared" si="53"/>
        <v>0</v>
      </c>
      <c r="BB98" s="24">
        <f t="shared" si="36"/>
        <v>0</v>
      </c>
      <c r="BC98" s="31">
        <f t="shared" si="43"/>
        <v>0</v>
      </c>
    </row>
    <row r="99" spans="1:55" ht="12.75">
      <c r="A99" s="61">
        <v>93</v>
      </c>
      <c r="B99" s="24" t="s">
        <v>520</v>
      </c>
      <c r="C99" s="24">
        <v>1900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>
        <f t="shared" si="42"/>
        <v>1900</v>
      </c>
      <c r="S99" s="24">
        <v>80</v>
      </c>
      <c r="T99" s="24">
        <v>2</v>
      </c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>
        <v>900</v>
      </c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>
        <f t="shared" si="36"/>
        <v>902</v>
      </c>
      <c r="BC99" s="31">
        <f t="shared" si="43"/>
        <v>2882</v>
      </c>
    </row>
    <row r="100" spans="1:55" s="64" customFormat="1" ht="12.75">
      <c r="A100" s="164">
        <v>94</v>
      </c>
      <c r="B100" s="31" t="s">
        <v>384</v>
      </c>
      <c r="C100" s="31">
        <f aca="true" t="shared" si="54" ref="C100:Q100">SUM(C99:C99)</f>
        <v>1900</v>
      </c>
      <c r="D100" s="31">
        <f t="shared" si="54"/>
        <v>0</v>
      </c>
      <c r="E100" s="31">
        <f t="shared" si="54"/>
        <v>0</v>
      </c>
      <c r="F100" s="31">
        <f t="shared" si="54"/>
        <v>0</v>
      </c>
      <c r="G100" s="31">
        <f t="shared" si="54"/>
        <v>0</v>
      </c>
      <c r="H100" s="31">
        <f t="shared" si="54"/>
        <v>0</v>
      </c>
      <c r="I100" s="31">
        <f t="shared" si="54"/>
        <v>0</v>
      </c>
      <c r="J100" s="31">
        <f t="shared" si="54"/>
        <v>0</v>
      </c>
      <c r="K100" s="31">
        <f t="shared" si="54"/>
        <v>0</v>
      </c>
      <c r="L100" s="31">
        <f t="shared" si="54"/>
        <v>0</v>
      </c>
      <c r="M100" s="31">
        <f t="shared" si="54"/>
        <v>0</v>
      </c>
      <c r="N100" s="31">
        <f t="shared" si="54"/>
        <v>0</v>
      </c>
      <c r="O100" s="31">
        <f t="shared" si="54"/>
        <v>0</v>
      </c>
      <c r="P100" s="31">
        <f t="shared" si="54"/>
        <v>0</v>
      </c>
      <c r="Q100" s="31">
        <f t="shared" si="54"/>
        <v>0</v>
      </c>
      <c r="R100" s="24">
        <f t="shared" si="42"/>
        <v>1900</v>
      </c>
      <c r="S100" s="31">
        <f aca="true" t="shared" si="55" ref="S100:Y100">SUM(S99:S99)</f>
        <v>80</v>
      </c>
      <c r="T100" s="31">
        <f t="shared" si="55"/>
        <v>2</v>
      </c>
      <c r="U100" s="31">
        <f t="shared" si="55"/>
        <v>0</v>
      </c>
      <c r="V100" s="31">
        <f t="shared" si="55"/>
        <v>0</v>
      </c>
      <c r="W100" s="31">
        <f t="shared" si="55"/>
        <v>0</v>
      </c>
      <c r="X100" s="31">
        <f t="shared" si="55"/>
        <v>0</v>
      </c>
      <c r="Y100" s="31">
        <f t="shared" si="55"/>
        <v>0</v>
      </c>
      <c r="Z100" s="31"/>
      <c r="AA100" s="31">
        <f>SUM(AA99:AA99)</f>
        <v>0</v>
      </c>
      <c r="AB100" s="31">
        <f>SUM(AB99:AB99)</f>
        <v>0</v>
      </c>
      <c r="AC100" s="31">
        <f>SUM(AC99:AC99)</f>
        <v>0</v>
      </c>
      <c r="AD100" s="31">
        <f>SUM(AD99:AD99)</f>
        <v>0</v>
      </c>
      <c r="AE100" s="31">
        <f>SUM(AE99:AE99)</f>
        <v>0</v>
      </c>
      <c r="AF100" s="31"/>
      <c r="AG100" s="31">
        <f aca="true" t="shared" si="56" ref="AG100:AN100">SUM(AG99:AG99)</f>
        <v>900</v>
      </c>
      <c r="AH100" s="31">
        <f t="shared" si="56"/>
        <v>0</v>
      </c>
      <c r="AI100" s="31">
        <f t="shared" si="56"/>
        <v>0</v>
      </c>
      <c r="AJ100" s="31">
        <f t="shared" si="56"/>
        <v>0</v>
      </c>
      <c r="AK100" s="31">
        <f t="shared" si="56"/>
        <v>0</v>
      </c>
      <c r="AL100" s="31">
        <f t="shared" si="56"/>
        <v>0</v>
      </c>
      <c r="AM100" s="31">
        <f t="shared" si="56"/>
        <v>0</v>
      </c>
      <c r="AN100" s="31">
        <f t="shared" si="56"/>
        <v>0</v>
      </c>
      <c r="AO100" s="31"/>
      <c r="AP100" s="31">
        <f aca="true" t="shared" si="57" ref="AP100:BA100">SUM(AP99:AP99)</f>
        <v>0</v>
      </c>
      <c r="AQ100" s="31">
        <f t="shared" si="57"/>
        <v>0</v>
      </c>
      <c r="AR100" s="31">
        <f t="shared" si="57"/>
        <v>0</v>
      </c>
      <c r="AS100" s="31">
        <f t="shared" si="57"/>
        <v>0</v>
      </c>
      <c r="AT100" s="31">
        <f t="shared" si="57"/>
        <v>0</v>
      </c>
      <c r="AU100" s="31">
        <f t="shared" si="57"/>
        <v>0</v>
      </c>
      <c r="AV100" s="31">
        <f t="shared" si="57"/>
        <v>0</v>
      </c>
      <c r="AW100" s="31">
        <f t="shared" si="57"/>
        <v>0</v>
      </c>
      <c r="AX100" s="31">
        <f t="shared" si="57"/>
        <v>0</v>
      </c>
      <c r="AY100" s="31">
        <f t="shared" si="57"/>
        <v>0</v>
      </c>
      <c r="AZ100" s="31">
        <f t="shared" si="57"/>
        <v>0</v>
      </c>
      <c r="BA100" s="31">
        <f t="shared" si="57"/>
        <v>0</v>
      </c>
      <c r="BB100" s="24">
        <f t="shared" si="36"/>
        <v>902</v>
      </c>
      <c r="BC100" s="31">
        <f t="shared" si="43"/>
        <v>2882</v>
      </c>
    </row>
    <row r="101" spans="1:55" ht="12.75">
      <c r="A101" s="61">
        <v>95</v>
      </c>
      <c r="B101" s="24" t="s">
        <v>385</v>
      </c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>
        <f t="shared" si="42"/>
        <v>0</v>
      </c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>
        <f t="shared" si="36"/>
        <v>0</v>
      </c>
      <c r="BC101" s="31">
        <f t="shared" si="43"/>
        <v>0</v>
      </c>
    </row>
    <row r="102" spans="1:55" ht="12.75">
      <c r="A102" s="61">
        <v>96</v>
      </c>
      <c r="B102" s="24" t="s">
        <v>386</v>
      </c>
      <c r="C102" s="24">
        <v>692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>
        <f t="shared" si="42"/>
        <v>692</v>
      </c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>
        <v>400</v>
      </c>
      <c r="AG102" s="24">
        <v>415</v>
      </c>
      <c r="AH102" s="24"/>
      <c r="AI102" s="24"/>
      <c r="AJ102" s="24"/>
      <c r="AK102" s="24"/>
      <c r="AL102" s="24"/>
      <c r="AM102" s="24"/>
      <c r="AN102" s="24"/>
      <c r="AO102" s="24"/>
      <c r="AP102" s="24">
        <v>15</v>
      </c>
      <c r="AQ102" s="24"/>
      <c r="AR102" s="24"/>
      <c r="AS102" s="24">
        <v>100</v>
      </c>
      <c r="AT102" s="24"/>
      <c r="AU102" s="24"/>
      <c r="AV102" s="24"/>
      <c r="AW102" s="24"/>
      <c r="AX102" s="24"/>
      <c r="AY102" s="24"/>
      <c r="AZ102" s="24"/>
      <c r="BA102" s="24"/>
      <c r="BB102" s="24">
        <f t="shared" si="36"/>
        <v>930</v>
      </c>
      <c r="BC102" s="31">
        <f t="shared" si="43"/>
        <v>1622</v>
      </c>
    </row>
    <row r="103" spans="1:55" s="64" customFormat="1" ht="12.75">
      <c r="A103" s="61">
        <v>97</v>
      </c>
      <c r="B103" s="31" t="s">
        <v>387</v>
      </c>
      <c r="C103" s="31">
        <f aca="true" t="shared" si="58" ref="C103:Q103">SUM(C100,C98,C101,C102)</f>
        <v>2592</v>
      </c>
      <c r="D103" s="31">
        <f t="shared" si="58"/>
        <v>0</v>
      </c>
      <c r="E103" s="31">
        <f t="shared" si="58"/>
        <v>0</v>
      </c>
      <c r="F103" s="31">
        <f t="shared" si="58"/>
        <v>0</v>
      </c>
      <c r="G103" s="31">
        <f t="shared" si="58"/>
        <v>0</v>
      </c>
      <c r="H103" s="31">
        <f t="shared" si="58"/>
        <v>0</v>
      </c>
      <c r="I103" s="31">
        <f t="shared" si="58"/>
        <v>0</v>
      </c>
      <c r="J103" s="31">
        <f t="shared" si="58"/>
        <v>0</v>
      </c>
      <c r="K103" s="31">
        <f t="shared" si="58"/>
        <v>0</v>
      </c>
      <c r="L103" s="31">
        <f t="shared" si="58"/>
        <v>0</v>
      </c>
      <c r="M103" s="31">
        <f t="shared" si="58"/>
        <v>0</v>
      </c>
      <c r="N103" s="31">
        <f t="shared" si="58"/>
        <v>0</v>
      </c>
      <c r="O103" s="31">
        <f t="shared" si="58"/>
        <v>0</v>
      </c>
      <c r="P103" s="31">
        <f t="shared" si="58"/>
        <v>0</v>
      </c>
      <c r="Q103" s="31">
        <f t="shared" si="58"/>
        <v>0</v>
      </c>
      <c r="R103" s="24">
        <f t="shared" si="42"/>
        <v>2592</v>
      </c>
      <c r="S103" s="31">
        <f>SUM(S100,S98,S101,S102)</f>
        <v>80</v>
      </c>
      <c r="T103" s="31">
        <f>SUM(T100,T98,T101,T102)</f>
        <v>2</v>
      </c>
      <c r="U103" s="31">
        <f>SUM(U100,U98,U101,U102)</f>
        <v>0</v>
      </c>
      <c r="V103" s="31">
        <f>SUM(V100,V98,V101,V102)</f>
        <v>0</v>
      </c>
      <c r="W103" s="31"/>
      <c r="X103" s="31">
        <f>SUM(X100,X98,X101,X102)</f>
        <v>0</v>
      </c>
      <c r="Y103" s="31"/>
      <c r="Z103" s="31"/>
      <c r="AA103" s="31">
        <f aca="true" t="shared" si="59" ref="AA103:AN103">SUM(AA100,AA98,AA101,AA102)</f>
        <v>0</v>
      </c>
      <c r="AB103" s="31">
        <f t="shared" si="59"/>
        <v>0</v>
      </c>
      <c r="AC103" s="31">
        <f t="shared" si="59"/>
        <v>0</v>
      </c>
      <c r="AD103" s="31">
        <f t="shared" si="59"/>
        <v>0</v>
      </c>
      <c r="AE103" s="31">
        <f t="shared" si="59"/>
        <v>0</v>
      </c>
      <c r="AF103" s="31">
        <f t="shared" si="59"/>
        <v>400</v>
      </c>
      <c r="AG103" s="31">
        <f t="shared" si="59"/>
        <v>1315</v>
      </c>
      <c r="AH103" s="31">
        <f t="shared" si="59"/>
        <v>0</v>
      </c>
      <c r="AI103" s="31">
        <f t="shared" si="59"/>
        <v>0</v>
      </c>
      <c r="AJ103" s="31">
        <f t="shared" si="59"/>
        <v>0</v>
      </c>
      <c r="AK103" s="31">
        <f t="shared" si="59"/>
        <v>0</v>
      </c>
      <c r="AL103" s="31">
        <f t="shared" si="59"/>
        <v>0</v>
      </c>
      <c r="AM103" s="31">
        <f t="shared" si="59"/>
        <v>0</v>
      </c>
      <c r="AN103" s="31">
        <f t="shared" si="59"/>
        <v>0</v>
      </c>
      <c r="AO103" s="31"/>
      <c r="AP103" s="31">
        <f>SUM(AP100,AP98,AP101,AP102)</f>
        <v>15</v>
      </c>
      <c r="AQ103" s="31"/>
      <c r="AR103" s="31">
        <f aca="true" t="shared" si="60" ref="AR103:BA103">SUM(AR100,AR98,AR101,AR102)</f>
        <v>0</v>
      </c>
      <c r="AS103" s="31">
        <f t="shared" si="60"/>
        <v>100</v>
      </c>
      <c r="AT103" s="31">
        <f t="shared" si="60"/>
        <v>0</v>
      </c>
      <c r="AU103" s="31">
        <f t="shared" si="60"/>
        <v>0</v>
      </c>
      <c r="AV103" s="31">
        <f t="shared" si="60"/>
        <v>0</v>
      </c>
      <c r="AW103" s="31">
        <f t="shared" si="60"/>
        <v>0</v>
      </c>
      <c r="AX103" s="31">
        <f t="shared" si="60"/>
        <v>0</v>
      </c>
      <c r="AY103" s="31">
        <f t="shared" si="60"/>
        <v>0</v>
      </c>
      <c r="AZ103" s="31">
        <f t="shared" si="60"/>
        <v>0</v>
      </c>
      <c r="BA103" s="31">
        <f t="shared" si="60"/>
        <v>0</v>
      </c>
      <c r="BB103" s="24">
        <f t="shared" si="36"/>
        <v>1832</v>
      </c>
      <c r="BC103" s="31">
        <f t="shared" si="43"/>
        <v>4504</v>
      </c>
    </row>
    <row r="104" spans="1:56" s="64" customFormat="1" ht="12.75">
      <c r="A104" s="164">
        <v>98</v>
      </c>
      <c r="B104" s="31" t="s">
        <v>388</v>
      </c>
      <c r="C104" s="31">
        <f aca="true" t="shared" si="61" ref="C104:Q104">SUM(C103,C96)</f>
        <v>4472</v>
      </c>
      <c r="D104" s="31">
        <f t="shared" si="61"/>
        <v>120</v>
      </c>
      <c r="E104" s="31">
        <f t="shared" si="61"/>
        <v>7155</v>
      </c>
      <c r="F104" s="31">
        <f t="shared" si="61"/>
        <v>0</v>
      </c>
      <c r="G104" s="31">
        <f t="shared" si="61"/>
        <v>0</v>
      </c>
      <c r="H104" s="31">
        <f t="shared" si="61"/>
        <v>0</v>
      </c>
      <c r="I104" s="31">
        <f t="shared" si="61"/>
        <v>0</v>
      </c>
      <c r="J104" s="31">
        <f t="shared" si="61"/>
        <v>0</v>
      </c>
      <c r="K104" s="31">
        <f t="shared" si="61"/>
        <v>0</v>
      </c>
      <c r="L104" s="31">
        <f t="shared" si="61"/>
        <v>0</v>
      </c>
      <c r="M104" s="31">
        <f t="shared" si="61"/>
        <v>0</v>
      </c>
      <c r="N104" s="31">
        <f t="shared" si="61"/>
        <v>0</v>
      </c>
      <c r="O104" s="31">
        <f t="shared" si="61"/>
        <v>0</v>
      </c>
      <c r="P104" s="31">
        <f t="shared" si="61"/>
        <v>0</v>
      </c>
      <c r="Q104" s="31">
        <f t="shared" si="61"/>
        <v>0</v>
      </c>
      <c r="R104" s="24">
        <f t="shared" si="42"/>
        <v>11747</v>
      </c>
      <c r="S104" s="31">
        <f aca="true" t="shared" si="62" ref="S104:BA104">SUM(S103,S96)</f>
        <v>3080</v>
      </c>
      <c r="T104" s="31">
        <f t="shared" si="62"/>
        <v>5678</v>
      </c>
      <c r="U104" s="31">
        <f t="shared" si="62"/>
        <v>11627</v>
      </c>
      <c r="V104" s="31">
        <f t="shared" si="62"/>
        <v>2348</v>
      </c>
      <c r="W104" s="31">
        <f t="shared" si="62"/>
        <v>3363</v>
      </c>
      <c r="X104" s="31">
        <f t="shared" si="62"/>
        <v>13910</v>
      </c>
      <c r="Y104" s="31">
        <f t="shared" si="62"/>
        <v>2862</v>
      </c>
      <c r="Z104" s="31">
        <f t="shared" si="62"/>
        <v>3292</v>
      </c>
      <c r="AA104" s="31">
        <f t="shared" si="62"/>
        <v>127</v>
      </c>
      <c r="AB104" s="31">
        <f t="shared" si="62"/>
        <v>5715</v>
      </c>
      <c r="AC104" s="31">
        <f t="shared" si="62"/>
        <v>250</v>
      </c>
      <c r="AD104" s="31">
        <f t="shared" si="62"/>
        <v>0</v>
      </c>
      <c r="AE104" s="31">
        <f t="shared" si="62"/>
        <v>366</v>
      </c>
      <c r="AF104" s="31">
        <f t="shared" si="62"/>
        <v>11092</v>
      </c>
      <c r="AG104" s="31">
        <f t="shared" si="62"/>
        <v>16831</v>
      </c>
      <c r="AH104" s="31">
        <f t="shared" si="62"/>
        <v>12919</v>
      </c>
      <c r="AI104" s="31">
        <f t="shared" si="62"/>
        <v>20736</v>
      </c>
      <c r="AJ104" s="31">
        <f t="shared" si="62"/>
        <v>635</v>
      </c>
      <c r="AK104" s="31">
        <f t="shared" si="62"/>
        <v>15281</v>
      </c>
      <c r="AL104" s="31">
        <f t="shared" si="62"/>
        <v>6287</v>
      </c>
      <c r="AM104" s="31">
        <f t="shared" si="62"/>
        <v>1334</v>
      </c>
      <c r="AN104" s="31">
        <f t="shared" si="62"/>
        <v>300</v>
      </c>
      <c r="AO104" s="31">
        <f t="shared" si="62"/>
        <v>1200</v>
      </c>
      <c r="AP104" s="31">
        <f t="shared" si="62"/>
        <v>1045</v>
      </c>
      <c r="AQ104" s="31">
        <f t="shared" si="62"/>
        <v>1245</v>
      </c>
      <c r="AR104" s="31">
        <f t="shared" si="62"/>
        <v>1172</v>
      </c>
      <c r="AS104" s="31">
        <f t="shared" si="62"/>
        <v>1830</v>
      </c>
      <c r="AT104" s="31">
        <f t="shared" si="62"/>
        <v>0</v>
      </c>
      <c r="AU104" s="31">
        <f t="shared" si="62"/>
        <v>128</v>
      </c>
      <c r="AV104" s="31">
        <f t="shared" si="62"/>
        <v>0</v>
      </c>
      <c r="AW104" s="31">
        <f t="shared" si="62"/>
        <v>498</v>
      </c>
      <c r="AX104" s="31">
        <f t="shared" si="62"/>
        <v>9649</v>
      </c>
      <c r="AY104" s="31">
        <f t="shared" si="62"/>
        <v>605</v>
      </c>
      <c r="AZ104" s="31">
        <f t="shared" si="62"/>
        <v>394</v>
      </c>
      <c r="BA104" s="31">
        <f t="shared" si="62"/>
        <v>521</v>
      </c>
      <c r="BB104" s="24">
        <f t="shared" si="36"/>
        <v>153240</v>
      </c>
      <c r="BC104" s="31">
        <f t="shared" si="43"/>
        <v>168067</v>
      </c>
      <c r="BD104" s="64">
        <v>168067</v>
      </c>
    </row>
    <row r="105" spans="1:55" s="64" customFormat="1" ht="12.75">
      <c r="A105" s="61">
        <v>99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24">
        <f t="shared" si="42"/>
        <v>0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24">
        <f t="shared" si="36"/>
        <v>0</v>
      </c>
      <c r="BC105" s="31">
        <f t="shared" si="43"/>
        <v>0</v>
      </c>
    </row>
    <row r="106" spans="1:55" ht="12.75">
      <c r="A106" s="61">
        <v>100</v>
      </c>
      <c r="B106" s="24" t="s">
        <v>389</v>
      </c>
      <c r="C106" s="24"/>
      <c r="D106" s="24"/>
      <c r="E106" s="24"/>
      <c r="F106" s="31">
        <v>340</v>
      </c>
      <c r="G106" s="24">
        <v>1183</v>
      </c>
      <c r="H106" s="24">
        <v>1320</v>
      </c>
      <c r="I106" s="24">
        <v>2879</v>
      </c>
      <c r="J106" s="24">
        <v>2126</v>
      </c>
      <c r="K106" s="24">
        <v>750</v>
      </c>
      <c r="L106" s="24">
        <v>500</v>
      </c>
      <c r="M106" s="24">
        <v>1400</v>
      </c>
      <c r="N106" s="24">
        <v>100</v>
      </c>
      <c r="O106" s="24"/>
      <c r="P106" s="24"/>
      <c r="Q106" s="24"/>
      <c r="R106" s="24">
        <f t="shared" si="42"/>
        <v>10598</v>
      </c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>
        <f t="shared" si="36"/>
        <v>0</v>
      </c>
      <c r="BC106" s="31">
        <f t="shared" si="43"/>
        <v>10598</v>
      </c>
    </row>
    <row r="107" spans="1:55" ht="12.75">
      <c r="A107" s="61">
        <v>101</v>
      </c>
      <c r="B107" s="24" t="s">
        <v>390</v>
      </c>
      <c r="C107" s="24">
        <v>26726</v>
      </c>
      <c r="D107" s="24"/>
      <c r="E107" s="24">
        <v>1004</v>
      </c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>
        <v>3562</v>
      </c>
      <c r="R107" s="24">
        <f t="shared" si="42"/>
        <v>31292</v>
      </c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>
        <f t="shared" si="36"/>
        <v>0</v>
      </c>
      <c r="BC107" s="207">
        <f t="shared" si="43"/>
        <v>31292</v>
      </c>
    </row>
    <row r="108" spans="1:55" ht="12.75">
      <c r="A108" s="164">
        <v>102</v>
      </c>
      <c r="B108" s="24" t="s">
        <v>683</v>
      </c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>
        <v>540</v>
      </c>
      <c r="R108" s="24">
        <f t="shared" si="42"/>
        <v>540</v>
      </c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>
        <f t="shared" si="36"/>
        <v>0</v>
      </c>
      <c r="BC108" s="31">
        <f t="shared" si="43"/>
        <v>540</v>
      </c>
    </row>
    <row r="109" spans="1:56" ht="12.75">
      <c r="A109" s="61">
        <v>103</v>
      </c>
      <c r="B109" s="24" t="s">
        <v>391</v>
      </c>
      <c r="C109" s="24">
        <v>10000</v>
      </c>
      <c r="D109" s="24"/>
      <c r="E109" s="24">
        <v>10450</v>
      </c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>
        <v>140</v>
      </c>
      <c r="R109" s="24">
        <f t="shared" si="42"/>
        <v>20590</v>
      </c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>
        <v>3600</v>
      </c>
      <c r="AE109" s="24"/>
      <c r="AF109" s="24"/>
      <c r="AG109" s="24"/>
      <c r="AH109" s="24"/>
      <c r="AI109" s="24"/>
      <c r="AJ109" s="24"/>
      <c r="AK109" s="24"/>
      <c r="AL109" s="24">
        <v>600</v>
      </c>
      <c r="AM109" s="24"/>
      <c r="AN109" s="24"/>
      <c r="AO109" s="24"/>
      <c r="AP109" s="24"/>
      <c r="AQ109" s="24"/>
      <c r="AR109" s="24"/>
      <c r="AS109" s="24"/>
      <c r="AT109" s="24">
        <v>1090</v>
      </c>
      <c r="AU109" s="24"/>
      <c r="AV109" s="24"/>
      <c r="AW109" s="24"/>
      <c r="AX109" s="24"/>
      <c r="AY109" s="24"/>
      <c r="AZ109" s="24"/>
      <c r="BA109" s="24"/>
      <c r="BB109" s="24">
        <f t="shared" si="36"/>
        <v>5290</v>
      </c>
      <c r="BC109" s="207">
        <f>BB109+R109+S109</f>
        <v>25880</v>
      </c>
      <c r="BD109" s="63">
        <v>57712</v>
      </c>
    </row>
    <row r="110" spans="1:56" s="64" customFormat="1" ht="12.75">
      <c r="A110" s="61">
        <v>104</v>
      </c>
      <c r="B110" s="31" t="s">
        <v>392</v>
      </c>
      <c r="C110" s="31">
        <f aca="true" t="shared" si="63" ref="C110:Q110">SUM(C106:C109,C104,C56,C50)</f>
        <v>49556</v>
      </c>
      <c r="D110" s="31">
        <f t="shared" si="63"/>
        <v>120</v>
      </c>
      <c r="E110" s="31">
        <f t="shared" si="63"/>
        <v>18657</v>
      </c>
      <c r="F110" s="31">
        <f t="shared" si="63"/>
        <v>340</v>
      </c>
      <c r="G110" s="31">
        <f t="shared" si="63"/>
        <v>1183</v>
      </c>
      <c r="H110" s="31">
        <f t="shared" si="63"/>
        <v>1320</v>
      </c>
      <c r="I110" s="31">
        <f t="shared" si="63"/>
        <v>2879</v>
      </c>
      <c r="J110" s="31">
        <f t="shared" si="63"/>
        <v>2126</v>
      </c>
      <c r="K110" s="31">
        <f t="shared" si="63"/>
        <v>750</v>
      </c>
      <c r="L110" s="31">
        <f t="shared" si="63"/>
        <v>500</v>
      </c>
      <c r="M110" s="31">
        <f t="shared" si="63"/>
        <v>1400</v>
      </c>
      <c r="N110" s="31">
        <f t="shared" si="63"/>
        <v>100</v>
      </c>
      <c r="O110" s="31">
        <f t="shared" si="63"/>
        <v>0</v>
      </c>
      <c r="P110" s="31">
        <f t="shared" si="63"/>
        <v>0</v>
      </c>
      <c r="Q110" s="31">
        <f t="shared" si="63"/>
        <v>4242</v>
      </c>
      <c r="R110" s="24">
        <f t="shared" si="42"/>
        <v>83173</v>
      </c>
      <c r="S110" s="31">
        <f aca="true" t="shared" si="64" ref="S110:AZ110">SUM(S106:S109,S104,S56,S50)</f>
        <v>32954</v>
      </c>
      <c r="T110" s="31">
        <f t="shared" si="64"/>
        <v>5678</v>
      </c>
      <c r="U110" s="31">
        <f t="shared" si="64"/>
        <v>18671</v>
      </c>
      <c r="V110" s="31">
        <f t="shared" si="64"/>
        <v>7350</v>
      </c>
      <c r="W110" s="31">
        <f t="shared" si="64"/>
        <v>3363</v>
      </c>
      <c r="X110" s="31">
        <f t="shared" si="64"/>
        <v>24053</v>
      </c>
      <c r="Y110" s="31">
        <f t="shared" si="64"/>
        <v>2862</v>
      </c>
      <c r="Z110" s="31">
        <f t="shared" si="64"/>
        <v>3292</v>
      </c>
      <c r="AA110" s="31">
        <f t="shared" si="64"/>
        <v>127</v>
      </c>
      <c r="AB110" s="31">
        <f t="shared" si="64"/>
        <v>5715</v>
      </c>
      <c r="AC110" s="31">
        <f t="shared" si="64"/>
        <v>250</v>
      </c>
      <c r="AD110" s="31">
        <f t="shared" si="64"/>
        <v>3600</v>
      </c>
      <c r="AE110" s="31">
        <f t="shared" si="64"/>
        <v>7368</v>
      </c>
      <c r="AF110" s="31">
        <f t="shared" si="64"/>
        <v>29502</v>
      </c>
      <c r="AG110" s="31">
        <f t="shared" si="64"/>
        <v>38100</v>
      </c>
      <c r="AH110" s="31">
        <f t="shared" si="64"/>
        <v>12919</v>
      </c>
      <c r="AI110" s="31">
        <f t="shared" si="64"/>
        <v>21396</v>
      </c>
      <c r="AJ110" s="31">
        <f t="shared" si="64"/>
        <v>635</v>
      </c>
      <c r="AK110" s="31">
        <f t="shared" si="64"/>
        <v>19744</v>
      </c>
      <c r="AL110" s="31">
        <f t="shared" si="64"/>
        <v>10463</v>
      </c>
      <c r="AM110" s="31">
        <f t="shared" si="64"/>
        <v>1334</v>
      </c>
      <c r="AN110" s="31">
        <f t="shared" si="64"/>
        <v>300</v>
      </c>
      <c r="AO110" s="31">
        <f t="shared" si="64"/>
        <v>1200</v>
      </c>
      <c r="AP110" s="31">
        <f t="shared" si="64"/>
        <v>4138</v>
      </c>
      <c r="AQ110" s="31">
        <f t="shared" si="64"/>
        <v>1245</v>
      </c>
      <c r="AR110" s="31">
        <f t="shared" si="64"/>
        <v>1172</v>
      </c>
      <c r="AS110" s="31">
        <f t="shared" si="64"/>
        <v>4657</v>
      </c>
      <c r="AT110" s="31">
        <f t="shared" si="64"/>
        <v>1090</v>
      </c>
      <c r="AU110" s="31">
        <f t="shared" si="64"/>
        <v>7226</v>
      </c>
      <c r="AV110" s="31">
        <f t="shared" si="64"/>
        <v>720</v>
      </c>
      <c r="AW110" s="31">
        <f t="shared" si="64"/>
        <v>1032</v>
      </c>
      <c r="AX110" s="31">
        <f t="shared" si="64"/>
        <v>11901</v>
      </c>
      <c r="AY110" s="31">
        <f t="shared" si="64"/>
        <v>605</v>
      </c>
      <c r="AZ110" s="31">
        <f t="shared" si="64"/>
        <v>775</v>
      </c>
      <c r="BA110" s="31">
        <f>SUM(BA106:BA109,BA104,BA56,BA50)</f>
        <v>699</v>
      </c>
      <c r="BB110" s="24">
        <f t="shared" si="36"/>
        <v>253182</v>
      </c>
      <c r="BC110" s="31">
        <f t="shared" si="43"/>
        <v>369309</v>
      </c>
      <c r="BD110" s="64">
        <v>355747</v>
      </c>
    </row>
    <row r="111" spans="1:55" ht="12.75">
      <c r="A111" s="61">
        <v>105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>
        <f t="shared" si="42"/>
        <v>0</v>
      </c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>
        <f t="shared" si="36"/>
        <v>0</v>
      </c>
      <c r="BC111" s="31">
        <f t="shared" si="43"/>
        <v>0</v>
      </c>
    </row>
    <row r="112" spans="1:55" ht="12.75">
      <c r="A112" s="164">
        <v>106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>
        <f t="shared" si="42"/>
        <v>0</v>
      </c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>
        <f t="shared" si="36"/>
        <v>0</v>
      </c>
      <c r="BC112" s="31">
        <f t="shared" si="43"/>
        <v>0</v>
      </c>
    </row>
    <row r="113" spans="1:55" ht="22.5">
      <c r="A113" s="61">
        <v>107</v>
      </c>
      <c r="B113" s="64" t="s">
        <v>81</v>
      </c>
      <c r="C113" s="64">
        <v>841112</v>
      </c>
      <c r="D113" s="64">
        <v>680001</v>
      </c>
      <c r="E113" s="64">
        <v>841403</v>
      </c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24"/>
      <c r="S113" s="64">
        <v>801115</v>
      </c>
      <c r="T113" s="64">
        <v>370000</v>
      </c>
      <c r="U113" s="64">
        <v>381103</v>
      </c>
      <c r="V113" s="64">
        <v>522110</v>
      </c>
      <c r="W113" s="64">
        <v>562912</v>
      </c>
      <c r="X113" s="64">
        <v>562913</v>
      </c>
      <c r="Y113" s="64">
        <v>562917</v>
      </c>
      <c r="Z113" s="64">
        <v>562916</v>
      </c>
      <c r="AA113" s="64">
        <v>682001</v>
      </c>
      <c r="AB113" s="64">
        <v>682002</v>
      </c>
      <c r="AC113" s="64">
        <v>750000</v>
      </c>
      <c r="AD113" s="64">
        <v>791200</v>
      </c>
      <c r="AE113" s="64">
        <v>811000</v>
      </c>
      <c r="AF113" s="64">
        <v>813000</v>
      </c>
      <c r="AG113" s="64">
        <v>841154</v>
      </c>
      <c r="AH113" s="64">
        <v>841402</v>
      </c>
      <c r="AI113" s="64">
        <v>841403</v>
      </c>
      <c r="AJ113" s="64">
        <v>842155</v>
      </c>
      <c r="AK113" s="64">
        <v>850001</v>
      </c>
      <c r="AL113" s="64">
        <v>862101</v>
      </c>
      <c r="AM113" s="64">
        <v>862102</v>
      </c>
      <c r="AN113" s="64">
        <v>862231</v>
      </c>
      <c r="AO113" s="64">
        <v>862231</v>
      </c>
      <c r="AP113" s="64">
        <v>869041</v>
      </c>
      <c r="AQ113" s="64">
        <v>889921</v>
      </c>
      <c r="AR113" s="64">
        <v>889924</v>
      </c>
      <c r="AS113" s="64">
        <v>889928</v>
      </c>
      <c r="AT113" s="64">
        <v>890310</v>
      </c>
      <c r="AU113" s="64">
        <v>890442</v>
      </c>
      <c r="AV113" s="64">
        <v>890444</v>
      </c>
      <c r="AW113" s="64">
        <v>910123</v>
      </c>
      <c r="AX113" s="64">
        <v>910502</v>
      </c>
      <c r="AY113" s="64">
        <v>932911</v>
      </c>
      <c r="AZ113" s="64">
        <v>949900</v>
      </c>
      <c r="BA113" s="64">
        <v>960302</v>
      </c>
      <c r="BB113" s="62" t="s">
        <v>303</v>
      </c>
      <c r="BC113" s="31"/>
    </row>
    <row r="114" spans="1:55" ht="12.75">
      <c r="A114" s="61">
        <v>108</v>
      </c>
      <c r="B114" s="24" t="s">
        <v>393</v>
      </c>
      <c r="C114" s="24"/>
      <c r="D114" s="24">
        <v>1184</v>
      </c>
      <c r="E114" s="24">
        <v>55841</v>
      </c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>
        <f t="shared" si="42"/>
        <v>57025</v>
      </c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>
        <f>2550</f>
        <v>2550</v>
      </c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>
        <v>394</v>
      </c>
      <c r="BB114" s="24">
        <f aca="true" t="shared" si="65" ref="BB114:BB136">SUM(T114:BA114)</f>
        <v>2944</v>
      </c>
      <c r="BC114" s="31">
        <f t="shared" si="43"/>
        <v>59969</v>
      </c>
    </row>
    <row r="115" spans="1:55" ht="12.75">
      <c r="A115" s="61">
        <v>109</v>
      </c>
      <c r="B115" s="24" t="s">
        <v>394</v>
      </c>
      <c r="C115" s="24"/>
      <c r="D115" s="24">
        <v>304</v>
      </c>
      <c r="E115" s="24">
        <v>14959</v>
      </c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>
        <f t="shared" si="42"/>
        <v>15263</v>
      </c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>
        <f>965-278</f>
        <v>687</v>
      </c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>
        <v>106</v>
      </c>
      <c r="BB115" s="24">
        <f t="shared" si="65"/>
        <v>793</v>
      </c>
      <c r="BC115" s="31">
        <f t="shared" si="43"/>
        <v>16056</v>
      </c>
    </row>
    <row r="116" spans="1:55" s="64" customFormat="1" ht="12.75">
      <c r="A116" s="164">
        <v>110</v>
      </c>
      <c r="B116" s="31" t="s">
        <v>395</v>
      </c>
      <c r="C116" s="31">
        <f>SUM(C114:C115)</f>
        <v>0</v>
      </c>
      <c r="D116" s="31">
        <f aca="true" t="shared" si="66" ref="D116:Q116">SUM(D114:D115)</f>
        <v>1488</v>
      </c>
      <c r="E116" s="31">
        <f t="shared" si="66"/>
        <v>70800</v>
      </c>
      <c r="F116" s="31">
        <f t="shared" si="66"/>
        <v>0</v>
      </c>
      <c r="G116" s="31">
        <f t="shared" si="66"/>
        <v>0</v>
      </c>
      <c r="H116" s="31">
        <f t="shared" si="66"/>
        <v>0</v>
      </c>
      <c r="I116" s="31">
        <f t="shared" si="66"/>
        <v>0</v>
      </c>
      <c r="J116" s="31">
        <f t="shared" si="66"/>
        <v>0</v>
      </c>
      <c r="K116" s="31">
        <f t="shared" si="66"/>
        <v>0</v>
      </c>
      <c r="L116" s="31">
        <f t="shared" si="66"/>
        <v>0</v>
      </c>
      <c r="M116" s="31">
        <f t="shared" si="66"/>
        <v>0</v>
      </c>
      <c r="N116" s="31">
        <f t="shared" si="66"/>
        <v>0</v>
      </c>
      <c r="O116" s="31">
        <f t="shared" si="66"/>
        <v>0</v>
      </c>
      <c r="P116" s="31">
        <f t="shared" si="66"/>
        <v>0</v>
      </c>
      <c r="Q116" s="31">
        <f t="shared" si="66"/>
        <v>0</v>
      </c>
      <c r="R116" s="24">
        <f t="shared" si="42"/>
        <v>72288</v>
      </c>
      <c r="S116" s="31">
        <f>SUM(S114:S115)</f>
        <v>0</v>
      </c>
      <c r="T116" s="31">
        <f>SUM(T114:T115)</f>
        <v>0</v>
      </c>
      <c r="U116" s="31">
        <f aca="true" t="shared" si="67" ref="U116:BA116">SUM(U114:U115)</f>
        <v>0</v>
      </c>
      <c r="V116" s="31">
        <f t="shared" si="67"/>
        <v>0</v>
      </c>
      <c r="W116" s="31">
        <f t="shared" si="67"/>
        <v>0</v>
      </c>
      <c r="X116" s="31">
        <f t="shared" si="67"/>
        <v>0</v>
      </c>
      <c r="Y116" s="31">
        <f t="shared" si="67"/>
        <v>0</v>
      </c>
      <c r="Z116" s="31">
        <f t="shared" si="67"/>
        <v>0</v>
      </c>
      <c r="AA116" s="31">
        <f t="shared" si="67"/>
        <v>0</v>
      </c>
      <c r="AB116" s="31">
        <f t="shared" si="67"/>
        <v>0</v>
      </c>
      <c r="AC116" s="31">
        <f t="shared" si="67"/>
        <v>0</v>
      </c>
      <c r="AD116" s="31">
        <f t="shared" si="67"/>
        <v>0</v>
      </c>
      <c r="AE116" s="31">
        <f t="shared" si="67"/>
        <v>0</v>
      </c>
      <c r="AF116" s="31">
        <f t="shared" si="67"/>
        <v>0</v>
      </c>
      <c r="AG116" s="31">
        <f t="shared" si="67"/>
        <v>0</v>
      </c>
      <c r="AH116" s="31">
        <f t="shared" si="67"/>
        <v>0</v>
      </c>
      <c r="AI116" s="31">
        <f t="shared" si="67"/>
        <v>3237</v>
      </c>
      <c r="AJ116" s="31">
        <f t="shared" si="67"/>
        <v>0</v>
      </c>
      <c r="AK116" s="31">
        <f t="shared" si="67"/>
        <v>0</v>
      </c>
      <c r="AL116" s="31">
        <f t="shared" si="67"/>
        <v>0</v>
      </c>
      <c r="AM116" s="31">
        <f t="shared" si="67"/>
        <v>0</v>
      </c>
      <c r="AN116" s="31">
        <f t="shared" si="67"/>
        <v>0</v>
      </c>
      <c r="AO116" s="31">
        <f t="shared" si="67"/>
        <v>0</v>
      </c>
      <c r="AP116" s="31">
        <f t="shared" si="67"/>
        <v>0</v>
      </c>
      <c r="AQ116" s="31">
        <f t="shared" si="67"/>
        <v>0</v>
      </c>
      <c r="AR116" s="31">
        <f t="shared" si="67"/>
        <v>0</v>
      </c>
      <c r="AS116" s="31">
        <f t="shared" si="67"/>
        <v>0</v>
      </c>
      <c r="AT116" s="31">
        <f t="shared" si="67"/>
        <v>0</v>
      </c>
      <c r="AU116" s="31">
        <f t="shared" si="67"/>
        <v>0</v>
      </c>
      <c r="AV116" s="31">
        <f t="shared" si="67"/>
        <v>0</v>
      </c>
      <c r="AW116" s="31">
        <f t="shared" si="67"/>
        <v>0</v>
      </c>
      <c r="AX116" s="31">
        <f t="shared" si="67"/>
        <v>0</v>
      </c>
      <c r="AY116" s="31">
        <f t="shared" si="67"/>
        <v>0</v>
      </c>
      <c r="AZ116" s="31">
        <f t="shared" si="67"/>
        <v>0</v>
      </c>
      <c r="BA116" s="31">
        <f t="shared" si="67"/>
        <v>500</v>
      </c>
      <c r="BB116" s="24">
        <f t="shared" si="65"/>
        <v>3737</v>
      </c>
      <c r="BC116" s="31">
        <f t="shared" si="43"/>
        <v>76025</v>
      </c>
    </row>
    <row r="117" spans="1:55" ht="12.75">
      <c r="A117" s="61">
        <v>111</v>
      </c>
      <c r="B117" s="24" t="s">
        <v>521</v>
      </c>
      <c r="C117" s="24"/>
      <c r="D117" s="24"/>
      <c r="E117" s="24">
        <v>11106</v>
      </c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>
        <f t="shared" si="42"/>
        <v>11106</v>
      </c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>
        <f>390-390</f>
        <v>0</v>
      </c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>
        <f t="shared" si="65"/>
        <v>0</v>
      </c>
      <c r="BC117" s="31">
        <f t="shared" si="43"/>
        <v>11106</v>
      </c>
    </row>
    <row r="118" spans="1:55" ht="12.75">
      <c r="A118" s="61">
        <v>112</v>
      </c>
      <c r="B118" s="24" t="s">
        <v>396</v>
      </c>
      <c r="C118" s="24"/>
      <c r="D118" s="24"/>
      <c r="E118" s="24">
        <f>'[8]841403'!$H$15</f>
        <v>394</v>
      </c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>
        <f t="shared" si="42"/>
        <v>394</v>
      </c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>
        <f>350-350</f>
        <v>0</v>
      </c>
      <c r="AH118" s="24"/>
      <c r="AI118" s="24">
        <v>1233</v>
      </c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>
        <f t="shared" si="65"/>
        <v>1233</v>
      </c>
      <c r="BC118" s="31">
        <f t="shared" si="43"/>
        <v>1627</v>
      </c>
    </row>
    <row r="119" spans="1:55" ht="12.75">
      <c r="A119" s="61">
        <v>113</v>
      </c>
      <c r="B119" s="24" t="s">
        <v>584</v>
      </c>
      <c r="C119" s="24"/>
      <c r="D119" s="24"/>
      <c r="E119" s="24">
        <v>1394</v>
      </c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>
        <f t="shared" si="42"/>
        <v>1394</v>
      </c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>
        <f t="shared" si="65"/>
        <v>0</v>
      </c>
      <c r="BC119" s="31">
        <f t="shared" si="43"/>
        <v>1394</v>
      </c>
    </row>
    <row r="120" spans="1:55" ht="12.75">
      <c r="A120" s="164">
        <v>114</v>
      </c>
      <c r="B120" s="24" t="s">
        <v>397</v>
      </c>
      <c r="C120" s="24">
        <v>2057</v>
      </c>
      <c r="D120" s="24"/>
      <c r="E120" s="24">
        <v>7990</v>
      </c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>
        <f t="shared" si="42"/>
        <v>10047</v>
      </c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>
        <f t="shared" si="65"/>
        <v>0</v>
      </c>
      <c r="BC120" s="31">
        <f t="shared" si="43"/>
        <v>10047</v>
      </c>
    </row>
    <row r="121" spans="1:55" ht="12.75">
      <c r="A121" s="61">
        <v>115</v>
      </c>
      <c r="B121" s="24" t="s">
        <v>398</v>
      </c>
      <c r="C121" s="24"/>
      <c r="D121" s="24">
        <f>380</f>
        <v>380</v>
      </c>
      <c r="E121" s="24">
        <v>4934</v>
      </c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>
        <f t="shared" si="42"/>
        <v>5314</v>
      </c>
      <c r="S121" s="24">
        <v>1579</v>
      </c>
      <c r="T121" s="24">
        <v>417</v>
      </c>
      <c r="U121" s="24"/>
      <c r="V121" s="24"/>
      <c r="W121" s="24"/>
      <c r="X121" s="24">
        <v>250</v>
      </c>
      <c r="Y121" s="24"/>
      <c r="Z121" s="24"/>
      <c r="AA121" s="24"/>
      <c r="AB121" s="24"/>
      <c r="AC121" s="24"/>
      <c r="AD121" s="24"/>
      <c r="AE121" s="24"/>
      <c r="AF121" s="24">
        <v>3378</v>
      </c>
      <c r="AG121" s="24">
        <v>165</v>
      </c>
      <c r="AH121" s="24"/>
      <c r="AI121" s="24">
        <v>4688</v>
      </c>
      <c r="AJ121" s="24"/>
      <c r="AK121" s="24">
        <v>190</v>
      </c>
      <c r="AL121" s="24"/>
      <c r="AM121" s="24"/>
      <c r="AN121" s="24"/>
      <c r="AO121" s="24"/>
      <c r="AP121" s="24">
        <v>150</v>
      </c>
      <c r="AQ121" s="24"/>
      <c r="AR121" s="24"/>
      <c r="AS121" s="24"/>
      <c r="AT121" s="24"/>
      <c r="AU121" s="24">
        <v>185</v>
      </c>
      <c r="AV121" s="24"/>
      <c r="AW121" s="24">
        <v>132</v>
      </c>
      <c r="AX121" s="24">
        <v>65</v>
      </c>
      <c r="AY121" s="24"/>
      <c r="AZ121" s="24"/>
      <c r="BB121" s="24">
        <f t="shared" si="65"/>
        <v>9620</v>
      </c>
      <c r="BC121" s="31">
        <f t="shared" si="43"/>
        <v>16513</v>
      </c>
    </row>
    <row r="122" spans="1:55" ht="12.75">
      <c r="A122" s="61">
        <v>116</v>
      </c>
      <c r="B122" s="24" t="s">
        <v>399</v>
      </c>
      <c r="C122" s="24">
        <f>'[8]841112'!$I$4</f>
        <v>540</v>
      </c>
      <c r="D122" s="24">
        <f>81</f>
        <v>81</v>
      </c>
      <c r="E122" s="24">
        <v>3749</v>
      </c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>
        <f t="shared" si="42"/>
        <v>4370</v>
      </c>
      <c r="S122" s="24">
        <v>425</v>
      </c>
      <c r="T122" s="24">
        <v>112</v>
      </c>
      <c r="U122" s="24"/>
      <c r="V122" s="24"/>
      <c r="W122" s="24"/>
      <c r="X122" s="24">
        <v>68</v>
      </c>
      <c r="Y122" s="24"/>
      <c r="Z122" s="24"/>
      <c r="AA122" s="24"/>
      <c r="AB122" s="24"/>
      <c r="AC122" s="24"/>
      <c r="AD122" s="24"/>
      <c r="AE122" s="24"/>
      <c r="AF122" s="24">
        <v>912</v>
      </c>
      <c r="AG122" s="24">
        <v>45</v>
      </c>
      <c r="AH122" s="24"/>
      <c r="AI122" s="24">
        <v>1574</v>
      </c>
      <c r="AJ122" s="24"/>
      <c r="AK122" s="24">
        <v>52</v>
      </c>
      <c r="AL122" s="24"/>
      <c r="AM122" s="24"/>
      <c r="AN122" s="24"/>
      <c r="AO122" s="24"/>
      <c r="AP122" s="24">
        <v>41</v>
      </c>
      <c r="AQ122" s="24"/>
      <c r="AR122" s="24"/>
      <c r="AS122" s="24"/>
      <c r="AT122" s="24"/>
      <c r="AU122" s="24">
        <v>50</v>
      </c>
      <c r="AV122" s="24"/>
      <c r="AW122" s="24">
        <v>36</v>
      </c>
      <c r="AX122" s="24">
        <v>17</v>
      </c>
      <c r="AY122" s="24"/>
      <c r="AZ122" s="24"/>
      <c r="BA122" s="24">
        <f>'[3]temető'!$F$28</f>
        <v>0</v>
      </c>
      <c r="BB122" s="24">
        <f t="shared" si="65"/>
        <v>2907</v>
      </c>
      <c r="BC122" s="31">
        <f t="shared" si="43"/>
        <v>7702</v>
      </c>
    </row>
    <row r="123" spans="1:55" s="64" customFormat="1" ht="12.75">
      <c r="A123" s="61">
        <v>117</v>
      </c>
      <c r="B123" s="31" t="s">
        <v>400</v>
      </c>
      <c r="C123" s="31">
        <f>SUM(C117:C122)</f>
        <v>2597</v>
      </c>
      <c r="D123" s="31">
        <f aca="true" t="shared" si="68" ref="D123:Q123">SUM(D117:D122)</f>
        <v>461</v>
      </c>
      <c r="E123" s="31">
        <f t="shared" si="68"/>
        <v>29567</v>
      </c>
      <c r="F123" s="31">
        <f t="shared" si="68"/>
        <v>0</v>
      </c>
      <c r="G123" s="31">
        <f t="shared" si="68"/>
        <v>0</v>
      </c>
      <c r="H123" s="31">
        <f t="shared" si="68"/>
        <v>0</v>
      </c>
      <c r="I123" s="31">
        <f t="shared" si="68"/>
        <v>0</v>
      </c>
      <c r="J123" s="31">
        <f t="shared" si="68"/>
        <v>0</v>
      </c>
      <c r="K123" s="31">
        <f t="shared" si="68"/>
        <v>0</v>
      </c>
      <c r="L123" s="31">
        <f t="shared" si="68"/>
        <v>0</v>
      </c>
      <c r="M123" s="31">
        <f t="shared" si="68"/>
        <v>0</v>
      </c>
      <c r="N123" s="31">
        <f t="shared" si="68"/>
        <v>0</v>
      </c>
      <c r="O123" s="31">
        <f t="shared" si="68"/>
        <v>0</v>
      </c>
      <c r="P123" s="31">
        <f t="shared" si="68"/>
        <v>0</v>
      </c>
      <c r="Q123" s="31">
        <f t="shared" si="68"/>
        <v>0</v>
      </c>
      <c r="R123" s="24">
        <f t="shared" si="42"/>
        <v>32625</v>
      </c>
      <c r="S123" s="31">
        <f>SUM(S117:S122)</f>
        <v>2004</v>
      </c>
      <c r="T123" s="31">
        <f>SUM(T117:T122)</f>
        <v>529</v>
      </c>
      <c r="U123" s="31">
        <f aca="true" t="shared" si="69" ref="U123:BA123">SUM(U117:U122)</f>
        <v>0</v>
      </c>
      <c r="V123" s="31">
        <f t="shared" si="69"/>
        <v>0</v>
      </c>
      <c r="W123" s="31">
        <f t="shared" si="69"/>
        <v>0</v>
      </c>
      <c r="X123" s="31">
        <f t="shared" si="69"/>
        <v>318</v>
      </c>
      <c r="Y123" s="31">
        <f t="shared" si="69"/>
        <v>0</v>
      </c>
      <c r="Z123" s="31">
        <f t="shared" si="69"/>
        <v>0</v>
      </c>
      <c r="AA123" s="31">
        <f t="shared" si="69"/>
        <v>0</v>
      </c>
      <c r="AB123" s="31">
        <f t="shared" si="69"/>
        <v>0</v>
      </c>
      <c r="AC123" s="31">
        <f t="shared" si="69"/>
        <v>0</v>
      </c>
      <c r="AD123" s="31">
        <f t="shared" si="69"/>
        <v>0</v>
      </c>
      <c r="AE123" s="31">
        <f t="shared" si="69"/>
        <v>0</v>
      </c>
      <c r="AF123" s="31">
        <f t="shared" si="69"/>
        <v>4290</v>
      </c>
      <c r="AG123" s="31">
        <f t="shared" si="69"/>
        <v>210</v>
      </c>
      <c r="AH123" s="31">
        <f t="shared" si="69"/>
        <v>0</v>
      </c>
      <c r="AI123" s="31">
        <f t="shared" si="69"/>
        <v>7495</v>
      </c>
      <c r="AJ123" s="31">
        <f t="shared" si="69"/>
        <v>0</v>
      </c>
      <c r="AK123" s="31">
        <f t="shared" si="69"/>
        <v>242</v>
      </c>
      <c r="AL123" s="31">
        <f t="shared" si="69"/>
        <v>0</v>
      </c>
      <c r="AM123" s="31">
        <f t="shared" si="69"/>
        <v>0</v>
      </c>
      <c r="AN123" s="31">
        <f t="shared" si="69"/>
        <v>0</v>
      </c>
      <c r="AO123" s="31">
        <f t="shared" si="69"/>
        <v>0</v>
      </c>
      <c r="AP123" s="31">
        <f>SUM(AP117:AP122)</f>
        <v>191</v>
      </c>
      <c r="AQ123" s="31">
        <f t="shared" si="69"/>
        <v>0</v>
      </c>
      <c r="AR123" s="31">
        <f t="shared" si="69"/>
        <v>0</v>
      </c>
      <c r="AS123" s="31">
        <f t="shared" si="69"/>
        <v>0</v>
      </c>
      <c r="AT123" s="31">
        <f t="shared" si="69"/>
        <v>0</v>
      </c>
      <c r="AU123" s="31">
        <f t="shared" si="69"/>
        <v>235</v>
      </c>
      <c r="AV123" s="31">
        <f t="shared" si="69"/>
        <v>0</v>
      </c>
      <c r="AW123" s="31">
        <f t="shared" si="69"/>
        <v>168</v>
      </c>
      <c r="AX123" s="31">
        <f t="shared" si="69"/>
        <v>82</v>
      </c>
      <c r="AY123" s="31">
        <f t="shared" si="69"/>
        <v>0</v>
      </c>
      <c r="AZ123" s="31">
        <f t="shared" si="69"/>
        <v>0</v>
      </c>
      <c r="BA123" s="31">
        <f t="shared" si="69"/>
        <v>0</v>
      </c>
      <c r="BB123" s="24">
        <f t="shared" si="65"/>
        <v>13760</v>
      </c>
      <c r="BC123" s="31">
        <f t="shared" si="43"/>
        <v>48389</v>
      </c>
    </row>
    <row r="124" spans="1:55" s="64" customFormat="1" ht="12.75">
      <c r="A124" s="164">
        <v>118</v>
      </c>
      <c r="B124" s="31" t="s">
        <v>401</v>
      </c>
      <c r="C124" s="31">
        <f>SUM(C123,C116)</f>
        <v>2597</v>
      </c>
      <c r="D124" s="31">
        <f aca="true" t="shared" si="70" ref="D124:AC124">SUM(D123,D116)</f>
        <v>1949</v>
      </c>
      <c r="E124" s="31">
        <f t="shared" si="70"/>
        <v>100367</v>
      </c>
      <c r="F124" s="31">
        <f t="shared" si="70"/>
        <v>0</v>
      </c>
      <c r="G124" s="31">
        <f t="shared" si="70"/>
        <v>0</v>
      </c>
      <c r="H124" s="31">
        <f t="shared" si="70"/>
        <v>0</v>
      </c>
      <c r="I124" s="31">
        <f t="shared" si="70"/>
        <v>0</v>
      </c>
      <c r="J124" s="31">
        <f t="shared" si="70"/>
        <v>0</v>
      </c>
      <c r="K124" s="31">
        <f t="shared" si="70"/>
        <v>0</v>
      </c>
      <c r="L124" s="31">
        <f t="shared" si="70"/>
        <v>0</v>
      </c>
      <c r="M124" s="31">
        <f t="shared" si="70"/>
        <v>0</v>
      </c>
      <c r="N124" s="31">
        <f t="shared" si="70"/>
        <v>0</v>
      </c>
      <c r="O124" s="31">
        <f t="shared" si="70"/>
        <v>0</v>
      </c>
      <c r="P124" s="31">
        <f t="shared" si="70"/>
        <v>0</v>
      </c>
      <c r="Q124" s="31">
        <f t="shared" si="70"/>
        <v>0</v>
      </c>
      <c r="R124" s="31">
        <f t="shared" si="70"/>
        <v>104913</v>
      </c>
      <c r="S124" s="31">
        <f t="shared" si="70"/>
        <v>2004</v>
      </c>
      <c r="T124" s="31">
        <f t="shared" si="70"/>
        <v>529</v>
      </c>
      <c r="U124" s="31">
        <f t="shared" si="70"/>
        <v>0</v>
      </c>
      <c r="V124" s="31">
        <f t="shared" si="70"/>
        <v>0</v>
      </c>
      <c r="W124" s="31">
        <f t="shared" si="70"/>
        <v>0</v>
      </c>
      <c r="X124" s="31">
        <f t="shared" si="70"/>
        <v>318</v>
      </c>
      <c r="Y124" s="31">
        <f t="shared" si="70"/>
        <v>0</v>
      </c>
      <c r="Z124" s="31">
        <f t="shared" si="70"/>
        <v>0</v>
      </c>
      <c r="AA124" s="31">
        <f t="shared" si="70"/>
        <v>0</v>
      </c>
      <c r="AB124" s="31">
        <f t="shared" si="70"/>
        <v>0</v>
      </c>
      <c r="AC124" s="31">
        <f t="shared" si="70"/>
        <v>0</v>
      </c>
      <c r="AD124" s="31">
        <f>SUM(AD123,AD116)</f>
        <v>0</v>
      </c>
      <c r="AE124" s="31">
        <f>SUM(AE123,AE116)</f>
        <v>0</v>
      </c>
      <c r="AF124" s="31">
        <f>SUM(AF123,AF116)</f>
        <v>4290</v>
      </c>
      <c r="AG124" s="31">
        <f aca="true" t="shared" si="71" ref="AG124:AZ124">SUM(AG123,AG116)</f>
        <v>210</v>
      </c>
      <c r="AH124" s="31">
        <f>SUM(AH123,AH116)</f>
        <v>0</v>
      </c>
      <c r="AI124" s="31">
        <f t="shared" si="71"/>
        <v>10732</v>
      </c>
      <c r="AJ124" s="31">
        <f t="shared" si="71"/>
        <v>0</v>
      </c>
      <c r="AK124" s="31">
        <f t="shared" si="71"/>
        <v>242</v>
      </c>
      <c r="AL124" s="31">
        <f t="shared" si="71"/>
        <v>0</v>
      </c>
      <c r="AM124" s="31">
        <f>SUM(AM123,AM116)</f>
        <v>0</v>
      </c>
      <c r="AN124" s="31">
        <f t="shared" si="71"/>
        <v>0</v>
      </c>
      <c r="AO124" s="31">
        <f>SUM(AO123,AO116)</f>
        <v>0</v>
      </c>
      <c r="AP124" s="31">
        <f t="shared" si="71"/>
        <v>191</v>
      </c>
      <c r="AQ124" s="31">
        <f t="shared" si="71"/>
        <v>0</v>
      </c>
      <c r="AR124" s="31">
        <f t="shared" si="71"/>
        <v>0</v>
      </c>
      <c r="AS124" s="31">
        <f t="shared" si="71"/>
        <v>0</v>
      </c>
      <c r="AT124" s="31">
        <f t="shared" si="71"/>
        <v>0</v>
      </c>
      <c r="AU124" s="31">
        <f>SUM(AU123,AU116)</f>
        <v>235</v>
      </c>
      <c r="AV124" s="31">
        <f>SUM(AV123,AV116)</f>
        <v>0</v>
      </c>
      <c r="AW124" s="31">
        <f t="shared" si="71"/>
        <v>168</v>
      </c>
      <c r="AX124" s="31">
        <f t="shared" si="71"/>
        <v>82</v>
      </c>
      <c r="AY124" s="31">
        <f>SUM(AY123,AY116)</f>
        <v>0</v>
      </c>
      <c r="AZ124" s="31">
        <f t="shared" si="71"/>
        <v>0</v>
      </c>
      <c r="BA124" s="31">
        <f>SUM(BA123,BA116)</f>
        <v>500</v>
      </c>
      <c r="BB124" s="24">
        <f t="shared" si="65"/>
        <v>17497</v>
      </c>
      <c r="BC124" s="31">
        <f t="shared" si="43"/>
        <v>124414</v>
      </c>
    </row>
    <row r="125" spans="1:55" ht="12.75">
      <c r="A125" s="61">
        <v>119</v>
      </c>
      <c r="R125" s="24">
        <f t="shared" si="42"/>
        <v>0</v>
      </c>
      <c r="BB125" s="24">
        <f t="shared" si="65"/>
        <v>0</v>
      </c>
      <c r="BC125" s="31">
        <f t="shared" si="43"/>
        <v>0</v>
      </c>
    </row>
    <row r="126" spans="1:55" ht="12.75">
      <c r="A126" s="61">
        <v>120</v>
      </c>
      <c r="B126" s="24" t="s">
        <v>402</v>
      </c>
      <c r="C126" s="24"/>
      <c r="D126" s="24"/>
      <c r="E126" s="24">
        <v>5346</v>
      </c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>
        <f t="shared" si="42"/>
        <v>5346</v>
      </c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>
        <f t="shared" si="65"/>
        <v>0</v>
      </c>
      <c r="BC126" s="31">
        <f t="shared" si="43"/>
        <v>5346</v>
      </c>
    </row>
    <row r="127" spans="1:55" ht="12.75">
      <c r="A127" s="61">
        <v>121</v>
      </c>
      <c r="B127" s="24" t="s">
        <v>403</v>
      </c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>
        <f>'[8]889942'!$G$13</f>
        <v>600</v>
      </c>
      <c r="P127" s="24"/>
      <c r="Q127" s="24"/>
      <c r="R127" s="24">
        <f t="shared" si="42"/>
        <v>600</v>
      </c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>
        <f>'[6]841403'!$G$36</f>
        <v>2500</v>
      </c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>
        <f t="shared" si="65"/>
        <v>2500</v>
      </c>
      <c r="BC127" s="31">
        <f t="shared" si="43"/>
        <v>3100</v>
      </c>
    </row>
    <row r="128" spans="1:55" ht="12.75">
      <c r="A128" s="164">
        <v>122</v>
      </c>
      <c r="B128" s="24" t="s">
        <v>404</v>
      </c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>
        <f t="shared" si="42"/>
        <v>0</v>
      </c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>
        <f t="shared" si="65"/>
        <v>0</v>
      </c>
      <c r="BC128" s="31">
        <f t="shared" si="43"/>
        <v>0</v>
      </c>
    </row>
    <row r="129" spans="1:55" s="64" customFormat="1" ht="12.75">
      <c r="A129" s="61">
        <v>123</v>
      </c>
      <c r="B129" s="31" t="s">
        <v>405</v>
      </c>
      <c r="C129" s="31">
        <f>SUM(C124:C128)</f>
        <v>2597</v>
      </c>
      <c r="D129" s="31">
        <f>SUM(D124:D128)</f>
        <v>1949</v>
      </c>
      <c r="E129" s="31">
        <f>E124+E126+E127+E128</f>
        <v>105713</v>
      </c>
      <c r="F129" s="31">
        <f aca="true" t="shared" si="72" ref="F129:Q129">SUM(F126:F128)</f>
        <v>0</v>
      </c>
      <c r="G129" s="31">
        <f t="shared" si="72"/>
        <v>0</v>
      </c>
      <c r="H129" s="31">
        <f t="shared" si="72"/>
        <v>0</v>
      </c>
      <c r="I129" s="31">
        <f t="shared" si="72"/>
        <v>0</v>
      </c>
      <c r="J129" s="31">
        <f t="shared" si="72"/>
        <v>0</v>
      </c>
      <c r="K129" s="31">
        <f t="shared" si="72"/>
        <v>0</v>
      </c>
      <c r="L129" s="31">
        <f t="shared" si="72"/>
        <v>0</v>
      </c>
      <c r="M129" s="31">
        <f t="shared" si="72"/>
        <v>0</v>
      </c>
      <c r="N129" s="31">
        <f t="shared" si="72"/>
        <v>0</v>
      </c>
      <c r="O129" s="31">
        <f t="shared" si="72"/>
        <v>600</v>
      </c>
      <c r="P129" s="31">
        <f t="shared" si="72"/>
        <v>0</v>
      </c>
      <c r="Q129" s="31">
        <f t="shared" si="72"/>
        <v>0</v>
      </c>
      <c r="R129" s="24">
        <f t="shared" si="42"/>
        <v>110859</v>
      </c>
      <c r="S129" s="31">
        <f>SUM(S124:S128)</f>
        <v>2004</v>
      </c>
      <c r="T129" s="31">
        <f aca="true" t="shared" si="73" ref="T129:AC129">SUM(T124:T128)</f>
        <v>529</v>
      </c>
      <c r="U129" s="31">
        <f t="shared" si="73"/>
        <v>0</v>
      </c>
      <c r="V129" s="31">
        <f t="shared" si="73"/>
        <v>0</v>
      </c>
      <c r="W129" s="31">
        <f t="shared" si="73"/>
        <v>0</v>
      </c>
      <c r="X129" s="31">
        <f t="shared" si="73"/>
        <v>318</v>
      </c>
      <c r="Y129" s="31">
        <f t="shared" si="73"/>
        <v>0</v>
      </c>
      <c r="Z129" s="31">
        <f t="shared" si="73"/>
        <v>0</v>
      </c>
      <c r="AA129" s="31">
        <f t="shared" si="73"/>
        <v>0</v>
      </c>
      <c r="AB129" s="31">
        <f t="shared" si="73"/>
        <v>0</v>
      </c>
      <c r="AC129" s="31">
        <f t="shared" si="73"/>
        <v>0</v>
      </c>
      <c r="AD129" s="31">
        <f>SUM(AD124:AD128)</f>
        <v>0</v>
      </c>
      <c r="AE129" s="31">
        <f>SUM(AE124:AE128)</f>
        <v>0</v>
      </c>
      <c r="AF129" s="31">
        <f>SUM(AF124:AF128)</f>
        <v>4290</v>
      </c>
      <c r="AG129" s="31">
        <f aca="true" t="shared" si="74" ref="AG129:AZ129">SUM(AG124:AG128)</f>
        <v>210</v>
      </c>
      <c r="AH129" s="31">
        <f>SUM(AH124:AH128)</f>
        <v>0</v>
      </c>
      <c r="AI129" s="31">
        <f t="shared" si="74"/>
        <v>13232</v>
      </c>
      <c r="AJ129" s="31">
        <f t="shared" si="74"/>
        <v>0</v>
      </c>
      <c r="AK129" s="31">
        <f t="shared" si="74"/>
        <v>242</v>
      </c>
      <c r="AL129" s="31">
        <f t="shared" si="74"/>
        <v>0</v>
      </c>
      <c r="AM129" s="31">
        <f>SUM(AM124:AM128)</f>
        <v>0</v>
      </c>
      <c r="AN129" s="31">
        <f t="shared" si="74"/>
        <v>0</v>
      </c>
      <c r="AO129" s="31">
        <f>SUM(AO124:AO128)</f>
        <v>0</v>
      </c>
      <c r="AP129" s="31">
        <f t="shared" si="74"/>
        <v>191</v>
      </c>
      <c r="AQ129" s="31">
        <f t="shared" si="74"/>
        <v>0</v>
      </c>
      <c r="AR129" s="31">
        <f t="shared" si="74"/>
        <v>0</v>
      </c>
      <c r="AS129" s="31">
        <f t="shared" si="74"/>
        <v>0</v>
      </c>
      <c r="AT129" s="31">
        <f t="shared" si="74"/>
        <v>0</v>
      </c>
      <c r="AU129" s="31">
        <f>SUM(AU124:AU128)</f>
        <v>235</v>
      </c>
      <c r="AV129" s="31">
        <f>SUM(AV124:AV128)</f>
        <v>0</v>
      </c>
      <c r="AW129" s="31">
        <f t="shared" si="74"/>
        <v>168</v>
      </c>
      <c r="AX129" s="31">
        <f t="shared" si="74"/>
        <v>82</v>
      </c>
      <c r="AY129" s="31">
        <f>SUM(AY124:AY128)</f>
        <v>0</v>
      </c>
      <c r="AZ129" s="31">
        <f t="shared" si="74"/>
        <v>0</v>
      </c>
      <c r="BA129" s="31">
        <f>SUM(BA124:BA128)</f>
        <v>500</v>
      </c>
      <c r="BB129" s="24">
        <f t="shared" si="65"/>
        <v>19997</v>
      </c>
      <c r="BC129" s="31">
        <f>BB129+R129+S129</f>
        <v>132860</v>
      </c>
    </row>
    <row r="130" spans="1:55" s="64" customFormat="1" ht="12.75">
      <c r="A130" s="61">
        <v>124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24">
        <f t="shared" si="42"/>
        <v>0</v>
      </c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24">
        <f t="shared" si="65"/>
        <v>0</v>
      </c>
      <c r="BC130" s="31">
        <f t="shared" si="43"/>
        <v>0</v>
      </c>
    </row>
    <row r="131" spans="1:55" s="64" customFormat="1" ht="12.75">
      <c r="A131" s="61">
        <v>125</v>
      </c>
      <c r="B131" s="31" t="s">
        <v>406</v>
      </c>
      <c r="C131" s="31">
        <f>SUM(C129,C110)</f>
        <v>52153</v>
      </c>
      <c r="D131" s="31">
        <f aca="true" t="shared" si="75" ref="D131:Q131">SUM(D129,D110)</f>
        <v>2069</v>
      </c>
      <c r="E131" s="31">
        <f t="shared" si="75"/>
        <v>124370</v>
      </c>
      <c r="F131" s="31">
        <f t="shared" si="75"/>
        <v>340</v>
      </c>
      <c r="G131" s="31">
        <f t="shared" si="75"/>
        <v>1183</v>
      </c>
      <c r="H131" s="31">
        <f t="shared" si="75"/>
        <v>1320</v>
      </c>
      <c r="I131" s="31">
        <f t="shared" si="75"/>
        <v>2879</v>
      </c>
      <c r="J131" s="31">
        <f t="shared" si="75"/>
        <v>2126</v>
      </c>
      <c r="K131" s="31">
        <f t="shared" si="75"/>
        <v>750</v>
      </c>
      <c r="L131" s="31">
        <f t="shared" si="75"/>
        <v>500</v>
      </c>
      <c r="M131" s="31">
        <f t="shared" si="75"/>
        <v>1400</v>
      </c>
      <c r="N131" s="31">
        <f t="shared" si="75"/>
        <v>100</v>
      </c>
      <c r="O131" s="31">
        <f t="shared" si="75"/>
        <v>600</v>
      </c>
      <c r="P131" s="31">
        <f t="shared" si="75"/>
        <v>0</v>
      </c>
      <c r="Q131" s="31">
        <f t="shared" si="75"/>
        <v>4242</v>
      </c>
      <c r="R131" s="24">
        <f t="shared" si="42"/>
        <v>194032</v>
      </c>
      <c r="S131" s="31">
        <f>SUM(S129,S110)</f>
        <v>34958</v>
      </c>
      <c r="T131" s="31">
        <f>SUM(T129,T110)</f>
        <v>6207</v>
      </c>
      <c r="U131" s="31">
        <f aca="true" t="shared" si="76" ref="U131:BA131">SUM(U129,U110)</f>
        <v>18671</v>
      </c>
      <c r="V131" s="31">
        <f t="shared" si="76"/>
        <v>7350</v>
      </c>
      <c r="W131" s="31">
        <f t="shared" si="76"/>
        <v>3363</v>
      </c>
      <c r="X131" s="31">
        <f t="shared" si="76"/>
        <v>24371</v>
      </c>
      <c r="Y131" s="31">
        <f t="shared" si="76"/>
        <v>2862</v>
      </c>
      <c r="Z131" s="31">
        <f t="shared" si="76"/>
        <v>3292</v>
      </c>
      <c r="AA131" s="31">
        <f t="shared" si="76"/>
        <v>127</v>
      </c>
      <c r="AB131" s="31">
        <f t="shared" si="76"/>
        <v>5715</v>
      </c>
      <c r="AC131" s="31">
        <f t="shared" si="76"/>
        <v>250</v>
      </c>
      <c r="AD131" s="31">
        <f t="shared" si="76"/>
        <v>3600</v>
      </c>
      <c r="AE131" s="31">
        <f t="shared" si="76"/>
        <v>7368</v>
      </c>
      <c r="AF131" s="31">
        <f t="shared" si="76"/>
        <v>33792</v>
      </c>
      <c r="AG131" s="31">
        <f t="shared" si="76"/>
        <v>38310</v>
      </c>
      <c r="AH131" s="31">
        <f t="shared" si="76"/>
        <v>12919</v>
      </c>
      <c r="AI131" s="31">
        <f t="shared" si="76"/>
        <v>34628</v>
      </c>
      <c r="AJ131" s="31">
        <f t="shared" si="76"/>
        <v>635</v>
      </c>
      <c r="AK131" s="31">
        <f t="shared" si="76"/>
        <v>19986</v>
      </c>
      <c r="AL131" s="31">
        <f t="shared" si="76"/>
        <v>10463</v>
      </c>
      <c r="AM131" s="31">
        <f t="shared" si="76"/>
        <v>1334</v>
      </c>
      <c r="AN131" s="31">
        <f t="shared" si="76"/>
        <v>300</v>
      </c>
      <c r="AO131" s="31">
        <f t="shared" si="76"/>
        <v>1200</v>
      </c>
      <c r="AP131" s="31">
        <f t="shared" si="76"/>
        <v>4329</v>
      </c>
      <c r="AQ131" s="31">
        <f t="shared" si="76"/>
        <v>1245</v>
      </c>
      <c r="AR131" s="31">
        <f t="shared" si="76"/>
        <v>1172</v>
      </c>
      <c r="AS131" s="31">
        <f t="shared" si="76"/>
        <v>4657</v>
      </c>
      <c r="AT131" s="31">
        <f t="shared" si="76"/>
        <v>1090</v>
      </c>
      <c r="AU131" s="31">
        <f t="shared" si="76"/>
        <v>7461</v>
      </c>
      <c r="AV131" s="31">
        <f t="shared" si="76"/>
        <v>720</v>
      </c>
      <c r="AW131" s="31">
        <f t="shared" si="76"/>
        <v>1200</v>
      </c>
      <c r="AX131" s="31">
        <f t="shared" si="76"/>
        <v>11983</v>
      </c>
      <c r="AY131" s="31">
        <f t="shared" si="76"/>
        <v>605</v>
      </c>
      <c r="AZ131" s="31">
        <f t="shared" si="76"/>
        <v>775</v>
      </c>
      <c r="BA131" s="31">
        <f t="shared" si="76"/>
        <v>1199</v>
      </c>
      <c r="BB131" s="24">
        <f t="shared" si="65"/>
        <v>273179</v>
      </c>
      <c r="BC131" s="31">
        <f>BB131+R131+S131</f>
        <v>502169</v>
      </c>
    </row>
    <row r="132" spans="1:55" ht="12.75">
      <c r="A132" s="164">
        <v>126</v>
      </c>
      <c r="B132" s="24" t="s">
        <v>407</v>
      </c>
      <c r="C132" s="24">
        <v>117494</v>
      </c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>
        <f t="shared" si="42"/>
        <v>117494</v>
      </c>
      <c r="S132" s="24"/>
      <c r="T132" s="24"/>
      <c r="AR132" s="64"/>
      <c r="AS132" s="64"/>
      <c r="AT132" s="64"/>
      <c r="AU132" s="64"/>
      <c r="AV132" s="64"/>
      <c r="BB132" s="24">
        <f t="shared" si="65"/>
        <v>0</v>
      </c>
      <c r="BC132" s="31">
        <f t="shared" si="43"/>
        <v>117494</v>
      </c>
    </row>
    <row r="133" spans="1:55" ht="12.75">
      <c r="A133" s="61">
        <v>127</v>
      </c>
      <c r="B133" s="24" t="s">
        <v>408</v>
      </c>
      <c r="C133" s="24">
        <v>2524</v>
      </c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>
        <f t="shared" si="42"/>
        <v>2524</v>
      </c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>
        <f t="shared" si="65"/>
        <v>0</v>
      </c>
      <c r="BC133" s="31">
        <f t="shared" si="43"/>
        <v>2524</v>
      </c>
    </row>
    <row r="134" spans="1:55" ht="12.75">
      <c r="A134" s="61">
        <v>128</v>
      </c>
      <c r="B134" s="24" t="s">
        <v>409</v>
      </c>
      <c r="C134" s="24">
        <v>500</v>
      </c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>
        <f t="shared" si="42"/>
        <v>500</v>
      </c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>
        <f t="shared" si="65"/>
        <v>0</v>
      </c>
      <c r="BC134" s="31">
        <f t="shared" si="43"/>
        <v>500</v>
      </c>
    </row>
    <row r="135" spans="1:55" ht="12.75">
      <c r="A135" s="61">
        <v>129</v>
      </c>
      <c r="B135" s="24" t="s">
        <v>410</v>
      </c>
      <c r="C135" s="24">
        <f>SUM(C132:C134)</f>
        <v>120518</v>
      </c>
      <c r="D135" s="24">
        <f aca="true" t="shared" si="77" ref="D135:Q135">SUM(D132:D134)</f>
        <v>0</v>
      </c>
      <c r="E135" s="24">
        <f t="shared" si="77"/>
        <v>0</v>
      </c>
      <c r="F135" s="24">
        <f t="shared" si="77"/>
        <v>0</v>
      </c>
      <c r="G135" s="24">
        <f t="shared" si="77"/>
        <v>0</v>
      </c>
      <c r="H135" s="24">
        <f t="shared" si="77"/>
        <v>0</v>
      </c>
      <c r="I135" s="24">
        <f t="shared" si="77"/>
        <v>0</v>
      </c>
      <c r="J135" s="24">
        <f t="shared" si="77"/>
        <v>0</v>
      </c>
      <c r="K135" s="24">
        <f t="shared" si="77"/>
        <v>0</v>
      </c>
      <c r="L135" s="24">
        <f t="shared" si="77"/>
        <v>0</v>
      </c>
      <c r="M135" s="24">
        <f t="shared" si="77"/>
        <v>0</v>
      </c>
      <c r="N135" s="24">
        <f t="shared" si="77"/>
        <v>0</v>
      </c>
      <c r="O135" s="24">
        <f t="shared" si="77"/>
        <v>0</v>
      </c>
      <c r="P135" s="24">
        <f t="shared" si="77"/>
        <v>0</v>
      </c>
      <c r="Q135" s="24">
        <f t="shared" si="77"/>
        <v>0</v>
      </c>
      <c r="R135" s="24">
        <f t="shared" si="42"/>
        <v>120518</v>
      </c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>
        <f t="shared" si="65"/>
        <v>0</v>
      </c>
      <c r="BC135" s="31">
        <f t="shared" si="43"/>
        <v>120518</v>
      </c>
    </row>
    <row r="136" spans="1:56" ht="12.75">
      <c r="A136" s="164">
        <v>130</v>
      </c>
      <c r="B136" s="31" t="s">
        <v>411</v>
      </c>
      <c r="C136" s="31">
        <f>SUM(C131,C135)</f>
        <v>172671</v>
      </c>
      <c r="D136" s="31">
        <f aca="true" t="shared" si="78" ref="D136:P136">SUM(D131,D135)</f>
        <v>2069</v>
      </c>
      <c r="E136" s="31">
        <f t="shared" si="78"/>
        <v>124370</v>
      </c>
      <c r="F136" s="31">
        <f>SUM(F106,F135)</f>
        <v>340</v>
      </c>
      <c r="G136" s="31">
        <f t="shared" si="78"/>
        <v>1183</v>
      </c>
      <c r="H136" s="31">
        <f t="shared" si="78"/>
        <v>1320</v>
      </c>
      <c r="I136" s="31">
        <f t="shared" si="78"/>
        <v>2879</v>
      </c>
      <c r="J136" s="31">
        <f t="shared" si="78"/>
        <v>2126</v>
      </c>
      <c r="K136" s="31">
        <f t="shared" si="78"/>
        <v>750</v>
      </c>
      <c r="L136" s="31">
        <f t="shared" si="78"/>
        <v>500</v>
      </c>
      <c r="M136" s="31">
        <f t="shared" si="78"/>
        <v>1400</v>
      </c>
      <c r="N136" s="31">
        <f t="shared" si="78"/>
        <v>100</v>
      </c>
      <c r="O136" s="31">
        <f t="shared" si="78"/>
        <v>600</v>
      </c>
      <c r="P136" s="31">
        <f t="shared" si="78"/>
        <v>0</v>
      </c>
      <c r="Q136" s="31">
        <f>SUM(Q131,Q135)</f>
        <v>4242</v>
      </c>
      <c r="R136" s="24">
        <f>SUM(C136:Q136)</f>
        <v>314550</v>
      </c>
      <c r="S136" s="31">
        <f>SUM(S131,S135)</f>
        <v>34958</v>
      </c>
      <c r="T136" s="31">
        <f>SUM(T131,T135)</f>
        <v>6207</v>
      </c>
      <c r="U136" s="31">
        <f aca="true" t="shared" si="79" ref="U136:Z136">SUM(U135,U131)</f>
        <v>18671</v>
      </c>
      <c r="V136" s="31">
        <f t="shared" si="79"/>
        <v>7350</v>
      </c>
      <c r="W136" s="31">
        <f t="shared" si="79"/>
        <v>3363</v>
      </c>
      <c r="X136" s="31">
        <f t="shared" si="79"/>
        <v>24371</v>
      </c>
      <c r="Y136" s="31">
        <f t="shared" si="79"/>
        <v>2862</v>
      </c>
      <c r="Z136" s="31">
        <f t="shared" si="79"/>
        <v>3292</v>
      </c>
      <c r="AA136" s="31">
        <f>SUM(AA131,AA135)</f>
        <v>127</v>
      </c>
      <c r="AB136" s="31">
        <f>SUM(AB135,AB131)</f>
        <v>5715</v>
      </c>
      <c r="AC136" s="31">
        <f>SUM(AC135,AC131)</f>
        <v>250</v>
      </c>
      <c r="AD136" s="31">
        <f>SUM(AD131,AD135)</f>
        <v>3600</v>
      </c>
      <c r="AE136" s="31">
        <f>SUM(AE135,AE131)</f>
        <v>7368</v>
      </c>
      <c r="AF136" s="31">
        <f>SUM(AF135,AF131)</f>
        <v>33792</v>
      </c>
      <c r="AG136" s="31">
        <f aca="true" t="shared" si="80" ref="AG136:AZ136">SUM(AG135,AG131)</f>
        <v>38310</v>
      </c>
      <c r="AH136" s="31">
        <f>SUM(AH135,AH131)</f>
        <v>12919</v>
      </c>
      <c r="AI136" s="31">
        <f t="shared" si="80"/>
        <v>34628</v>
      </c>
      <c r="AJ136" s="31">
        <f t="shared" si="80"/>
        <v>635</v>
      </c>
      <c r="AK136" s="31">
        <f t="shared" si="80"/>
        <v>19986</v>
      </c>
      <c r="AL136" s="31">
        <f t="shared" si="80"/>
        <v>10463</v>
      </c>
      <c r="AM136" s="31">
        <f>SUM(AM135,AM131)</f>
        <v>1334</v>
      </c>
      <c r="AN136" s="31">
        <f t="shared" si="80"/>
        <v>300</v>
      </c>
      <c r="AO136" s="31">
        <f>SUM(AO135,AO131)</f>
        <v>1200</v>
      </c>
      <c r="AP136" s="31">
        <f t="shared" si="80"/>
        <v>4329</v>
      </c>
      <c r="AQ136" s="31">
        <f t="shared" si="80"/>
        <v>1245</v>
      </c>
      <c r="AR136" s="31">
        <f t="shared" si="80"/>
        <v>1172</v>
      </c>
      <c r="AS136" s="31">
        <f t="shared" si="80"/>
        <v>4657</v>
      </c>
      <c r="AT136" s="31">
        <f t="shared" si="80"/>
        <v>1090</v>
      </c>
      <c r="AU136" s="31">
        <f>SUM(AU135,AU131)</f>
        <v>7461</v>
      </c>
      <c r="AV136" s="31">
        <f>SUM(AV135,AV131)</f>
        <v>720</v>
      </c>
      <c r="AW136" s="31">
        <f t="shared" si="80"/>
        <v>1200</v>
      </c>
      <c r="AX136" s="31">
        <f t="shared" si="80"/>
        <v>11983</v>
      </c>
      <c r="AY136" s="31">
        <f>SUM(AY135,AY131)</f>
        <v>605</v>
      </c>
      <c r="AZ136" s="31">
        <f t="shared" si="80"/>
        <v>775</v>
      </c>
      <c r="BA136" s="31">
        <f>SUM(BA135,BA131)</f>
        <v>1199</v>
      </c>
      <c r="BB136" s="24">
        <f t="shared" si="65"/>
        <v>273179</v>
      </c>
      <c r="BC136" s="31">
        <f>BB136+R136+S136</f>
        <v>622687</v>
      </c>
      <c r="BD136" s="63">
        <v>622687</v>
      </c>
    </row>
    <row r="137" spans="18:54" ht="12.75">
      <c r="R137" s="63">
        <v>314550</v>
      </c>
      <c r="S137" s="63">
        <v>34958</v>
      </c>
      <c r="BB137" s="24"/>
    </row>
    <row r="138" spans="18:19" ht="11.25">
      <c r="R138" s="63">
        <f>R137-R136</f>
        <v>0</v>
      </c>
      <c r="S138" s="63">
        <f>S137-S136</f>
        <v>0</v>
      </c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landscape" paperSize="9" scale="28" r:id="rId1"/>
  <rowBreaks count="1" manualBreakCount="1">
    <brk id="58" max="5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O164"/>
  <sheetViews>
    <sheetView view="pageBreakPreview" zoomScale="6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14" sqref="P14"/>
    </sheetView>
  </sheetViews>
  <sheetFormatPr defaultColWidth="9.140625" defaultRowHeight="15"/>
  <cols>
    <col min="1" max="1" width="9.140625" style="82" customWidth="1"/>
    <col min="2" max="2" width="9.8515625" style="81" bestFit="1" customWidth="1"/>
    <col min="3" max="3" width="49.7109375" style="81" customWidth="1"/>
    <col min="4" max="4" width="11.140625" style="80" customWidth="1"/>
    <col min="5" max="5" width="10.421875" style="80" customWidth="1"/>
    <col min="6" max="7" width="11.140625" style="149" customWidth="1"/>
    <col min="8" max="8" width="10.421875" style="80" customWidth="1"/>
    <col min="9" max="9" width="10.57421875" style="81" customWidth="1"/>
    <col min="10" max="10" width="9.7109375" style="208" bestFit="1" customWidth="1"/>
    <col min="11" max="16384" width="9.140625" style="81" customWidth="1"/>
  </cols>
  <sheetData>
    <row r="1" spans="1:10" ht="15.75">
      <c r="A1" s="264" t="s">
        <v>647</v>
      </c>
      <c r="B1" s="265"/>
      <c r="C1" s="265"/>
      <c r="F1" s="80"/>
      <c r="G1" s="80"/>
      <c r="J1" s="81"/>
    </row>
    <row r="2" spans="2:10" ht="15.75">
      <c r="B2" s="266" t="s">
        <v>463</v>
      </c>
      <c r="C2" s="266"/>
      <c r="D2" s="266"/>
      <c r="E2" s="83"/>
      <c r="F2" s="83"/>
      <c r="G2" s="83"/>
      <c r="H2" s="83"/>
      <c r="J2" s="81"/>
    </row>
    <row r="3" spans="2:10" ht="15.75">
      <c r="B3" s="83"/>
      <c r="C3" s="83"/>
      <c r="D3" s="83"/>
      <c r="E3" s="83"/>
      <c r="F3" s="83"/>
      <c r="G3" s="83"/>
      <c r="H3" s="83"/>
      <c r="J3" s="81"/>
    </row>
    <row r="4" spans="1:14" s="82" customFormat="1" ht="15.75">
      <c r="A4" s="84"/>
      <c r="B4" s="85" t="s">
        <v>30</v>
      </c>
      <c r="C4" s="85" t="s">
        <v>31</v>
      </c>
      <c r="D4" s="85" t="s">
        <v>32</v>
      </c>
      <c r="E4" s="85" t="s">
        <v>33</v>
      </c>
      <c r="F4" s="85" t="s">
        <v>34</v>
      </c>
      <c r="G4" s="85"/>
      <c r="H4" s="85" t="s">
        <v>155</v>
      </c>
      <c r="I4" s="169" t="s">
        <v>63</v>
      </c>
      <c r="J4" s="84"/>
      <c r="K4" s="267" t="s">
        <v>656</v>
      </c>
      <c r="L4" s="267"/>
      <c r="M4" s="267" t="s">
        <v>657</v>
      </c>
      <c r="N4" s="267"/>
    </row>
    <row r="5" spans="1:14" s="82" customFormat="1" ht="15.75">
      <c r="A5" s="84">
        <v>1</v>
      </c>
      <c r="B5" s="85"/>
      <c r="C5" s="85"/>
      <c r="D5" s="85"/>
      <c r="E5" s="85"/>
      <c r="F5" s="85"/>
      <c r="G5" s="85"/>
      <c r="H5" s="85"/>
      <c r="I5" s="169"/>
      <c r="J5" s="84"/>
      <c r="K5" s="84" t="s">
        <v>658</v>
      </c>
      <c r="L5" s="84" t="s">
        <v>659</v>
      </c>
      <c r="M5" s="84" t="s">
        <v>658</v>
      </c>
      <c r="N5" s="84" t="s">
        <v>659</v>
      </c>
    </row>
    <row r="6" spans="1:14" ht="31.5">
      <c r="A6" s="84">
        <v>2</v>
      </c>
      <c r="B6" s="86"/>
      <c r="C6" s="86"/>
      <c r="D6" s="87" t="s">
        <v>439</v>
      </c>
      <c r="E6" s="87" t="s">
        <v>585</v>
      </c>
      <c r="F6" s="87" t="s">
        <v>618</v>
      </c>
      <c r="G6" s="87" t="s">
        <v>653</v>
      </c>
      <c r="H6" s="87" t="s">
        <v>548</v>
      </c>
      <c r="I6" s="168" t="s">
        <v>623</v>
      </c>
      <c r="J6" s="148" t="s">
        <v>652</v>
      </c>
      <c r="K6" s="86"/>
      <c r="L6" s="86"/>
      <c r="M6" s="86"/>
      <c r="N6" s="86"/>
    </row>
    <row r="7" spans="1:14" ht="15.75">
      <c r="A7" s="84">
        <v>3</v>
      </c>
      <c r="B7" s="90" t="s">
        <v>65</v>
      </c>
      <c r="C7" s="88" t="s">
        <v>444</v>
      </c>
      <c r="D7" s="89"/>
      <c r="E7" s="89"/>
      <c r="F7" s="89"/>
      <c r="G7" s="89"/>
      <c r="H7" s="89"/>
      <c r="I7" s="170"/>
      <c r="J7" s="86"/>
      <c r="K7" s="86"/>
      <c r="L7" s="86"/>
      <c r="M7" s="86"/>
      <c r="N7" s="86"/>
    </row>
    <row r="8" spans="1:14" ht="15.75">
      <c r="A8" s="84">
        <v>4</v>
      </c>
      <c r="B8" s="90" t="s">
        <v>586</v>
      </c>
      <c r="C8" s="91" t="s">
        <v>445</v>
      </c>
      <c r="D8" s="151"/>
      <c r="E8" s="151"/>
      <c r="F8" s="151"/>
      <c r="G8" s="151"/>
      <c r="H8" s="151"/>
      <c r="I8" s="170"/>
      <c r="J8" s="86"/>
      <c r="K8" s="86"/>
      <c r="L8" s="86"/>
      <c r="M8" s="86"/>
      <c r="N8" s="86"/>
    </row>
    <row r="9" spans="1:14" ht="15.75">
      <c r="A9" s="84">
        <v>5</v>
      </c>
      <c r="B9" s="90"/>
      <c r="C9" s="91" t="s">
        <v>685</v>
      </c>
      <c r="D9" s="151">
        <v>5346</v>
      </c>
      <c r="E9" s="151">
        <v>5346</v>
      </c>
      <c r="F9" s="151">
        <v>5346</v>
      </c>
      <c r="G9" s="151">
        <v>5346</v>
      </c>
      <c r="H9" s="151">
        <v>0</v>
      </c>
      <c r="I9" s="170">
        <v>0</v>
      </c>
      <c r="J9" s="86">
        <v>1843</v>
      </c>
      <c r="K9" s="86">
        <v>5346</v>
      </c>
      <c r="L9" s="86"/>
      <c r="M9" s="86"/>
      <c r="N9" s="86"/>
    </row>
    <row r="10" spans="1:14" ht="15.75">
      <c r="A10" s="84">
        <v>6</v>
      </c>
      <c r="B10" s="90"/>
      <c r="C10" s="91" t="s">
        <v>486</v>
      </c>
      <c r="D10" s="151">
        <v>600</v>
      </c>
      <c r="E10" s="151">
        <v>600</v>
      </c>
      <c r="F10" s="151">
        <v>600</v>
      </c>
      <c r="G10" s="151">
        <v>600</v>
      </c>
      <c r="H10" s="151">
        <v>0</v>
      </c>
      <c r="I10" s="170">
        <v>0</v>
      </c>
      <c r="J10" s="86">
        <v>300</v>
      </c>
      <c r="K10" s="86">
        <v>600</v>
      </c>
      <c r="L10" s="86"/>
      <c r="M10" s="86">
        <v>300</v>
      </c>
      <c r="N10" s="86"/>
    </row>
    <row r="11" spans="1:14" ht="15.75">
      <c r="A11" s="84">
        <v>7</v>
      </c>
      <c r="B11" s="90"/>
      <c r="C11" s="95" t="s">
        <v>446</v>
      </c>
      <c r="D11" s="89">
        <f aca="true" t="shared" si="0" ref="D11:N11">SUM(D9:D10)</f>
        <v>5946</v>
      </c>
      <c r="E11" s="89">
        <f t="shared" si="0"/>
        <v>5946</v>
      </c>
      <c r="F11" s="89">
        <f t="shared" si="0"/>
        <v>5946</v>
      </c>
      <c r="G11" s="89">
        <f t="shared" si="0"/>
        <v>5946</v>
      </c>
      <c r="H11" s="89">
        <f t="shared" si="0"/>
        <v>0</v>
      </c>
      <c r="I11" s="171">
        <f t="shared" si="0"/>
        <v>0</v>
      </c>
      <c r="J11" s="171">
        <f t="shared" si="0"/>
        <v>2143</v>
      </c>
      <c r="K11" s="86">
        <f t="shared" si="0"/>
        <v>5946</v>
      </c>
      <c r="L11" s="86">
        <f t="shared" si="0"/>
        <v>0</v>
      </c>
      <c r="M11" s="86">
        <f t="shared" si="0"/>
        <v>300</v>
      </c>
      <c r="N11" s="86">
        <f t="shared" si="0"/>
        <v>0</v>
      </c>
    </row>
    <row r="12" spans="1:14" ht="15.75">
      <c r="A12" s="84">
        <v>8</v>
      </c>
      <c r="B12" s="90"/>
      <c r="C12" s="95"/>
      <c r="D12" s="89"/>
      <c r="E12" s="89"/>
      <c r="F12" s="89"/>
      <c r="G12" s="89"/>
      <c r="H12" s="89"/>
      <c r="I12" s="170"/>
      <c r="J12" s="86"/>
      <c r="K12" s="86"/>
      <c r="L12" s="86"/>
      <c r="M12" s="86"/>
      <c r="N12" s="86"/>
    </row>
    <row r="13" spans="1:14" ht="15.75">
      <c r="A13" s="84">
        <v>9</v>
      </c>
      <c r="B13" s="90" t="s">
        <v>587</v>
      </c>
      <c r="C13" s="95" t="s">
        <v>475</v>
      </c>
      <c r="D13" s="89"/>
      <c r="E13" s="89"/>
      <c r="F13" s="89"/>
      <c r="G13" s="89"/>
      <c r="H13" s="89"/>
      <c r="I13" s="170"/>
      <c r="J13" s="86"/>
      <c r="K13" s="86"/>
      <c r="L13" s="86"/>
      <c r="M13" s="86"/>
      <c r="N13" s="86"/>
    </row>
    <row r="14" spans="1:14" ht="15.75">
      <c r="A14" s="84">
        <v>10</v>
      </c>
      <c r="B14" s="21">
        <v>841112</v>
      </c>
      <c r="C14" s="21" t="s">
        <v>481</v>
      </c>
      <c r="D14" s="151">
        <v>2000</v>
      </c>
      <c r="E14" s="151">
        <v>2057</v>
      </c>
      <c r="F14" s="151">
        <v>2057</v>
      </c>
      <c r="G14" s="151">
        <v>2057</v>
      </c>
      <c r="H14" s="151">
        <v>2063</v>
      </c>
      <c r="I14" s="170">
        <v>2063</v>
      </c>
      <c r="J14" s="86">
        <v>2063</v>
      </c>
      <c r="K14" s="86">
        <v>2057</v>
      </c>
      <c r="L14" s="86">
        <v>540</v>
      </c>
      <c r="M14" s="86">
        <v>2063</v>
      </c>
      <c r="N14" s="86">
        <v>527</v>
      </c>
    </row>
    <row r="15" spans="1:14" ht="15.75">
      <c r="A15" s="84">
        <v>11</v>
      </c>
      <c r="B15" s="21">
        <v>841403</v>
      </c>
      <c r="C15" s="21" t="s">
        <v>482</v>
      </c>
      <c r="D15" s="151">
        <v>3500</v>
      </c>
      <c r="E15" s="151">
        <v>4500</v>
      </c>
      <c r="F15" s="151">
        <v>4500</v>
      </c>
      <c r="G15" s="151">
        <v>4500</v>
      </c>
      <c r="H15" s="151">
        <v>3900</v>
      </c>
      <c r="I15" s="170">
        <v>3900</v>
      </c>
      <c r="J15" s="86">
        <v>3900</v>
      </c>
      <c r="K15" s="86">
        <v>4500</v>
      </c>
      <c r="L15" s="86"/>
      <c r="M15" s="86">
        <v>3900</v>
      </c>
      <c r="N15" s="86">
        <v>0</v>
      </c>
    </row>
    <row r="16" spans="1:14" ht="15.75">
      <c r="A16" s="84">
        <v>12</v>
      </c>
      <c r="B16" s="21">
        <v>841403</v>
      </c>
      <c r="C16" s="21" t="s">
        <v>483</v>
      </c>
      <c r="D16" s="151">
        <v>6000</v>
      </c>
      <c r="E16" s="151">
        <v>6000</v>
      </c>
      <c r="F16" s="151">
        <v>6000</v>
      </c>
      <c r="G16" s="151">
        <v>6000</v>
      </c>
      <c r="H16" s="151">
        <v>0</v>
      </c>
      <c r="I16" s="170">
        <v>4110</v>
      </c>
      <c r="J16" s="86">
        <v>4110</v>
      </c>
      <c r="K16" s="86">
        <v>6000</v>
      </c>
      <c r="L16" s="86"/>
      <c r="M16" s="86">
        <v>4110</v>
      </c>
      <c r="N16" s="86">
        <v>19</v>
      </c>
    </row>
    <row r="17" spans="1:14" ht="15.75">
      <c r="A17" s="84">
        <v>13</v>
      </c>
      <c r="B17" s="21">
        <v>841403</v>
      </c>
      <c r="C17" s="21" t="s">
        <v>493</v>
      </c>
      <c r="D17" s="151">
        <v>394</v>
      </c>
      <c r="E17" s="151">
        <v>394</v>
      </c>
      <c r="F17" s="151">
        <v>394</v>
      </c>
      <c r="G17" s="151">
        <v>394</v>
      </c>
      <c r="H17" s="151">
        <v>0</v>
      </c>
      <c r="I17" s="170">
        <v>0</v>
      </c>
      <c r="J17" s="86">
        <v>0</v>
      </c>
      <c r="K17" s="86">
        <v>394</v>
      </c>
      <c r="L17" s="86">
        <v>107</v>
      </c>
      <c r="M17" s="86"/>
      <c r="N17" s="86"/>
    </row>
    <row r="18" spans="1:14" ht="15.75">
      <c r="A18" s="84">
        <v>14</v>
      </c>
      <c r="B18" s="21">
        <v>841403</v>
      </c>
      <c r="C18" s="21" t="s">
        <v>588</v>
      </c>
      <c r="D18" s="151"/>
      <c r="E18" s="151">
        <v>600</v>
      </c>
      <c r="F18" s="151">
        <v>600</v>
      </c>
      <c r="G18" s="151">
        <v>600</v>
      </c>
      <c r="H18" s="151">
        <v>0</v>
      </c>
      <c r="I18" s="170">
        <v>600</v>
      </c>
      <c r="J18" s="86">
        <v>600</v>
      </c>
      <c r="K18" s="86">
        <v>600</v>
      </c>
      <c r="L18" s="86">
        <v>162</v>
      </c>
      <c r="M18" s="86">
        <v>600</v>
      </c>
      <c r="N18" s="86">
        <v>162</v>
      </c>
    </row>
    <row r="19" spans="1:14" ht="15.75">
      <c r="A19" s="84">
        <v>15</v>
      </c>
      <c r="B19" s="21"/>
      <c r="C19" s="21" t="s">
        <v>628</v>
      </c>
      <c r="D19" s="151"/>
      <c r="E19" s="151"/>
      <c r="F19" s="151"/>
      <c r="G19" s="151">
        <v>400</v>
      </c>
      <c r="H19" s="151">
        <v>0</v>
      </c>
      <c r="I19" s="170">
        <v>400</v>
      </c>
      <c r="J19" s="86">
        <v>400</v>
      </c>
      <c r="K19" s="86">
        <v>400</v>
      </c>
      <c r="L19" s="86">
        <v>0</v>
      </c>
      <c r="M19" s="86">
        <v>400</v>
      </c>
      <c r="N19" s="86"/>
    </row>
    <row r="20" spans="1:14" ht="15.75">
      <c r="A20" s="84">
        <v>16</v>
      </c>
      <c r="B20" s="21">
        <v>841403</v>
      </c>
      <c r="C20" s="21" t="s">
        <v>484</v>
      </c>
      <c r="D20" s="151">
        <v>1000</v>
      </c>
      <c r="E20" s="151">
        <v>1000</v>
      </c>
      <c r="F20" s="151">
        <v>1000</v>
      </c>
      <c r="G20" s="151">
        <v>1000</v>
      </c>
      <c r="H20" s="151">
        <v>400</v>
      </c>
      <c r="I20" s="170">
        <v>795</v>
      </c>
      <c r="J20" s="86">
        <v>795</v>
      </c>
      <c r="K20" s="86">
        <v>1000</v>
      </c>
      <c r="L20" s="86"/>
      <c r="M20" s="86">
        <v>795</v>
      </c>
      <c r="N20" s="86">
        <v>0</v>
      </c>
    </row>
    <row r="21" spans="1:14" ht="15.75">
      <c r="A21" s="84">
        <v>17</v>
      </c>
      <c r="B21" s="21">
        <v>841403</v>
      </c>
      <c r="C21" s="21" t="s">
        <v>589</v>
      </c>
      <c r="D21" s="151">
        <v>2500</v>
      </c>
      <c r="E21" s="151">
        <v>2500</v>
      </c>
      <c r="F21" s="151">
        <v>2500</v>
      </c>
      <c r="G21" s="151">
        <v>2500</v>
      </c>
      <c r="H21" s="151">
        <v>0</v>
      </c>
      <c r="I21" s="170">
        <v>0</v>
      </c>
      <c r="J21" s="86">
        <v>0</v>
      </c>
      <c r="K21" s="86">
        <v>2500</v>
      </c>
      <c r="L21" s="86">
        <v>675</v>
      </c>
      <c r="M21" s="86">
        <v>0</v>
      </c>
      <c r="N21" s="86">
        <v>0</v>
      </c>
    </row>
    <row r="22" spans="1:14" ht="15.75">
      <c r="A22" s="84">
        <v>18</v>
      </c>
      <c r="B22" s="21"/>
      <c r="C22" s="21" t="s">
        <v>630</v>
      </c>
      <c r="D22" s="151"/>
      <c r="E22" s="151"/>
      <c r="F22" s="151">
        <v>2239</v>
      </c>
      <c r="G22" s="151">
        <v>2239</v>
      </c>
      <c r="H22" s="151"/>
      <c r="I22" s="170"/>
      <c r="J22" s="86">
        <v>0</v>
      </c>
      <c r="K22" s="86">
        <v>2239</v>
      </c>
      <c r="L22" s="86">
        <v>605</v>
      </c>
      <c r="M22" s="86"/>
      <c r="N22" s="86"/>
    </row>
    <row r="23" spans="1:14" ht="15.75">
      <c r="A23" s="84">
        <v>19</v>
      </c>
      <c r="B23" s="21"/>
      <c r="C23" s="21" t="s">
        <v>608</v>
      </c>
      <c r="D23" s="151"/>
      <c r="E23" s="151"/>
      <c r="F23" s="151">
        <v>7990</v>
      </c>
      <c r="G23" s="151">
        <v>7990</v>
      </c>
      <c r="H23" s="151">
        <v>0</v>
      </c>
      <c r="I23" s="170">
        <v>0</v>
      </c>
      <c r="J23" s="86">
        <v>7990</v>
      </c>
      <c r="K23" s="86">
        <v>7990</v>
      </c>
      <c r="L23" s="86">
        <v>2158</v>
      </c>
      <c r="M23" s="86">
        <v>7990</v>
      </c>
      <c r="N23" s="86">
        <v>2134</v>
      </c>
    </row>
    <row r="24" spans="1:14" ht="15.75">
      <c r="A24" s="84">
        <v>20</v>
      </c>
      <c r="B24" s="21">
        <v>682001</v>
      </c>
      <c r="C24" s="21" t="s">
        <v>485</v>
      </c>
      <c r="D24" s="151">
        <v>380</v>
      </c>
      <c r="E24" s="151">
        <v>380</v>
      </c>
      <c r="F24" s="151">
        <v>380</v>
      </c>
      <c r="G24" s="151">
        <v>380</v>
      </c>
      <c r="H24" s="151">
        <v>305</v>
      </c>
      <c r="I24" s="170">
        <v>305</v>
      </c>
      <c r="J24" s="86">
        <v>385</v>
      </c>
      <c r="K24" s="86">
        <v>380</v>
      </c>
      <c r="L24" s="86">
        <v>81</v>
      </c>
      <c r="M24" s="86">
        <v>385</v>
      </c>
      <c r="N24" s="86">
        <v>83</v>
      </c>
    </row>
    <row r="25" spans="1:14" ht="15.75">
      <c r="A25" s="84">
        <v>21</v>
      </c>
      <c r="B25" s="21">
        <v>682001</v>
      </c>
      <c r="C25" s="21" t="s">
        <v>590</v>
      </c>
      <c r="D25" s="151"/>
      <c r="E25" s="151">
        <v>195</v>
      </c>
      <c r="F25" s="151">
        <v>195</v>
      </c>
      <c r="G25" s="151">
        <v>195</v>
      </c>
      <c r="H25" s="151">
        <v>0</v>
      </c>
      <c r="I25" s="170">
        <v>153</v>
      </c>
      <c r="J25" s="86">
        <v>195</v>
      </c>
      <c r="K25" s="86">
        <v>195</v>
      </c>
      <c r="L25" s="86">
        <v>42</v>
      </c>
      <c r="M25" s="86">
        <v>195</v>
      </c>
      <c r="N25" s="86">
        <v>42</v>
      </c>
    </row>
    <row r="26" spans="1:14" ht="15.75">
      <c r="A26" s="84">
        <v>22</v>
      </c>
      <c r="B26" s="21"/>
      <c r="C26" s="95" t="s">
        <v>479</v>
      </c>
      <c r="D26" s="89">
        <f aca="true" t="shared" si="1" ref="D26:N26">SUM(D14:D25)</f>
        <v>15774</v>
      </c>
      <c r="E26" s="89">
        <f t="shared" si="1"/>
        <v>17626</v>
      </c>
      <c r="F26" s="89">
        <f t="shared" si="1"/>
        <v>27855</v>
      </c>
      <c r="G26" s="89">
        <f t="shared" si="1"/>
        <v>28255</v>
      </c>
      <c r="H26" s="89">
        <f t="shared" si="1"/>
        <v>6668</v>
      </c>
      <c r="I26" s="171">
        <f t="shared" si="1"/>
        <v>12326</v>
      </c>
      <c r="J26" s="171">
        <f t="shared" si="1"/>
        <v>20438</v>
      </c>
      <c r="K26" s="86">
        <f t="shared" si="1"/>
        <v>28255</v>
      </c>
      <c r="L26" s="86">
        <f t="shared" si="1"/>
        <v>4370</v>
      </c>
      <c r="M26" s="86">
        <f t="shared" si="1"/>
        <v>20438</v>
      </c>
      <c r="N26" s="86">
        <f t="shared" si="1"/>
        <v>2967</v>
      </c>
    </row>
    <row r="27" spans="1:14" ht="15.75">
      <c r="A27" s="84">
        <v>23</v>
      </c>
      <c r="B27" s="21"/>
      <c r="C27" s="95" t="s">
        <v>478</v>
      </c>
      <c r="D27" s="89">
        <f>540+107+675+81</f>
        <v>1403</v>
      </c>
      <c r="E27" s="89">
        <f>540+107+675+81+162+42</f>
        <v>1607</v>
      </c>
      <c r="F27" s="89">
        <v>4370</v>
      </c>
      <c r="G27" s="89">
        <v>4370</v>
      </c>
      <c r="H27" s="89">
        <v>610</v>
      </c>
      <c r="I27" s="170">
        <v>832</v>
      </c>
      <c r="J27" s="170">
        <v>2967</v>
      </c>
      <c r="K27" s="86"/>
      <c r="L27" s="86"/>
      <c r="M27" s="86"/>
      <c r="N27" s="86"/>
    </row>
    <row r="28" spans="1:14" ht="15.75">
      <c r="A28" s="84">
        <v>24</v>
      </c>
      <c r="B28" s="21"/>
      <c r="C28" s="95" t="s">
        <v>480</v>
      </c>
      <c r="D28" s="89">
        <f aca="true" t="shared" si="2" ref="D28:J28">SUM(D26:D27)</f>
        <v>17177</v>
      </c>
      <c r="E28" s="89">
        <f t="shared" si="2"/>
        <v>19233</v>
      </c>
      <c r="F28" s="89">
        <f t="shared" si="2"/>
        <v>32225</v>
      </c>
      <c r="G28" s="89">
        <f t="shared" si="2"/>
        <v>32625</v>
      </c>
      <c r="H28" s="89">
        <f t="shared" si="2"/>
        <v>7278</v>
      </c>
      <c r="I28" s="171">
        <f t="shared" si="2"/>
        <v>13158</v>
      </c>
      <c r="J28" s="171">
        <f t="shared" si="2"/>
        <v>23405</v>
      </c>
      <c r="K28" s="86"/>
      <c r="L28" s="86"/>
      <c r="M28" s="86"/>
      <c r="N28" s="86"/>
    </row>
    <row r="29" spans="1:14" ht="15.75">
      <c r="A29" s="84">
        <v>25</v>
      </c>
      <c r="B29" s="21"/>
      <c r="C29" s="95"/>
      <c r="D29" s="89"/>
      <c r="E29" s="89"/>
      <c r="F29" s="89"/>
      <c r="G29" s="89"/>
      <c r="H29" s="89"/>
      <c r="I29" s="170"/>
      <c r="J29" s="86"/>
      <c r="K29" s="86"/>
      <c r="L29" s="86"/>
      <c r="M29" s="86"/>
      <c r="N29" s="86"/>
    </row>
    <row r="30" spans="1:14" ht="15.75">
      <c r="A30" s="84">
        <v>26</v>
      </c>
      <c r="B30" s="21" t="s">
        <v>591</v>
      </c>
      <c r="C30" s="95" t="s">
        <v>487</v>
      </c>
      <c r="D30" s="89"/>
      <c r="E30" s="89"/>
      <c r="F30" s="89"/>
      <c r="G30" s="89"/>
      <c r="H30" s="89"/>
      <c r="I30" s="170"/>
      <c r="J30" s="86"/>
      <c r="K30" s="86"/>
      <c r="L30" s="86"/>
      <c r="M30" s="86"/>
      <c r="N30" s="86"/>
    </row>
    <row r="31" spans="1:14" ht="15.75">
      <c r="A31" s="84">
        <v>27</v>
      </c>
      <c r="B31" s="21">
        <v>841403</v>
      </c>
      <c r="C31" s="21" t="s">
        <v>592</v>
      </c>
      <c r="D31" s="151">
        <v>4967</v>
      </c>
      <c r="E31" s="151">
        <f>4967+420</f>
        <v>5387</v>
      </c>
      <c r="F31" s="151">
        <f>4967+420</f>
        <v>5387</v>
      </c>
      <c r="G31" s="151">
        <v>5387</v>
      </c>
      <c r="H31" s="151">
        <v>4968</v>
      </c>
      <c r="I31" s="170">
        <v>5388</v>
      </c>
      <c r="J31" s="86">
        <v>5388</v>
      </c>
      <c r="K31" s="86">
        <f>4967+420</f>
        <v>5387</v>
      </c>
      <c r="L31" s="86">
        <f>1309+114</f>
        <v>1423</v>
      </c>
      <c r="M31" s="86">
        <v>5388</v>
      </c>
      <c r="N31" s="86">
        <v>1427</v>
      </c>
    </row>
    <row r="32" spans="1:14" ht="15.75">
      <c r="A32" s="84">
        <v>28</v>
      </c>
      <c r="B32" s="21">
        <v>841403</v>
      </c>
      <c r="C32" s="21" t="s">
        <v>476</v>
      </c>
      <c r="D32" s="151">
        <v>10000</v>
      </c>
      <c r="E32" s="151">
        <v>10000</v>
      </c>
      <c r="F32" s="151">
        <v>10000</v>
      </c>
      <c r="G32" s="151">
        <v>10000</v>
      </c>
      <c r="H32" s="151">
        <v>0</v>
      </c>
      <c r="I32" s="170">
        <v>0</v>
      </c>
      <c r="J32" s="86"/>
      <c r="K32" s="86">
        <v>10000</v>
      </c>
      <c r="L32" s="86">
        <v>2700</v>
      </c>
      <c r="M32" s="86">
        <v>0</v>
      </c>
      <c r="N32" s="86">
        <v>0</v>
      </c>
    </row>
    <row r="33" spans="1:14" ht="15.75">
      <c r="A33" s="84">
        <v>29</v>
      </c>
      <c r="B33" s="21">
        <v>841403</v>
      </c>
      <c r="C33" s="21" t="s">
        <v>488</v>
      </c>
      <c r="D33" s="151">
        <v>2362</v>
      </c>
      <c r="E33" s="151">
        <v>2362</v>
      </c>
      <c r="F33" s="151">
        <v>2362</v>
      </c>
      <c r="G33" s="151">
        <v>2362</v>
      </c>
      <c r="H33" s="151">
        <v>0</v>
      </c>
      <c r="I33" s="170">
        <v>0</v>
      </c>
      <c r="J33" s="86"/>
      <c r="K33" s="86">
        <v>2362</v>
      </c>
      <c r="L33" s="86">
        <v>638</v>
      </c>
      <c r="M33" s="86">
        <v>0</v>
      </c>
      <c r="N33" s="86">
        <v>0</v>
      </c>
    </row>
    <row r="34" spans="1:14" ht="15.75">
      <c r="A34" s="84">
        <v>30</v>
      </c>
      <c r="B34" s="21">
        <v>841403</v>
      </c>
      <c r="C34" s="21" t="s">
        <v>593</v>
      </c>
      <c r="D34" s="151"/>
      <c r="E34" s="151">
        <v>198</v>
      </c>
      <c r="F34" s="151">
        <v>198</v>
      </c>
      <c r="G34" s="151">
        <v>198</v>
      </c>
      <c r="H34" s="151">
        <v>0</v>
      </c>
      <c r="I34" s="170">
        <v>0</v>
      </c>
      <c r="J34" s="86"/>
      <c r="K34" s="86">
        <v>198</v>
      </c>
      <c r="L34" s="86"/>
      <c r="M34" s="86">
        <v>0</v>
      </c>
      <c r="N34" s="86">
        <v>0</v>
      </c>
    </row>
    <row r="35" spans="1:14" ht="15.75">
      <c r="A35" s="84">
        <v>31</v>
      </c>
      <c r="B35" s="21">
        <v>841403</v>
      </c>
      <c r="C35" s="21" t="s">
        <v>629</v>
      </c>
      <c r="D35" s="151"/>
      <c r="E35" s="151">
        <v>36417</v>
      </c>
      <c r="F35" s="151">
        <v>36617</v>
      </c>
      <c r="G35" s="151">
        <v>36617</v>
      </c>
      <c r="H35" s="151"/>
      <c r="I35" s="170">
        <v>36617</v>
      </c>
      <c r="J35" s="86">
        <v>36617</v>
      </c>
      <c r="K35" s="86">
        <v>36617</v>
      </c>
      <c r="L35" s="86">
        <f>1193+8640+54</f>
        <v>9887</v>
      </c>
      <c r="M35" s="86">
        <v>36617</v>
      </c>
      <c r="N35" s="86">
        <v>9886</v>
      </c>
    </row>
    <row r="36" spans="1:14" ht="15.75">
      <c r="A36" s="84">
        <v>32</v>
      </c>
      <c r="B36" s="21">
        <v>841403</v>
      </c>
      <c r="C36" s="21" t="s">
        <v>594</v>
      </c>
      <c r="D36" s="151"/>
      <c r="E36" s="151">
        <v>330</v>
      </c>
      <c r="F36" s="151">
        <v>330</v>
      </c>
      <c r="G36" s="151">
        <v>330</v>
      </c>
      <c r="H36" s="151"/>
      <c r="I36" s="170">
        <v>330</v>
      </c>
      <c r="J36" s="86">
        <v>330</v>
      </c>
      <c r="K36" s="86">
        <v>330</v>
      </c>
      <c r="L36" s="86">
        <v>68</v>
      </c>
      <c r="M36" s="86">
        <v>330</v>
      </c>
      <c r="N36" s="86">
        <v>68</v>
      </c>
    </row>
    <row r="37" spans="1:14" ht="15.75">
      <c r="A37" s="84"/>
      <c r="B37" s="21"/>
      <c r="C37" s="21" t="s">
        <v>687</v>
      </c>
      <c r="D37" s="151"/>
      <c r="E37" s="151"/>
      <c r="F37" s="151"/>
      <c r="G37" s="151">
        <v>947</v>
      </c>
      <c r="H37" s="151"/>
      <c r="I37" s="170"/>
      <c r="J37" s="86">
        <v>947</v>
      </c>
      <c r="K37" s="86">
        <v>947</v>
      </c>
      <c r="L37" s="86">
        <v>243</v>
      </c>
      <c r="M37" s="86">
        <v>947</v>
      </c>
      <c r="N37" s="86">
        <v>243</v>
      </c>
    </row>
    <row r="38" spans="1:14" ht="15.75">
      <c r="A38" s="84">
        <v>33</v>
      </c>
      <c r="B38" s="21">
        <v>682001</v>
      </c>
      <c r="C38" s="21" t="s">
        <v>490</v>
      </c>
      <c r="D38" s="151">
        <v>324</v>
      </c>
      <c r="E38" s="151">
        <v>324</v>
      </c>
      <c r="F38" s="151">
        <v>324</v>
      </c>
      <c r="G38" s="151">
        <v>324</v>
      </c>
      <c r="H38" s="151">
        <v>324</v>
      </c>
      <c r="I38" s="170">
        <v>324</v>
      </c>
      <c r="J38" s="86">
        <v>324</v>
      </c>
      <c r="K38" s="86">
        <v>324</v>
      </c>
      <c r="L38" s="86">
        <v>88</v>
      </c>
      <c r="M38" s="86">
        <v>324</v>
      </c>
      <c r="N38" s="86">
        <v>88</v>
      </c>
    </row>
    <row r="39" spans="1:15" ht="15.75">
      <c r="A39" s="84">
        <v>34</v>
      </c>
      <c r="B39" s="21">
        <v>682001</v>
      </c>
      <c r="C39" s="21" t="s">
        <v>489</v>
      </c>
      <c r="D39" s="151">
        <v>360</v>
      </c>
      <c r="E39" s="151">
        <v>360</v>
      </c>
      <c r="F39" s="151">
        <v>860</v>
      </c>
      <c r="G39" s="151">
        <f>360+500</f>
        <v>860</v>
      </c>
      <c r="H39" s="151"/>
      <c r="I39" s="170"/>
      <c r="J39" s="86">
        <v>406</v>
      </c>
      <c r="K39" s="86">
        <v>860</v>
      </c>
      <c r="L39" s="86">
        <v>216</v>
      </c>
      <c r="M39" s="86">
        <v>406</v>
      </c>
      <c r="N39" s="86">
        <v>108</v>
      </c>
      <c r="O39" s="81">
        <v>407</v>
      </c>
    </row>
    <row r="40" spans="1:14" ht="15.75">
      <c r="A40" s="84">
        <v>35</v>
      </c>
      <c r="B40" s="21"/>
      <c r="C40" s="95" t="s">
        <v>491</v>
      </c>
      <c r="D40" s="89">
        <f aca="true" t="shared" si="3" ref="D40:J40">SUM(D31:D39)</f>
        <v>18013</v>
      </c>
      <c r="E40" s="89">
        <f t="shared" si="3"/>
        <v>55378</v>
      </c>
      <c r="F40" s="89">
        <f t="shared" si="3"/>
        <v>56078</v>
      </c>
      <c r="G40" s="89">
        <f t="shared" si="3"/>
        <v>57025</v>
      </c>
      <c r="H40" s="89">
        <f t="shared" si="3"/>
        <v>5292</v>
      </c>
      <c r="I40" s="171">
        <f t="shared" si="3"/>
        <v>42659</v>
      </c>
      <c r="J40" s="171">
        <f t="shared" si="3"/>
        <v>44012</v>
      </c>
      <c r="K40" s="86">
        <f>SUM(K31:K39)</f>
        <v>57025</v>
      </c>
      <c r="L40" s="86">
        <f>SUM(L31:L39)</f>
        <v>15263</v>
      </c>
      <c r="M40" s="86">
        <f>SUM(M31:M39)</f>
        <v>44012</v>
      </c>
      <c r="N40" s="86">
        <f>SUM(N31:N39)</f>
        <v>11820</v>
      </c>
    </row>
    <row r="41" spans="1:14" ht="15.75">
      <c r="A41" s="84">
        <v>36</v>
      </c>
      <c r="B41" s="21"/>
      <c r="C41" s="98" t="s">
        <v>447</v>
      </c>
      <c r="D41" s="89">
        <f>1309+2700+638+88+81</f>
        <v>4816</v>
      </c>
      <c r="E41" s="89">
        <f>1309+2700+638+88+81+68+114+9833</f>
        <v>14831</v>
      </c>
      <c r="F41" s="89">
        <v>15020</v>
      </c>
      <c r="G41" s="89">
        <v>15263</v>
      </c>
      <c r="H41" s="89">
        <v>1402</v>
      </c>
      <c r="I41" s="170">
        <v>11469</v>
      </c>
      <c r="J41" s="86">
        <v>11820</v>
      </c>
      <c r="K41" s="86"/>
      <c r="L41" s="86"/>
      <c r="M41" s="86"/>
      <c r="N41" s="86"/>
    </row>
    <row r="42" spans="1:14" ht="15.75">
      <c r="A42" s="84">
        <v>37</v>
      </c>
      <c r="B42" s="21"/>
      <c r="C42" s="98" t="s">
        <v>395</v>
      </c>
      <c r="D42" s="89">
        <f aca="true" t="shared" si="4" ref="D42:J42">SUM(D40:D41)</f>
        <v>22829</v>
      </c>
      <c r="E42" s="89">
        <f t="shared" si="4"/>
        <v>70209</v>
      </c>
      <c r="F42" s="89">
        <f t="shared" si="4"/>
        <v>71098</v>
      </c>
      <c r="G42" s="89">
        <f t="shared" si="4"/>
        <v>72288</v>
      </c>
      <c r="H42" s="89">
        <f t="shared" si="4"/>
        <v>6694</v>
      </c>
      <c r="I42" s="171">
        <f t="shared" si="4"/>
        <v>54128</v>
      </c>
      <c r="J42" s="171">
        <f t="shared" si="4"/>
        <v>55832</v>
      </c>
      <c r="K42" s="86"/>
      <c r="L42" s="86"/>
      <c r="M42" s="86"/>
      <c r="N42" s="86"/>
    </row>
    <row r="43" spans="1:14" ht="15.75">
      <c r="A43" s="84">
        <v>38</v>
      </c>
      <c r="B43" s="21"/>
      <c r="C43" s="91"/>
      <c r="D43" s="151"/>
      <c r="E43" s="151"/>
      <c r="F43" s="151"/>
      <c r="G43" s="151"/>
      <c r="H43" s="151"/>
      <c r="I43" s="170"/>
      <c r="J43" s="86"/>
      <c r="K43" s="86"/>
      <c r="L43" s="86"/>
      <c r="M43" s="86"/>
      <c r="N43" s="86"/>
    </row>
    <row r="44" spans="1:14" s="97" customFormat="1" ht="15.75">
      <c r="A44" s="84">
        <v>39</v>
      </c>
      <c r="B44" s="95"/>
      <c r="C44" s="98" t="s">
        <v>492</v>
      </c>
      <c r="D44" s="89">
        <f aca="true" t="shared" si="5" ref="D44:J44">D11+D28+D42</f>
        <v>45952</v>
      </c>
      <c r="E44" s="89">
        <f t="shared" si="5"/>
        <v>95388</v>
      </c>
      <c r="F44" s="89">
        <f t="shared" si="5"/>
        <v>109269</v>
      </c>
      <c r="G44" s="89">
        <f t="shared" si="5"/>
        <v>110859</v>
      </c>
      <c r="H44" s="89">
        <f t="shared" si="5"/>
        <v>13972</v>
      </c>
      <c r="I44" s="171">
        <f t="shared" si="5"/>
        <v>67286</v>
      </c>
      <c r="J44" s="171">
        <f t="shared" si="5"/>
        <v>81380</v>
      </c>
      <c r="K44" s="90"/>
      <c r="L44" s="90"/>
      <c r="M44" s="90"/>
      <c r="N44" s="90"/>
    </row>
    <row r="45" spans="1:14" s="97" customFormat="1" ht="15.75">
      <c r="A45" s="84">
        <v>40</v>
      </c>
      <c r="B45" s="95"/>
      <c r="C45" s="98"/>
      <c r="D45" s="89"/>
      <c r="E45" s="89"/>
      <c r="F45" s="89"/>
      <c r="G45" s="89"/>
      <c r="H45" s="89"/>
      <c r="I45" s="172"/>
      <c r="J45" s="95"/>
      <c r="K45" s="90"/>
      <c r="L45" s="90"/>
      <c r="M45" s="90"/>
      <c r="N45" s="90"/>
    </row>
    <row r="46" spans="1:14" s="97" customFormat="1" ht="22.5">
      <c r="A46" s="84">
        <v>41</v>
      </c>
      <c r="B46" s="139" t="s">
        <v>595</v>
      </c>
      <c r="C46" s="140" t="s">
        <v>166</v>
      </c>
      <c r="D46" s="89"/>
      <c r="E46" s="89"/>
      <c r="F46" s="89"/>
      <c r="G46" s="89"/>
      <c r="H46" s="89"/>
      <c r="I46" s="172"/>
      <c r="J46" s="95"/>
      <c r="K46" s="90"/>
      <c r="L46" s="90"/>
      <c r="M46" s="90"/>
      <c r="N46" s="90"/>
    </row>
    <row r="47" spans="1:14" s="97" customFormat="1" ht="15.75">
      <c r="A47" s="84">
        <v>42</v>
      </c>
      <c r="B47" s="95"/>
      <c r="C47" s="98" t="s">
        <v>596</v>
      </c>
      <c r="D47" s="89"/>
      <c r="E47" s="151">
        <v>1575</v>
      </c>
      <c r="F47" s="151">
        <v>1575</v>
      </c>
      <c r="G47" s="151">
        <v>1571</v>
      </c>
      <c r="H47" s="151"/>
      <c r="I47" s="170">
        <v>1399</v>
      </c>
      <c r="J47" s="90">
        <v>1571</v>
      </c>
      <c r="K47" s="90">
        <v>1571</v>
      </c>
      <c r="L47" s="90">
        <v>425</v>
      </c>
      <c r="M47" s="90">
        <v>1571</v>
      </c>
      <c r="N47" s="90">
        <v>423</v>
      </c>
    </row>
    <row r="48" spans="1:14" s="97" customFormat="1" ht="15.75">
      <c r="A48" s="84"/>
      <c r="B48" s="95"/>
      <c r="C48" s="98" t="s">
        <v>684</v>
      </c>
      <c r="D48" s="89"/>
      <c r="E48" s="151"/>
      <c r="F48" s="151"/>
      <c r="G48" s="151">
        <v>8</v>
      </c>
      <c r="H48" s="151"/>
      <c r="I48" s="170"/>
      <c r="J48" s="90">
        <v>8</v>
      </c>
      <c r="K48" s="90">
        <v>8</v>
      </c>
      <c r="L48" s="90">
        <v>2</v>
      </c>
      <c r="M48" s="90">
        <v>8</v>
      </c>
      <c r="N48" s="90">
        <v>2</v>
      </c>
    </row>
    <row r="49" spans="1:14" s="97" customFormat="1" ht="15.75">
      <c r="A49" s="84">
        <v>43</v>
      </c>
      <c r="B49" s="95"/>
      <c r="C49" s="98" t="s">
        <v>443</v>
      </c>
      <c r="D49" s="89"/>
      <c r="E49" s="151">
        <v>425</v>
      </c>
      <c r="F49" s="151">
        <v>425</v>
      </c>
      <c r="G49" s="151">
        <v>425</v>
      </c>
      <c r="H49" s="151"/>
      <c r="I49" s="170">
        <v>377</v>
      </c>
      <c r="J49" s="90">
        <v>425</v>
      </c>
      <c r="K49" s="90"/>
      <c r="L49" s="90"/>
      <c r="M49" s="90"/>
      <c r="N49" s="90"/>
    </row>
    <row r="50" spans="1:14" s="97" customFormat="1" ht="15.75">
      <c r="A50" s="84">
        <v>44</v>
      </c>
      <c r="B50" s="95"/>
      <c r="C50" s="98" t="s">
        <v>597</v>
      </c>
      <c r="D50" s="89"/>
      <c r="E50" s="89">
        <f aca="true" t="shared" si="6" ref="E50:N50">SUM(E47:E49)</f>
        <v>2000</v>
      </c>
      <c r="F50" s="89">
        <f t="shared" si="6"/>
        <v>2000</v>
      </c>
      <c r="G50" s="89">
        <f t="shared" si="6"/>
        <v>2004</v>
      </c>
      <c r="H50" s="89">
        <f t="shared" si="6"/>
        <v>0</v>
      </c>
      <c r="I50" s="171">
        <f t="shared" si="6"/>
        <v>1776</v>
      </c>
      <c r="J50" s="171">
        <f t="shared" si="6"/>
        <v>2004</v>
      </c>
      <c r="K50" s="89">
        <f t="shared" si="6"/>
        <v>1579</v>
      </c>
      <c r="L50" s="89">
        <f t="shared" si="6"/>
        <v>427</v>
      </c>
      <c r="M50" s="89">
        <f t="shared" si="6"/>
        <v>1579</v>
      </c>
      <c r="N50" s="89">
        <f t="shared" si="6"/>
        <v>425</v>
      </c>
    </row>
    <row r="51" spans="1:14" s="97" customFormat="1" ht="15.75">
      <c r="A51" s="84">
        <v>45</v>
      </c>
      <c r="B51" s="95"/>
      <c r="C51" s="98"/>
      <c r="D51" s="89"/>
      <c r="E51" s="89"/>
      <c r="F51" s="89"/>
      <c r="G51" s="89"/>
      <c r="H51" s="89"/>
      <c r="I51" s="172"/>
      <c r="J51" s="95"/>
      <c r="K51" s="90"/>
      <c r="L51" s="90"/>
      <c r="M51" s="90"/>
      <c r="N51" s="90"/>
    </row>
    <row r="52" spans="1:14" s="97" customFormat="1" ht="15.75">
      <c r="A52" s="84">
        <v>46</v>
      </c>
      <c r="B52" s="95"/>
      <c r="C52" s="98"/>
      <c r="D52" s="89"/>
      <c r="E52" s="89"/>
      <c r="F52" s="89"/>
      <c r="G52" s="89"/>
      <c r="H52" s="89"/>
      <c r="I52" s="172"/>
      <c r="J52" s="95"/>
      <c r="K52" s="90"/>
      <c r="L52" s="90"/>
      <c r="M52" s="90"/>
      <c r="N52" s="90"/>
    </row>
    <row r="53" spans="1:14" ht="15.75">
      <c r="A53" s="84">
        <v>47</v>
      </c>
      <c r="B53" s="90"/>
      <c r="C53" s="91"/>
      <c r="D53" s="151"/>
      <c r="E53" s="151"/>
      <c r="F53" s="151"/>
      <c r="G53" s="151"/>
      <c r="H53" s="151"/>
      <c r="I53" s="170"/>
      <c r="J53" s="86"/>
      <c r="K53" s="86"/>
      <c r="L53" s="86"/>
      <c r="M53" s="86"/>
      <c r="N53" s="86"/>
    </row>
    <row r="54" spans="1:14" ht="22.5">
      <c r="A54" s="84">
        <v>48</v>
      </c>
      <c r="B54" s="141" t="s">
        <v>598</v>
      </c>
      <c r="C54" s="142" t="s">
        <v>219</v>
      </c>
      <c r="D54" s="151"/>
      <c r="E54" s="151"/>
      <c r="F54" s="151"/>
      <c r="G54" s="151"/>
      <c r="H54" s="151"/>
      <c r="I54" s="170"/>
      <c r="J54" s="86"/>
      <c r="K54" s="86"/>
      <c r="L54" s="86"/>
      <c r="M54" s="86"/>
      <c r="N54" s="86"/>
    </row>
    <row r="55" spans="1:14" ht="15.75">
      <c r="A55" s="84">
        <v>49</v>
      </c>
      <c r="B55" s="90"/>
      <c r="C55" s="98"/>
      <c r="D55" s="151"/>
      <c r="E55" s="151"/>
      <c r="F55" s="151"/>
      <c r="G55" s="151"/>
      <c r="H55" s="151"/>
      <c r="I55" s="170"/>
      <c r="J55" s="86"/>
      <c r="K55" s="86"/>
      <c r="L55" s="86"/>
      <c r="M55" s="86"/>
      <c r="N55" s="86"/>
    </row>
    <row r="56" spans="1:14" ht="15.75">
      <c r="A56" s="84">
        <v>50</v>
      </c>
      <c r="B56" s="90" t="s">
        <v>599</v>
      </c>
      <c r="C56" s="98" t="s">
        <v>445</v>
      </c>
      <c r="D56" s="151"/>
      <c r="E56" s="151"/>
      <c r="F56" s="151"/>
      <c r="G56" s="151"/>
      <c r="H56" s="151"/>
      <c r="I56" s="170"/>
      <c r="J56" s="86"/>
      <c r="K56" s="86"/>
      <c r="L56" s="86"/>
      <c r="M56" s="86"/>
      <c r="N56" s="86"/>
    </row>
    <row r="57" spans="1:14" ht="15.75">
      <c r="A57" s="84">
        <v>51</v>
      </c>
      <c r="B57" s="90"/>
      <c r="C57" s="91" t="s">
        <v>600</v>
      </c>
      <c r="D57" s="151">
        <v>2500</v>
      </c>
      <c r="E57" s="151">
        <v>2500</v>
      </c>
      <c r="F57" s="151">
        <v>2500</v>
      </c>
      <c r="G57" s="151">
        <v>2500</v>
      </c>
      <c r="H57" s="151">
        <v>687</v>
      </c>
      <c r="I57" s="170">
        <v>687</v>
      </c>
      <c r="J57" s="86">
        <v>2070</v>
      </c>
      <c r="K57" s="86">
        <v>2500</v>
      </c>
      <c r="L57" s="86"/>
      <c r="M57" s="86"/>
      <c r="N57" s="86">
        <v>2070</v>
      </c>
    </row>
    <row r="58" spans="1:14" ht="15.75">
      <c r="A58" s="84">
        <v>52</v>
      </c>
      <c r="B58" s="90"/>
      <c r="C58" s="91"/>
      <c r="D58" s="151"/>
      <c r="E58" s="151"/>
      <c r="F58" s="151"/>
      <c r="G58" s="151"/>
      <c r="H58" s="151"/>
      <c r="I58" s="170"/>
      <c r="J58" s="86"/>
      <c r="K58" s="86"/>
      <c r="L58" s="86"/>
      <c r="M58" s="86"/>
      <c r="N58" s="86"/>
    </row>
    <row r="59" spans="1:14" ht="20.25">
      <c r="A59" s="84">
        <v>53</v>
      </c>
      <c r="B59" s="85" t="s">
        <v>601</v>
      </c>
      <c r="C59" s="216" t="s">
        <v>602</v>
      </c>
      <c r="D59" s="94"/>
      <c r="E59" s="94"/>
      <c r="F59" s="94"/>
      <c r="G59" s="94"/>
      <c r="H59" s="94"/>
      <c r="I59" s="170"/>
      <c r="J59" s="86"/>
      <c r="K59" s="90"/>
      <c r="L59" s="90"/>
      <c r="M59" s="86"/>
      <c r="N59" s="86"/>
    </row>
    <row r="60" spans="1:14" ht="15.75">
      <c r="A60" s="84">
        <v>54</v>
      </c>
      <c r="B60" s="85">
        <v>841154</v>
      </c>
      <c r="C60" s="95" t="s">
        <v>453</v>
      </c>
      <c r="D60" s="94"/>
      <c r="E60" s="94"/>
      <c r="F60" s="94"/>
      <c r="G60" s="94"/>
      <c r="H60" s="94"/>
      <c r="I60" s="170"/>
      <c r="J60" s="187"/>
      <c r="K60" s="90"/>
      <c r="L60" s="90"/>
      <c r="M60" s="86"/>
      <c r="N60" s="86"/>
    </row>
    <row r="61" spans="1:14" ht="15.75">
      <c r="A61" s="84">
        <v>55</v>
      </c>
      <c r="B61" s="85"/>
      <c r="C61" s="86" t="s">
        <v>603</v>
      </c>
      <c r="D61" s="94">
        <v>150</v>
      </c>
      <c r="E61" s="94">
        <v>150</v>
      </c>
      <c r="F61" s="94">
        <v>150</v>
      </c>
      <c r="G61" s="94">
        <v>165</v>
      </c>
      <c r="H61" s="94">
        <v>165</v>
      </c>
      <c r="I61" s="170">
        <v>165</v>
      </c>
      <c r="J61" s="173">
        <v>165</v>
      </c>
      <c r="K61" s="90">
        <v>165</v>
      </c>
      <c r="L61" s="90">
        <v>45</v>
      </c>
      <c r="M61" s="86">
        <f>42+20+103</f>
        <v>165</v>
      </c>
      <c r="N61" s="86">
        <v>44</v>
      </c>
    </row>
    <row r="62" spans="1:14" ht="15.75">
      <c r="A62" s="84">
        <v>56</v>
      </c>
      <c r="B62" s="85"/>
      <c r="C62" s="86" t="s">
        <v>440</v>
      </c>
      <c r="D62" s="94">
        <v>41</v>
      </c>
      <c r="E62" s="94">
        <v>41</v>
      </c>
      <c r="F62" s="94">
        <v>41</v>
      </c>
      <c r="G62" s="94">
        <v>45</v>
      </c>
      <c r="H62" s="94">
        <v>44</v>
      </c>
      <c r="I62" s="170">
        <v>44</v>
      </c>
      <c r="J62" s="173">
        <v>44</v>
      </c>
      <c r="K62" s="90"/>
      <c r="L62" s="90"/>
      <c r="M62" s="86"/>
      <c r="N62" s="86"/>
    </row>
    <row r="63" spans="1:15" ht="15.75">
      <c r="A63" s="84">
        <v>57</v>
      </c>
      <c r="B63" s="85"/>
      <c r="C63" s="95" t="s">
        <v>441</v>
      </c>
      <c r="D63" s="92">
        <f aca="true" t="shared" si="7" ref="D63:N63">SUM(D59:D62)</f>
        <v>191</v>
      </c>
      <c r="E63" s="92">
        <f t="shared" si="7"/>
        <v>191</v>
      </c>
      <c r="F63" s="92">
        <f t="shared" si="7"/>
        <v>191</v>
      </c>
      <c r="G63" s="92">
        <f t="shared" si="7"/>
        <v>210</v>
      </c>
      <c r="H63" s="92">
        <f t="shared" si="7"/>
        <v>209</v>
      </c>
      <c r="I63" s="153">
        <f t="shared" si="7"/>
        <v>209</v>
      </c>
      <c r="J63" s="153">
        <f t="shared" si="7"/>
        <v>209</v>
      </c>
      <c r="K63" s="153">
        <f t="shared" si="7"/>
        <v>165</v>
      </c>
      <c r="L63" s="153">
        <f t="shared" si="7"/>
        <v>45</v>
      </c>
      <c r="M63" s="153">
        <f t="shared" si="7"/>
        <v>165</v>
      </c>
      <c r="N63" s="153">
        <f t="shared" si="7"/>
        <v>44</v>
      </c>
      <c r="O63" s="81">
        <v>45</v>
      </c>
    </row>
    <row r="64" spans="1:14" ht="15.75">
      <c r="A64" s="84">
        <v>58</v>
      </c>
      <c r="B64" s="85"/>
      <c r="C64" s="95"/>
      <c r="D64" s="92"/>
      <c r="E64" s="92"/>
      <c r="F64" s="92"/>
      <c r="G64" s="92"/>
      <c r="H64" s="92"/>
      <c r="I64" s="170"/>
      <c r="J64" s="173"/>
      <c r="K64" s="90"/>
      <c r="L64" s="90"/>
      <c r="M64" s="86"/>
      <c r="N64" s="86"/>
    </row>
    <row r="65" spans="1:14" ht="15.75">
      <c r="A65" s="84">
        <v>59</v>
      </c>
      <c r="B65" s="85">
        <v>370000</v>
      </c>
      <c r="C65" s="95" t="s">
        <v>604</v>
      </c>
      <c r="D65" s="92"/>
      <c r="E65" s="92"/>
      <c r="F65" s="92"/>
      <c r="G65" s="92"/>
      <c r="H65" s="92"/>
      <c r="I65" s="170"/>
      <c r="J65" s="173"/>
      <c r="K65" s="90"/>
      <c r="L65" s="90"/>
      <c r="M65" s="86"/>
      <c r="N65" s="86"/>
    </row>
    <row r="66" spans="1:14" ht="15.75">
      <c r="A66" s="84">
        <v>60</v>
      </c>
      <c r="B66" s="85"/>
      <c r="C66" s="21" t="s">
        <v>605</v>
      </c>
      <c r="D66" s="92"/>
      <c r="E66" s="94">
        <v>416</v>
      </c>
      <c r="F66" s="94">
        <v>416</v>
      </c>
      <c r="G66" s="94">
        <v>416</v>
      </c>
      <c r="H66" s="94">
        <v>415</v>
      </c>
      <c r="I66" s="170">
        <v>415</v>
      </c>
      <c r="J66" s="173">
        <v>415</v>
      </c>
      <c r="K66" s="86">
        <v>416</v>
      </c>
      <c r="L66" s="86">
        <v>113</v>
      </c>
      <c r="M66" s="86">
        <v>415</v>
      </c>
      <c r="N66" s="86">
        <v>112</v>
      </c>
    </row>
    <row r="67" spans="1:14" ht="15.75">
      <c r="A67" s="84">
        <v>61</v>
      </c>
      <c r="B67" s="85"/>
      <c r="C67" s="21" t="s">
        <v>443</v>
      </c>
      <c r="D67" s="92"/>
      <c r="E67" s="94">
        <v>113</v>
      </c>
      <c r="F67" s="94">
        <v>113</v>
      </c>
      <c r="G67" s="94">
        <v>113</v>
      </c>
      <c r="H67" s="94">
        <v>112</v>
      </c>
      <c r="I67" s="170">
        <v>112</v>
      </c>
      <c r="J67" s="173">
        <v>112</v>
      </c>
      <c r="K67" s="86"/>
      <c r="L67" s="86"/>
      <c r="M67" s="86"/>
      <c r="N67" s="86"/>
    </row>
    <row r="68" spans="1:14" ht="15.75">
      <c r="A68" s="84">
        <v>62</v>
      </c>
      <c r="B68" s="85"/>
      <c r="C68" s="86" t="s">
        <v>455</v>
      </c>
      <c r="D68" s="94"/>
      <c r="E68" s="92">
        <f aca="true" t="shared" si="8" ref="E68:N68">SUM(E66:E67)</f>
        <v>529</v>
      </c>
      <c r="F68" s="92">
        <f t="shared" si="8"/>
        <v>529</v>
      </c>
      <c r="G68" s="92">
        <f t="shared" si="8"/>
        <v>529</v>
      </c>
      <c r="H68" s="92">
        <f t="shared" si="8"/>
        <v>527</v>
      </c>
      <c r="I68" s="153">
        <f t="shared" si="8"/>
        <v>527</v>
      </c>
      <c r="J68" s="153">
        <f t="shared" si="8"/>
        <v>527</v>
      </c>
      <c r="K68" s="153">
        <f t="shared" si="8"/>
        <v>416</v>
      </c>
      <c r="L68" s="153">
        <f t="shared" si="8"/>
        <v>113</v>
      </c>
      <c r="M68" s="153">
        <f t="shared" si="8"/>
        <v>415</v>
      </c>
      <c r="N68" s="153">
        <f t="shared" si="8"/>
        <v>112</v>
      </c>
    </row>
    <row r="69" spans="1:14" ht="15.75">
      <c r="A69" s="84">
        <v>63</v>
      </c>
      <c r="B69" s="85"/>
      <c r="C69" s="86"/>
      <c r="D69" s="94"/>
      <c r="E69" s="94"/>
      <c r="F69" s="94"/>
      <c r="G69" s="94"/>
      <c r="H69" s="94"/>
      <c r="I69" s="170"/>
      <c r="J69" s="86"/>
      <c r="K69" s="90"/>
      <c r="L69" s="90"/>
      <c r="M69" s="86"/>
      <c r="N69" s="86"/>
    </row>
    <row r="70" spans="1:14" ht="15.75">
      <c r="A70" s="84">
        <v>64</v>
      </c>
      <c r="B70" s="96">
        <v>841403</v>
      </c>
      <c r="C70" s="95" t="s">
        <v>174</v>
      </c>
      <c r="D70" s="184"/>
      <c r="E70" s="184"/>
      <c r="F70" s="184"/>
      <c r="G70" s="184"/>
      <c r="H70" s="184"/>
      <c r="I70" s="185"/>
      <c r="J70" s="21"/>
      <c r="K70" s="95"/>
      <c r="L70" s="95"/>
      <c r="M70" s="21"/>
      <c r="N70" s="21"/>
    </row>
    <row r="71" spans="1:14" ht="15.75">
      <c r="A71" s="84"/>
      <c r="B71" s="96"/>
      <c r="C71" s="95" t="s">
        <v>686</v>
      </c>
      <c r="D71" s="184"/>
      <c r="E71" s="184"/>
      <c r="F71" s="184"/>
      <c r="G71" s="184">
        <v>287</v>
      </c>
      <c r="H71" s="184"/>
      <c r="I71" s="185"/>
      <c r="J71" s="21">
        <v>236</v>
      </c>
      <c r="K71" s="95">
        <v>287</v>
      </c>
      <c r="L71" s="95">
        <v>52</v>
      </c>
      <c r="M71" s="21">
        <v>236</v>
      </c>
      <c r="N71" s="21">
        <v>63</v>
      </c>
    </row>
    <row r="72" spans="1:14" ht="15.75">
      <c r="A72" s="84">
        <v>65</v>
      </c>
      <c r="B72" s="96"/>
      <c r="C72" s="21" t="s">
        <v>494</v>
      </c>
      <c r="D72" s="40">
        <v>361</v>
      </c>
      <c r="E72" s="40">
        <v>361</v>
      </c>
      <c r="F72" s="40">
        <v>361</v>
      </c>
      <c r="G72" s="40">
        <v>361</v>
      </c>
      <c r="H72" s="40">
        <v>361</v>
      </c>
      <c r="I72" s="185">
        <v>361</v>
      </c>
      <c r="J72" s="21">
        <v>361</v>
      </c>
      <c r="K72" s="21">
        <v>361</v>
      </c>
      <c r="L72" s="21">
        <v>98</v>
      </c>
      <c r="M72" s="21">
        <v>361</v>
      </c>
      <c r="N72" s="21">
        <v>97</v>
      </c>
    </row>
    <row r="73" spans="1:15" ht="15.75">
      <c r="A73" s="84">
        <v>66</v>
      </c>
      <c r="B73" s="86" t="s">
        <v>442</v>
      </c>
      <c r="C73" s="21" t="s">
        <v>606</v>
      </c>
      <c r="D73" s="40">
        <v>500</v>
      </c>
      <c r="E73" s="40">
        <v>500</v>
      </c>
      <c r="F73" s="40">
        <v>500</v>
      </c>
      <c r="G73" s="40">
        <v>500</v>
      </c>
      <c r="H73" s="40">
        <v>17</v>
      </c>
      <c r="I73" s="185">
        <v>27</v>
      </c>
      <c r="J73" s="21">
        <v>27</v>
      </c>
      <c r="K73" s="21">
        <v>500</v>
      </c>
      <c r="L73" s="21">
        <v>135</v>
      </c>
      <c r="M73" s="21">
        <v>27</v>
      </c>
      <c r="N73" s="21">
        <v>7</v>
      </c>
      <c r="O73" s="81">
        <v>-2</v>
      </c>
    </row>
    <row r="74" spans="1:14" ht="15.75">
      <c r="A74" s="84">
        <v>67</v>
      </c>
      <c r="B74" s="86"/>
      <c r="C74" s="21" t="s">
        <v>607</v>
      </c>
      <c r="D74" s="40"/>
      <c r="E74" s="40">
        <v>694</v>
      </c>
      <c r="F74" s="40">
        <v>694</v>
      </c>
      <c r="G74" s="40">
        <v>694</v>
      </c>
      <c r="H74" s="40">
        <v>609</v>
      </c>
      <c r="I74" s="185">
        <v>609</v>
      </c>
      <c r="J74" s="21">
        <v>609</v>
      </c>
      <c r="K74" s="21">
        <v>694</v>
      </c>
      <c r="L74" s="21">
        <v>187</v>
      </c>
      <c r="M74" s="21">
        <v>609</v>
      </c>
      <c r="N74" s="21">
        <v>164</v>
      </c>
    </row>
    <row r="75" spans="1:14" ht="15.75">
      <c r="A75" s="84">
        <v>68</v>
      </c>
      <c r="B75" s="86"/>
      <c r="C75" s="21" t="s">
        <v>608</v>
      </c>
      <c r="D75" s="40"/>
      <c r="E75" s="40">
        <v>2158</v>
      </c>
      <c r="F75" s="40">
        <v>0</v>
      </c>
      <c r="G75" s="40"/>
      <c r="H75" s="40">
        <v>0</v>
      </c>
      <c r="I75" s="185">
        <v>0</v>
      </c>
      <c r="J75" s="21"/>
      <c r="K75" s="21"/>
      <c r="L75" s="21">
        <v>0</v>
      </c>
      <c r="M75" s="21"/>
      <c r="N75" s="21"/>
    </row>
    <row r="76" spans="1:14" ht="15.75">
      <c r="A76" s="84">
        <v>69</v>
      </c>
      <c r="B76" s="86"/>
      <c r="C76" s="21" t="s">
        <v>495</v>
      </c>
      <c r="D76" s="40">
        <v>2219</v>
      </c>
      <c r="E76" s="40">
        <f>2219+1000</f>
        <v>3219</v>
      </c>
      <c r="F76" s="40">
        <f>2219+1000</f>
        <v>3219</v>
      </c>
      <c r="G76" s="40">
        <v>3219</v>
      </c>
      <c r="H76" s="40">
        <v>1838</v>
      </c>
      <c r="I76" s="185">
        <v>2856</v>
      </c>
      <c r="J76" s="21">
        <v>2951</v>
      </c>
      <c r="K76" s="21">
        <f>1969+250+1000</f>
        <v>3219</v>
      </c>
      <c r="L76" s="21">
        <f>600+270</f>
        <v>870</v>
      </c>
      <c r="M76" s="21">
        <v>2951</v>
      </c>
      <c r="N76" s="21">
        <v>697</v>
      </c>
    </row>
    <row r="77" spans="1:14" ht="15.75">
      <c r="A77" s="84">
        <v>70</v>
      </c>
      <c r="B77" s="86"/>
      <c r="C77" s="21" t="s">
        <v>454</v>
      </c>
      <c r="D77" s="40">
        <f aca="true" t="shared" si="9" ref="D77:I77">SUM(D72:D76)</f>
        <v>3080</v>
      </c>
      <c r="E77" s="40">
        <f t="shared" si="9"/>
        <v>6932</v>
      </c>
      <c r="F77" s="40">
        <f t="shared" si="9"/>
        <v>4774</v>
      </c>
      <c r="G77" s="40">
        <f>SUM(G71:G76)</f>
        <v>5061</v>
      </c>
      <c r="H77" s="40">
        <f t="shared" si="9"/>
        <v>2825</v>
      </c>
      <c r="I77" s="213">
        <f t="shared" si="9"/>
        <v>3853</v>
      </c>
      <c r="J77" s="213">
        <f>SUM(J71:J76)</f>
        <v>4184</v>
      </c>
      <c r="K77" s="21">
        <f>SUM(K71:K76)</f>
        <v>5061</v>
      </c>
      <c r="L77" s="21">
        <f>SUM(L71:L76)</f>
        <v>1342</v>
      </c>
      <c r="M77" s="21">
        <f>SUM(M71:M76)</f>
        <v>4184</v>
      </c>
      <c r="N77" s="21">
        <f>SUM(N71:N76)</f>
        <v>1028</v>
      </c>
    </row>
    <row r="78" spans="1:14" ht="15.75">
      <c r="A78" s="84">
        <v>71</v>
      </c>
      <c r="B78" s="86"/>
      <c r="C78" s="95" t="s">
        <v>443</v>
      </c>
      <c r="D78" s="40">
        <f>98+135+600</f>
        <v>833</v>
      </c>
      <c r="E78" s="40">
        <f>98+135+600+187+270</f>
        <v>1290</v>
      </c>
      <c r="F78" s="40">
        <f>98+135+600+187+270</f>
        <v>1290</v>
      </c>
      <c r="G78" s="40">
        <v>1342</v>
      </c>
      <c r="H78" s="40">
        <v>762</v>
      </c>
      <c r="I78" s="213">
        <v>939</v>
      </c>
      <c r="J78" s="21">
        <v>1028</v>
      </c>
      <c r="K78" s="21"/>
      <c r="L78" s="21"/>
      <c r="M78" s="21"/>
      <c r="N78" s="21"/>
    </row>
    <row r="79" spans="1:14" ht="15.75">
      <c r="A79" s="84">
        <v>72</v>
      </c>
      <c r="B79" s="86"/>
      <c r="C79" s="95" t="s">
        <v>455</v>
      </c>
      <c r="D79" s="184">
        <f aca="true" t="shared" si="10" ref="D79:N79">SUM(D77:D78)</f>
        <v>3913</v>
      </c>
      <c r="E79" s="184">
        <f t="shared" si="10"/>
        <v>8222</v>
      </c>
      <c r="F79" s="184">
        <f t="shared" si="10"/>
        <v>6064</v>
      </c>
      <c r="G79" s="184">
        <f t="shared" si="10"/>
        <v>6403</v>
      </c>
      <c r="H79" s="184">
        <f t="shared" si="10"/>
        <v>3587</v>
      </c>
      <c r="I79" s="186">
        <f t="shared" si="10"/>
        <v>4792</v>
      </c>
      <c r="J79" s="186">
        <f t="shared" si="10"/>
        <v>5212</v>
      </c>
      <c r="K79" s="186">
        <f t="shared" si="10"/>
        <v>5061</v>
      </c>
      <c r="L79" s="186">
        <f t="shared" si="10"/>
        <v>1342</v>
      </c>
      <c r="M79" s="186">
        <f t="shared" si="10"/>
        <v>4184</v>
      </c>
      <c r="N79" s="186">
        <f t="shared" si="10"/>
        <v>1028</v>
      </c>
    </row>
    <row r="80" spans="1:14" ht="66.75" customHeight="1">
      <c r="A80" s="84">
        <v>73</v>
      </c>
      <c r="B80" s="86"/>
      <c r="C80" s="86"/>
      <c r="D80" s="87" t="s">
        <v>439</v>
      </c>
      <c r="E80" s="87" t="s">
        <v>585</v>
      </c>
      <c r="F80" s="87" t="s">
        <v>618</v>
      </c>
      <c r="G80" s="87" t="s">
        <v>653</v>
      </c>
      <c r="H80" s="87" t="s">
        <v>548</v>
      </c>
      <c r="I80" s="168" t="s">
        <v>623</v>
      </c>
      <c r="J80" s="148" t="s">
        <v>652</v>
      </c>
      <c r="K80" s="86"/>
      <c r="L80" s="86"/>
      <c r="M80" s="86"/>
      <c r="N80" s="86"/>
    </row>
    <row r="81" spans="1:14" ht="15.75">
      <c r="A81" s="84">
        <v>74</v>
      </c>
      <c r="B81" s="86">
        <v>910502</v>
      </c>
      <c r="C81" s="90" t="s">
        <v>609</v>
      </c>
      <c r="D81" s="92"/>
      <c r="E81" s="92"/>
      <c r="F81" s="92"/>
      <c r="G81" s="92"/>
      <c r="H81" s="92"/>
      <c r="I81" s="170"/>
      <c r="J81" s="86"/>
      <c r="K81" s="86"/>
      <c r="L81" s="86"/>
      <c r="M81" s="86"/>
      <c r="N81" s="86"/>
    </row>
    <row r="82" spans="1:14" ht="15.75">
      <c r="A82" s="84">
        <v>75</v>
      </c>
      <c r="B82" s="86">
        <v>9</v>
      </c>
      <c r="C82" s="86" t="s">
        <v>498</v>
      </c>
      <c r="D82" s="94">
        <v>197</v>
      </c>
      <c r="E82" s="94">
        <v>197</v>
      </c>
      <c r="F82" s="94">
        <v>197</v>
      </c>
      <c r="G82" s="94">
        <v>132</v>
      </c>
      <c r="H82" s="94">
        <v>132</v>
      </c>
      <c r="I82" s="170">
        <v>132</v>
      </c>
      <c r="J82" s="86">
        <v>132</v>
      </c>
      <c r="K82" s="86">
        <v>132</v>
      </c>
      <c r="L82" s="86">
        <v>36</v>
      </c>
      <c r="M82" s="86">
        <v>132</v>
      </c>
      <c r="N82" s="86">
        <v>36</v>
      </c>
    </row>
    <row r="83" spans="1:14" ht="15.75">
      <c r="A83" s="84">
        <v>76</v>
      </c>
      <c r="B83" s="86"/>
      <c r="C83" s="86" t="s">
        <v>610</v>
      </c>
      <c r="D83" s="94"/>
      <c r="E83" s="94"/>
      <c r="F83" s="94"/>
      <c r="G83" s="94">
        <v>65</v>
      </c>
      <c r="H83" s="94">
        <v>47</v>
      </c>
      <c r="I83" s="170">
        <v>47</v>
      </c>
      <c r="J83" s="86">
        <v>47</v>
      </c>
      <c r="K83" s="86">
        <v>65</v>
      </c>
      <c r="L83" s="86">
        <v>17</v>
      </c>
      <c r="M83" s="86">
        <v>47</v>
      </c>
      <c r="N83" s="86">
        <v>13</v>
      </c>
    </row>
    <row r="84" spans="1:14" ht="15.75">
      <c r="A84" s="84">
        <v>77</v>
      </c>
      <c r="B84" s="86"/>
      <c r="C84" s="86" t="s">
        <v>499</v>
      </c>
      <c r="D84" s="94">
        <v>53</v>
      </c>
      <c r="E84" s="94">
        <v>53</v>
      </c>
      <c r="F84" s="94">
        <v>53</v>
      </c>
      <c r="G84" s="94">
        <v>53</v>
      </c>
      <c r="H84" s="94">
        <v>49</v>
      </c>
      <c r="I84" s="170">
        <v>49</v>
      </c>
      <c r="J84" s="86">
        <v>49</v>
      </c>
      <c r="K84" s="86"/>
      <c r="L84" s="86"/>
      <c r="M84" s="86"/>
      <c r="N84" s="86"/>
    </row>
    <row r="85" spans="1:14" ht="15.75">
      <c r="A85" s="84">
        <v>78</v>
      </c>
      <c r="B85" s="86"/>
      <c r="C85" s="90" t="s">
        <v>477</v>
      </c>
      <c r="D85" s="92">
        <f aca="true" t="shared" si="11" ref="D85:N85">SUM(D82:D84)</f>
        <v>250</v>
      </c>
      <c r="E85" s="92">
        <f t="shared" si="11"/>
        <v>250</v>
      </c>
      <c r="F85" s="92">
        <f t="shared" si="11"/>
        <v>250</v>
      </c>
      <c r="G85" s="92">
        <f t="shared" si="11"/>
        <v>250</v>
      </c>
      <c r="H85" s="92">
        <f t="shared" si="11"/>
        <v>228</v>
      </c>
      <c r="I85" s="153">
        <f t="shared" si="11"/>
        <v>228</v>
      </c>
      <c r="J85" s="153">
        <f t="shared" si="11"/>
        <v>228</v>
      </c>
      <c r="K85" s="153">
        <f t="shared" si="11"/>
        <v>197</v>
      </c>
      <c r="L85" s="153">
        <f t="shared" si="11"/>
        <v>53</v>
      </c>
      <c r="M85" s="153">
        <f t="shared" si="11"/>
        <v>179</v>
      </c>
      <c r="N85" s="153">
        <f t="shared" si="11"/>
        <v>49</v>
      </c>
    </row>
    <row r="86" spans="1:14" ht="15.75">
      <c r="A86" s="84">
        <v>79</v>
      </c>
      <c r="B86" s="86"/>
      <c r="C86" s="90"/>
      <c r="D86" s="92"/>
      <c r="E86" s="92"/>
      <c r="F86" s="92"/>
      <c r="G86" s="92"/>
      <c r="H86" s="92"/>
      <c r="I86" s="170"/>
      <c r="J86" s="86"/>
      <c r="K86" s="86"/>
      <c r="L86" s="86"/>
      <c r="M86" s="86"/>
      <c r="N86" s="86"/>
    </row>
    <row r="87" spans="1:14" ht="15.75">
      <c r="A87" s="84">
        <v>80</v>
      </c>
      <c r="B87" s="86">
        <v>852011</v>
      </c>
      <c r="C87" s="90" t="s">
        <v>457</v>
      </c>
      <c r="D87" s="92"/>
      <c r="E87" s="92"/>
      <c r="F87" s="92"/>
      <c r="G87" s="92"/>
      <c r="H87" s="92"/>
      <c r="I87" s="170"/>
      <c r="J87" s="86"/>
      <c r="K87" s="86"/>
      <c r="L87" s="86"/>
      <c r="M87" s="86"/>
      <c r="N87" s="86"/>
    </row>
    <row r="88" spans="1:14" ht="15.75">
      <c r="A88" s="84">
        <v>81</v>
      </c>
      <c r="B88" s="86"/>
      <c r="C88" s="86" t="s">
        <v>611</v>
      </c>
      <c r="D88" s="92"/>
      <c r="E88" s="92"/>
      <c r="F88" s="92"/>
      <c r="G88" s="92">
        <v>21</v>
      </c>
      <c r="H88" s="94">
        <v>21</v>
      </c>
      <c r="I88" s="170">
        <v>21</v>
      </c>
      <c r="J88" s="86">
        <v>21</v>
      </c>
      <c r="K88" s="86">
        <v>21</v>
      </c>
      <c r="L88" s="86">
        <v>6</v>
      </c>
      <c r="M88" s="86">
        <v>21</v>
      </c>
      <c r="N88" s="86">
        <v>5</v>
      </c>
    </row>
    <row r="89" spans="1:14" ht="15.75">
      <c r="A89" s="84">
        <v>82</v>
      </c>
      <c r="B89" s="86"/>
      <c r="C89" s="86" t="s">
        <v>612</v>
      </c>
      <c r="D89" s="92"/>
      <c r="E89" s="92">
        <v>169</v>
      </c>
      <c r="F89" s="92">
        <v>169</v>
      </c>
      <c r="G89" s="92">
        <v>169</v>
      </c>
      <c r="H89" s="94">
        <v>169</v>
      </c>
      <c r="I89" s="170">
        <v>169</v>
      </c>
      <c r="J89" s="86">
        <v>169</v>
      </c>
      <c r="K89" s="86">
        <v>169</v>
      </c>
      <c r="L89" s="86">
        <v>46</v>
      </c>
      <c r="M89" s="86">
        <v>169</v>
      </c>
      <c r="N89" s="86">
        <v>46</v>
      </c>
    </row>
    <row r="90" spans="1:14" ht="15.75">
      <c r="A90" s="84">
        <v>83</v>
      </c>
      <c r="B90" s="86"/>
      <c r="C90" s="86" t="s">
        <v>443</v>
      </c>
      <c r="D90" s="92"/>
      <c r="E90" s="92">
        <v>46</v>
      </c>
      <c r="F90" s="92">
        <v>46</v>
      </c>
      <c r="G90" s="92">
        <v>52</v>
      </c>
      <c r="H90" s="94">
        <f>5+46</f>
        <v>51</v>
      </c>
      <c r="I90" s="170">
        <v>51</v>
      </c>
      <c r="J90" s="86">
        <v>51</v>
      </c>
      <c r="K90" s="86"/>
      <c r="L90" s="86"/>
      <c r="M90" s="86"/>
      <c r="N90" s="86"/>
    </row>
    <row r="91" spans="1:14" ht="15.75">
      <c r="A91" s="84">
        <v>84</v>
      </c>
      <c r="B91" s="86"/>
      <c r="C91" s="90" t="s">
        <v>4</v>
      </c>
      <c r="D91" s="92">
        <f aca="true" t="shared" si="12" ref="D91:N91">SUM(D88:D90)</f>
        <v>0</v>
      </c>
      <c r="E91" s="92">
        <f t="shared" si="12"/>
        <v>215</v>
      </c>
      <c r="F91" s="92">
        <f t="shared" si="12"/>
        <v>215</v>
      </c>
      <c r="G91" s="92">
        <f t="shared" si="12"/>
        <v>242</v>
      </c>
      <c r="H91" s="92">
        <f t="shared" si="12"/>
        <v>241</v>
      </c>
      <c r="I91" s="153">
        <f t="shared" si="12"/>
        <v>241</v>
      </c>
      <c r="J91" s="153">
        <f t="shared" si="12"/>
        <v>241</v>
      </c>
      <c r="K91" s="92">
        <f t="shared" si="12"/>
        <v>190</v>
      </c>
      <c r="L91" s="92">
        <f t="shared" si="12"/>
        <v>52</v>
      </c>
      <c r="M91" s="92">
        <f t="shared" si="12"/>
        <v>190</v>
      </c>
      <c r="N91" s="92">
        <f t="shared" si="12"/>
        <v>51</v>
      </c>
    </row>
    <row r="92" spans="1:14" ht="15.75">
      <c r="A92" s="84">
        <v>85</v>
      </c>
      <c r="B92" s="86"/>
      <c r="C92" s="90"/>
      <c r="D92" s="92"/>
      <c r="E92" s="92"/>
      <c r="F92" s="92"/>
      <c r="G92" s="92"/>
      <c r="H92" s="92"/>
      <c r="I92" s="170"/>
      <c r="J92" s="86"/>
      <c r="K92" s="86"/>
      <c r="L92" s="86"/>
      <c r="M92" s="86"/>
      <c r="N92" s="86"/>
    </row>
    <row r="93" spans="1:14" ht="15.75">
      <c r="A93" s="84">
        <v>86</v>
      </c>
      <c r="B93" s="86">
        <v>869041</v>
      </c>
      <c r="C93" s="90" t="s">
        <v>527</v>
      </c>
      <c r="D93" s="92"/>
      <c r="E93" s="92"/>
      <c r="F93" s="92"/>
      <c r="G93" s="92"/>
      <c r="H93" s="92"/>
      <c r="I93" s="170"/>
      <c r="J93" s="86"/>
      <c r="K93" s="86"/>
      <c r="L93" s="86"/>
      <c r="M93" s="86"/>
      <c r="N93" s="86"/>
    </row>
    <row r="94" spans="1:14" ht="15.75">
      <c r="A94" s="84">
        <v>87</v>
      </c>
      <c r="B94" s="86"/>
      <c r="C94" s="86" t="s">
        <v>526</v>
      </c>
      <c r="D94" s="94">
        <v>150</v>
      </c>
      <c r="E94" s="94">
        <v>150</v>
      </c>
      <c r="F94" s="94">
        <v>150</v>
      </c>
      <c r="G94" s="94">
        <v>150</v>
      </c>
      <c r="H94" s="94">
        <v>91</v>
      </c>
      <c r="I94" s="170">
        <v>91</v>
      </c>
      <c r="J94" s="86">
        <v>91</v>
      </c>
      <c r="K94" s="86">
        <v>150</v>
      </c>
      <c r="L94" s="86">
        <v>41</v>
      </c>
      <c r="M94" s="86">
        <v>91</v>
      </c>
      <c r="N94" s="86">
        <v>25</v>
      </c>
    </row>
    <row r="95" spans="1:14" ht="15.75">
      <c r="A95" s="84">
        <v>88</v>
      </c>
      <c r="B95" s="86"/>
      <c r="C95" s="86" t="s">
        <v>499</v>
      </c>
      <c r="D95" s="94">
        <v>41</v>
      </c>
      <c r="E95" s="94">
        <v>41</v>
      </c>
      <c r="F95" s="94">
        <v>41</v>
      </c>
      <c r="G95" s="94">
        <v>41</v>
      </c>
      <c r="H95" s="94">
        <v>25</v>
      </c>
      <c r="I95" s="170">
        <v>25</v>
      </c>
      <c r="J95" s="86">
        <v>25</v>
      </c>
      <c r="K95" s="86"/>
      <c r="L95" s="86"/>
      <c r="M95" s="86"/>
      <c r="N95" s="86"/>
    </row>
    <row r="96" spans="1:14" ht="15.75">
      <c r="A96" s="84">
        <v>89</v>
      </c>
      <c r="B96" s="86"/>
      <c r="C96" s="90" t="s">
        <v>477</v>
      </c>
      <c r="D96" s="92">
        <f aca="true" t="shared" si="13" ref="D96:N96">SUM(D94:D95)</f>
        <v>191</v>
      </c>
      <c r="E96" s="92">
        <f t="shared" si="13"/>
        <v>191</v>
      </c>
      <c r="F96" s="92">
        <f t="shared" si="13"/>
        <v>191</v>
      </c>
      <c r="G96" s="92">
        <f t="shared" si="13"/>
        <v>191</v>
      </c>
      <c r="H96" s="92">
        <f t="shared" si="13"/>
        <v>116</v>
      </c>
      <c r="I96" s="153">
        <f t="shared" si="13"/>
        <v>116</v>
      </c>
      <c r="J96" s="153">
        <f t="shared" si="13"/>
        <v>116</v>
      </c>
      <c r="K96" s="153">
        <f t="shared" si="13"/>
        <v>150</v>
      </c>
      <c r="L96" s="153">
        <f t="shared" si="13"/>
        <v>41</v>
      </c>
      <c r="M96" s="153">
        <f t="shared" si="13"/>
        <v>91</v>
      </c>
      <c r="N96" s="153">
        <f t="shared" si="13"/>
        <v>25</v>
      </c>
    </row>
    <row r="97" spans="1:14" ht="15.75">
      <c r="A97" s="84">
        <v>90</v>
      </c>
      <c r="B97" s="86"/>
      <c r="C97" s="90"/>
      <c r="D97" s="92"/>
      <c r="E97" s="92"/>
      <c r="F97" s="92"/>
      <c r="G97" s="92"/>
      <c r="H97" s="92"/>
      <c r="I97" s="170"/>
      <c r="J97" s="86"/>
      <c r="K97" s="86"/>
      <c r="L97" s="86"/>
      <c r="M97" s="86"/>
      <c r="N97" s="86"/>
    </row>
    <row r="98" spans="1:14" ht="15.75">
      <c r="A98" s="84">
        <v>91</v>
      </c>
      <c r="B98" s="86"/>
      <c r="C98" s="95" t="s">
        <v>501</v>
      </c>
      <c r="D98" s="184"/>
      <c r="E98" s="184"/>
      <c r="F98" s="184"/>
      <c r="G98" s="92"/>
      <c r="H98" s="184"/>
      <c r="I98" s="185"/>
      <c r="J98" s="21"/>
      <c r="K98" s="86"/>
      <c r="L98" s="86"/>
      <c r="M98" s="86"/>
      <c r="N98" s="86"/>
    </row>
    <row r="99" spans="1:15" ht="15.75">
      <c r="A99" s="84">
        <v>92</v>
      </c>
      <c r="B99" s="86">
        <v>562913</v>
      </c>
      <c r="C99" s="21" t="s">
        <v>500</v>
      </c>
      <c r="D99" s="40">
        <v>250</v>
      </c>
      <c r="E99" s="40">
        <v>250</v>
      </c>
      <c r="F99" s="40">
        <v>250</v>
      </c>
      <c r="G99" s="94">
        <v>250</v>
      </c>
      <c r="H99" s="184">
        <v>0</v>
      </c>
      <c r="I99" s="185">
        <v>95</v>
      </c>
      <c r="J99" s="21">
        <v>95</v>
      </c>
      <c r="K99" s="21">
        <v>250</v>
      </c>
      <c r="L99" s="21">
        <v>68</v>
      </c>
      <c r="M99" s="21">
        <v>95</v>
      </c>
      <c r="N99" s="21">
        <v>26</v>
      </c>
      <c r="O99" s="210"/>
    </row>
    <row r="100" spans="1:15" ht="15.75">
      <c r="A100" s="84"/>
      <c r="B100" s="86"/>
      <c r="C100" s="21" t="s">
        <v>660</v>
      </c>
      <c r="D100" s="40"/>
      <c r="E100" s="40"/>
      <c r="F100" s="40"/>
      <c r="G100" s="94"/>
      <c r="H100" s="184"/>
      <c r="I100" s="185"/>
      <c r="J100" s="21">
        <v>173</v>
      </c>
      <c r="K100" s="21"/>
      <c r="L100" s="21"/>
      <c r="M100" s="21">
        <v>173</v>
      </c>
      <c r="N100" s="21">
        <v>47</v>
      </c>
      <c r="O100" s="210"/>
    </row>
    <row r="101" spans="1:15" ht="15.75">
      <c r="A101" s="84"/>
      <c r="B101" s="86"/>
      <c r="C101" s="21" t="s">
        <v>661</v>
      </c>
      <c r="D101" s="40"/>
      <c r="E101" s="40"/>
      <c r="F101" s="40"/>
      <c r="G101" s="94"/>
      <c r="H101" s="184"/>
      <c r="I101" s="185"/>
      <c r="J101" s="21">
        <v>32</v>
      </c>
      <c r="K101" s="21"/>
      <c r="L101" s="21"/>
      <c r="M101" s="21">
        <v>32</v>
      </c>
      <c r="N101" s="21">
        <v>8</v>
      </c>
      <c r="O101" s="210"/>
    </row>
    <row r="102" spans="1:15" ht="15.75">
      <c r="A102" s="84">
        <v>93</v>
      </c>
      <c r="B102" s="86"/>
      <c r="C102" s="21" t="s">
        <v>499</v>
      </c>
      <c r="D102" s="40">
        <v>68</v>
      </c>
      <c r="E102" s="184">
        <v>68</v>
      </c>
      <c r="F102" s="184">
        <v>68</v>
      </c>
      <c r="G102" s="92">
        <v>68</v>
      </c>
      <c r="H102" s="184">
        <v>0</v>
      </c>
      <c r="I102" s="185">
        <v>26</v>
      </c>
      <c r="J102" s="21">
        <v>81</v>
      </c>
      <c r="K102" s="21"/>
      <c r="L102" s="21"/>
      <c r="M102" s="21"/>
      <c r="N102" s="21"/>
      <c r="O102" s="210"/>
    </row>
    <row r="103" spans="1:15" ht="15.75">
      <c r="A103" s="84">
        <v>94</v>
      </c>
      <c r="B103" s="86"/>
      <c r="C103" s="95" t="s">
        <v>477</v>
      </c>
      <c r="D103" s="184">
        <f aca="true" t="shared" si="14" ref="D103:N103">SUM(D99:D102)</f>
        <v>318</v>
      </c>
      <c r="E103" s="184">
        <f t="shared" si="14"/>
        <v>318</v>
      </c>
      <c r="F103" s="184">
        <f t="shared" si="14"/>
        <v>318</v>
      </c>
      <c r="G103" s="92">
        <f t="shared" si="14"/>
        <v>318</v>
      </c>
      <c r="H103" s="184">
        <f t="shared" si="14"/>
        <v>0</v>
      </c>
      <c r="I103" s="186">
        <f t="shared" si="14"/>
        <v>121</v>
      </c>
      <c r="J103" s="186">
        <f t="shared" si="14"/>
        <v>381</v>
      </c>
      <c r="K103" s="186">
        <f t="shared" si="14"/>
        <v>250</v>
      </c>
      <c r="L103" s="186">
        <f t="shared" si="14"/>
        <v>68</v>
      </c>
      <c r="M103" s="186">
        <f t="shared" si="14"/>
        <v>300</v>
      </c>
      <c r="N103" s="186">
        <f t="shared" si="14"/>
        <v>81</v>
      </c>
      <c r="O103" s="210">
        <v>300</v>
      </c>
    </row>
    <row r="104" spans="1:14" ht="15.75">
      <c r="A104" s="84">
        <v>95</v>
      </c>
      <c r="B104" s="86"/>
      <c r="C104" s="95"/>
      <c r="D104" s="92"/>
      <c r="E104" s="92"/>
      <c r="F104" s="92"/>
      <c r="G104" s="92"/>
      <c r="H104" s="92"/>
      <c r="I104" s="170"/>
      <c r="J104" s="86"/>
      <c r="K104" s="86"/>
      <c r="L104" s="86"/>
      <c r="M104" s="86"/>
      <c r="N104" s="86"/>
    </row>
    <row r="105" spans="1:14" ht="15.75">
      <c r="A105" s="84">
        <v>96</v>
      </c>
      <c r="B105" s="86">
        <v>813000</v>
      </c>
      <c r="C105" s="95" t="s">
        <v>502</v>
      </c>
      <c r="D105" s="92"/>
      <c r="E105" s="92"/>
      <c r="F105" s="92"/>
      <c r="G105" s="92"/>
      <c r="H105" s="92"/>
      <c r="I105" s="170"/>
      <c r="J105" s="86"/>
      <c r="K105" s="86"/>
      <c r="L105" s="86"/>
      <c r="M105" s="86"/>
      <c r="N105" s="86"/>
    </row>
    <row r="106" spans="1:14" ht="15.75">
      <c r="A106" s="84">
        <v>97</v>
      </c>
      <c r="B106" s="86"/>
      <c r="C106" s="21" t="s">
        <v>503</v>
      </c>
      <c r="D106" s="94">
        <v>1260</v>
      </c>
      <c r="E106" s="94">
        <v>1260</v>
      </c>
      <c r="F106" s="94">
        <v>1260</v>
      </c>
      <c r="G106" s="94">
        <v>1260</v>
      </c>
      <c r="H106" s="94">
        <v>1260</v>
      </c>
      <c r="I106" s="170">
        <v>1260</v>
      </c>
      <c r="J106" s="86">
        <v>1260</v>
      </c>
      <c r="K106" s="86">
        <f>1260</f>
        <v>1260</v>
      </c>
      <c r="L106" s="86">
        <v>340</v>
      </c>
      <c r="M106" s="86">
        <v>1260</v>
      </c>
      <c r="N106" s="86">
        <v>340</v>
      </c>
    </row>
    <row r="107" spans="1:14" ht="15.75">
      <c r="A107" s="84">
        <v>98</v>
      </c>
      <c r="B107" s="86"/>
      <c r="C107" s="21" t="s">
        <v>504</v>
      </c>
      <c r="D107" s="94">
        <v>1024</v>
      </c>
      <c r="E107" s="94">
        <v>1260</v>
      </c>
      <c r="F107" s="94">
        <v>1260</v>
      </c>
      <c r="G107" s="94">
        <v>1260</v>
      </c>
      <c r="H107" s="94">
        <v>1260</v>
      </c>
      <c r="I107" s="170">
        <v>1260</v>
      </c>
      <c r="J107" s="86">
        <v>1260</v>
      </c>
      <c r="K107" s="86">
        <f>1024+236</f>
        <v>1260</v>
      </c>
      <c r="L107" s="86">
        <f>276+64</f>
        <v>340</v>
      </c>
      <c r="M107" s="86">
        <v>1260</v>
      </c>
      <c r="N107" s="86">
        <v>340</v>
      </c>
    </row>
    <row r="108" spans="1:14" ht="18">
      <c r="A108" s="84">
        <v>99</v>
      </c>
      <c r="B108" s="86"/>
      <c r="C108" s="21" t="s">
        <v>505</v>
      </c>
      <c r="D108" s="94">
        <v>157</v>
      </c>
      <c r="E108" s="94">
        <v>157</v>
      </c>
      <c r="F108" s="94">
        <v>157</v>
      </c>
      <c r="G108" s="94">
        <v>157</v>
      </c>
      <c r="H108" s="94">
        <v>157</v>
      </c>
      <c r="I108" s="170">
        <v>157</v>
      </c>
      <c r="J108" s="211">
        <v>157</v>
      </c>
      <c r="K108" s="86">
        <v>157</v>
      </c>
      <c r="L108" s="86">
        <v>43</v>
      </c>
      <c r="M108" s="86">
        <v>157</v>
      </c>
      <c r="N108" s="86">
        <v>43</v>
      </c>
    </row>
    <row r="109" spans="1:14" ht="18">
      <c r="A109" s="84">
        <v>100</v>
      </c>
      <c r="B109" s="86"/>
      <c r="C109" s="21" t="s">
        <v>626</v>
      </c>
      <c r="D109" s="94"/>
      <c r="E109" s="94"/>
      <c r="F109" s="94"/>
      <c r="G109" s="94"/>
      <c r="H109" s="94">
        <v>150</v>
      </c>
      <c r="I109" s="170">
        <v>327</v>
      </c>
      <c r="J109" s="211">
        <v>327</v>
      </c>
      <c r="K109" s="86"/>
      <c r="L109" s="86"/>
      <c r="M109" s="86">
        <v>327</v>
      </c>
      <c r="N109" s="86">
        <v>88</v>
      </c>
    </row>
    <row r="110" spans="1:14" ht="18">
      <c r="A110" s="84">
        <v>101</v>
      </c>
      <c r="B110" s="86"/>
      <c r="C110" s="21" t="s">
        <v>613</v>
      </c>
      <c r="D110" s="94"/>
      <c r="E110" s="94">
        <v>860</v>
      </c>
      <c r="F110" s="94">
        <v>860</v>
      </c>
      <c r="G110" s="94">
        <v>860</v>
      </c>
      <c r="H110" s="94">
        <v>895</v>
      </c>
      <c r="I110" s="170">
        <v>895</v>
      </c>
      <c r="J110" s="211">
        <v>895</v>
      </c>
      <c r="K110" s="86">
        <v>860</v>
      </c>
      <c r="L110" s="86">
        <v>232</v>
      </c>
      <c r="M110" s="86">
        <f>36+859</f>
        <v>895</v>
      </c>
      <c r="N110" s="86">
        <f>10+232</f>
        <v>242</v>
      </c>
    </row>
    <row r="111" spans="1:14" ht="34.5" customHeight="1">
      <c r="A111" s="84">
        <v>102</v>
      </c>
      <c r="B111" s="86"/>
      <c r="C111" s="214" t="s">
        <v>627</v>
      </c>
      <c r="D111" s="94"/>
      <c r="E111" s="94"/>
      <c r="F111" s="94"/>
      <c r="G111" s="94"/>
      <c r="H111" s="94">
        <v>38</v>
      </c>
      <c r="I111" s="170">
        <v>129</v>
      </c>
      <c r="J111" s="211">
        <v>129</v>
      </c>
      <c r="K111" s="86"/>
      <c r="L111" s="86"/>
      <c r="M111" s="86">
        <v>129</v>
      </c>
      <c r="N111" s="86">
        <v>35</v>
      </c>
    </row>
    <row r="112" spans="1:14" ht="18">
      <c r="A112" s="84">
        <v>103</v>
      </c>
      <c r="B112" s="86"/>
      <c r="C112" s="21" t="s">
        <v>614</v>
      </c>
      <c r="D112" s="94"/>
      <c r="E112" s="94">
        <v>701</v>
      </c>
      <c r="F112" s="94">
        <v>701</v>
      </c>
      <c r="G112" s="94">
        <v>701</v>
      </c>
      <c r="H112" s="94">
        <v>543</v>
      </c>
      <c r="I112" s="170">
        <v>543</v>
      </c>
      <c r="J112" s="211">
        <v>543</v>
      </c>
      <c r="K112" s="86">
        <v>701</v>
      </c>
      <c r="L112" s="86">
        <v>189</v>
      </c>
      <c r="M112" s="86">
        <v>543</v>
      </c>
      <c r="N112" s="86">
        <v>147</v>
      </c>
    </row>
    <row r="113" spans="1:14" ht="15.75">
      <c r="A113" s="84">
        <v>104</v>
      </c>
      <c r="B113" s="86"/>
      <c r="C113" s="21" t="s">
        <v>479</v>
      </c>
      <c r="D113" s="94">
        <f aca="true" t="shared" si="15" ref="D113:N113">SUM(D106:D112)</f>
        <v>2441</v>
      </c>
      <c r="E113" s="94">
        <f t="shared" si="15"/>
        <v>4238</v>
      </c>
      <c r="F113" s="94">
        <f t="shared" si="15"/>
        <v>4238</v>
      </c>
      <c r="G113" s="94">
        <f t="shared" si="15"/>
        <v>4238</v>
      </c>
      <c r="H113" s="94">
        <f t="shared" si="15"/>
        <v>4303</v>
      </c>
      <c r="I113" s="215">
        <f t="shared" si="15"/>
        <v>4571</v>
      </c>
      <c r="J113" s="215">
        <f t="shared" si="15"/>
        <v>4571</v>
      </c>
      <c r="K113" s="94">
        <f t="shared" si="15"/>
        <v>4238</v>
      </c>
      <c r="L113" s="94">
        <f t="shared" si="15"/>
        <v>1144</v>
      </c>
      <c r="M113" s="94">
        <f t="shared" si="15"/>
        <v>4571</v>
      </c>
      <c r="N113" s="94">
        <f t="shared" si="15"/>
        <v>1235</v>
      </c>
    </row>
    <row r="114" spans="1:14" ht="18">
      <c r="A114" s="84">
        <v>105</v>
      </c>
      <c r="B114" s="86"/>
      <c r="C114" s="21" t="s">
        <v>499</v>
      </c>
      <c r="D114" s="94">
        <v>659</v>
      </c>
      <c r="E114" s="94">
        <f>659+189+64+232</f>
        <v>1144</v>
      </c>
      <c r="F114" s="94">
        <f>659+189+64+232</f>
        <v>1144</v>
      </c>
      <c r="G114" s="94">
        <v>1144</v>
      </c>
      <c r="H114" s="94">
        <v>1162</v>
      </c>
      <c r="I114" s="215">
        <v>1235</v>
      </c>
      <c r="J114" s="211">
        <v>1235</v>
      </c>
      <c r="K114" s="86"/>
      <c r="L114" s="86"/>
      <c r="M114" s="86"/>
      <c r="N114" s="86"/>
    </row>
    <row r="115" spans="1:15" ht="15.75">
      <c r="A115" s="84">
        <v>106</v>
      </c>
      <c r="B115" s="86"/>
      <c r="C115" s="95" t="s">
        <v>477</v>
      </c>
      <c r="D115" s="92">
        <f aca="true" t="shared" si="16" ref="D115:J115">SUM(D113:D114)</f>
        <v>3100</v>
      </c>
      <c r="E115" s="92">
        <f t="shared" si="16"/>
        <v>5382</v>
      </c>
      <c r="F115" s="92">
        <f t="shared" si="16"/>
        <v>5382</v>
      </c>
      <c r="G115" s="92">
        <f t="shared" si="16"/>
        <v>5382</v>
      </c>
      <c r="H115" s="92">
        <f t="shared" si="16"/>
        <v>5465</v>
      </c>
      <c r="I115" s="153">
        <f t="shared" si="16"/>
        <v>5806</v>
      </c>
      <c r="J115" s="153">
        <f t="shared" si="16"/>
        <v>5806</v>
      </c>
      <c r="K115" s="86"/>
      <c r="L115" s="86"/>
      <c r="M115" s="86"/>
      <c r="N115" s="86"/>
      <c r="O115" s="81">
        <v>5821</v>
      </c>
    </row>
    <row r="116" spans="1:14" ht="15.75">
      <c r="A116" s="84"/>
      <c r="B116" s="86"/>
      <c r="C116" s="95"/>
      <c r="D116" s="92"/>
      <c r="E116" s="92"/>
      <c r="F116" s="92"/>
      <c r="G116" s="92"/>
      <c r="H116" s="92"/>
      <c r="I116" s="153"/>
      <c r="J116" s="153"/>
      <c r="K116" s="86"/>
      <c r="L116" s="86"/>
      <c r="M116" s="86"/>
      <c r="N116" s="86"/>
    </row>
    <row r="117" spans="1:14" ht="15.75">
      <c r="A117" s="84"/>
      <c r="B117" s="86">
        <v>890442</v>
      </c>
      <c r="C117" s="95" t="s">
        <v>662</v>
      </c>
      <c r="D117" s="184"/>
      <c r="E117" s="184"/>
      <c r="F117" s="184"/>
      <c r="G117" s="92">
        <v>185</v>
      </c>
      <c r="H117" s="92"/>
      <c r="I117" s="153"/>
      <c r="J117" s="153">
        <v>184</v>
      </c>
      <c r="K117" s="86">
        <v>185</v>
      </c>
      <c r="L117" s="86">
        <v>50</v>
      </c>
      <c r="M117" s="86">
        <v>184</v>
      </c>
      <c r="N117" s="86">
        <v>49</v>
      </c>
    </row>
    <row r="118" spans="1:14" ht="15.75">
      <c r="A118" s="84"/>
      <c r="B118" s="86"/>
      <c r="C118" s="95" t="s">
        <v>663</v>
      </c>
      <c r="D118" s="184"/>
      <c r="E118" s="184"/>
      <c r="F118" s="184"/>
      <c r="G118" s="92">
        <v>50</v>
      </c>
      <c r="H118" s="92"/>
      <c r="I118" s="153"/>
      <c r="J118" s="153">
        <v>49</v>
      </c>
      <c r="K118" s="86"/>
      <c r="L118" s="86"/>
      <c r="M118" s="86"/>
      <c r="N118" s="86"/>
    </row>
    <row r="119" spans="1:14" ht="15.75">
      <c r="A119" s="84"/>
      <c r="B119" s="86"/>
      <c r="C119" s="95" t="s">
        <v>664</v>
      </c>
      <c r="D119" s="184"/>
      <c r="E119" s="184"/>
      <c r="F119" s="184"/>
      <c r="G119" s="92">
        <f aca="true" t="shared" si="17" ref="G119:N119">SUM(G117:G118)</f>
        <v>235</v>
      </c>
      <c r="H119" s="92">
        <f t="shared" si="17"/>
        <v>0</v>
      </c>
      <c r="I119" s="92">
        <f t="shared" si="17"/>
        <v>0</v>
      </c>
      <c r="J119" s="92">
        <f t="shared" si="17"/>
        <v>233</v>
      </c>
      <c r="K119" s="86">
        <f t="shared" si="17"/>
        <v>185</v>
      </c>
      <c r="L119" s="86">
        <f t="shared" si="17"/>
        <v>50</v>
      </c>
      <c r="M119" s="86">
        <f t="shared" si="17"/>
        <v>184</v>
      </c>
      <c r="N119" s="86">
        <f t="shared" si="17"/>
        <v>49</v>
      </c>
    </row>
    <row r="120" spans="1:14" ht="15.75">
      <c r="A120" s="84"/>
      <c r="B120" s="86"/>
      <c r="C120" s="95"/>
      <c r="D120" s="184"/>
      <c r="E120" s="184"/>
      <c r="F120" s="184"/>
      <c r="G120" s="92"/>
      <c r="H120" s="184"/>
      <c r="I120" s="186"/>
      <c r="J120" s="184"/>
      <c r="K120" s="86"/>
      <c r="L120" s="86"/>
      <c r="M120" s="86"/>
      <c r="N120" s="86"/>
    </row>
    <row r="121" spans="1:14" ht="15.75">
      <c r="A121" s="84"/>
      <c r="B121" s="86">
        <v>889928</v>
      </c>
      <c r="C121" s="95" t="s">
        <v>665</v>
      </c>
      <c r="D121" s="184"/>
      <c r="E121" s="184"/>
      <c r="F121" s="184"/>
      <c r="G121" s="92">
        <v>0</v>
      </c>
      <c r="H121" s="184"/>
      <c r="I121" s="186"/>
      <c r="J121" s="184">
        <v>20</v>
      </c>
      <c r="K121" s="86"/>
      <c r="L121" s="86"/>
      <c r="M121" s="86">
        <v>20</v>
      </c>
      <c r="N121" s="86">
        <v>5</v>
      </c>
    </row>
    <row r="122" spans="1:14" ht="15.75">
      <c r="A122" s="84"/>
      <c r="B122" s="86"/>
      <c r="C122" s="95" t="s">
        <v>499</v>
      </c>
      <c r="D122" s="184"/>
      <c r="E122" s="184"/>
      <c r="F122" s="184"/>
      <c r="G122" s="92">
        <v>0</v>
      </c>
      <c r="H122" s="184"/>
      <c r="I122" s="186"/>
      <c r="J122" s="184">
        <v>5</v>
      </c>
      <c r="K122" s="86"/>
      <c r="L122" s="86"/>
      <c r="M122" s="86"/>
      <c r="N122" s="86"/>
    </row>
    <row r="123" spans="1:14" ht="15.75">
      <c r="A123" s="84"/>
      <c r="B123" s="86"/>
      <c r="C123" s="95" t="s">
        <v>477</v>
      </c>
      <c r="D123" s="184"/>
      <c r="E123" s="184"/>
      <c r="F123" s="184"/>
      <c r="G123" s="92">
        <f>SUM(G121:G122)</f>
        <v>0</v>
      </c>
      <c r="H123" s="184"/>
      <c r="I123" s="186"/>
      <c r="J123" s="184">
        <f>SUM(J121:J122)</f>
        <v>25</v>
      </c>
      <c r="K123" s="86"/>
      <c r="L123" s="86"/>
      <c r="M123" s="86"/>
      <c r="N123" s="86"/>
    </row>
    <row r="124" spans="1:14" ht="18">
      <c r="A124" s="84">
        <v>107</v>
      </c>
      <c r="B124" s="86"/>
      <c r="C124" s="95"/>
      <c r="D124" s="92"/>
      <c r="E124" s="92"/>
      <c r="F124" s="92"/>
      <c r="G124" s="92"/>
      <c r="H124" s="92"/>
      <c r="I124" s="170"/>
      <c r="J124" s="211"/>
      <c r="K124" s="86"/>
      <c r="L124" s="86"/>
      <c r="M124" s="86"/>
      <c r="N124" s="86"/>
    </row>
    <row r="125" spans="1:14" ht="15.75">
      <c r="A125" s="84">
        <v>108</v>
      </c>
      <c r="B125" s="86"/>
      <c r="C125" s="95" t="s">
        <v>507</v>
      </c>
      <c r="D125" s="153">
        <f>D113+D99+D82+D77+D61+D94+D89+D88+D83+D66</f>
        <v>6268</v>
      </c>
      <c r="E125" s="153">
        <f>E113+E99+E82+E77+E61+E94+E89+E88+E83+E66</f>
        <v>12502</v>
      </c>
      <c r="F125" s="153">
        <f>F113+F99+F82+F77+F61+F94+F89+F88+F83+F66</f>
        <v>10344</v>
      </c>
      <c r="G125" s="153">
        <f>G113+G99+G82+G77+G61+G94+G89+G88+G83+G66+G117+G121</f>
        <v>10852</v>
      </c>
      <c r="H125" s="92">
        <f>H113+H99+H82+H77+H61+H94+H89+H88+H83+H66</f>
        <v>8168</v>
      </c>
      <c r="I125" s="153">
        <f>I113+I99+I82+I77+I61+I94+I89+I88+I83+I66</f>
        <v>9559</v>
      </c>
      <c r="J125" s="153">
        <v>10299</v>
      </c>
      <c r="K125" s="86"/>
      <c r="L125" s="86"/>
      <c r="M125" s="86"/>
      <c r="N125" s="86"/>
    </row>
    <row r="126" spans="1:14" ht="15.75">
      <c r="A126" s="84">
        <v>109</v>
      </c>
      <c r="B126" s="86"/>
      <c r="C126" s="95" t="s">
        <v>512</v>
      </c>
      <c r="D126" s="153">
        <f>D114+D102+D84+D78+D62+D95+D90+D67</f>
        <v>1695</v>
      </c>
      <c r="E126" s="153">
        <f>E114+E102+E84+E78+E62+E95+E90+E67</f>
        <v>2796</v>
      </c>
      <c r="F126" s="153">
        <f>F114+F102+F84+F78+F62+F95+F90+F67</f>
        <v>2796</v>
      </c>
      <c r="G126" s="153">
        <f>G114+G102+G84+G78+G62+G95+G90+G67+G118+G122</f>
        <v>2908</v>
      </c>
      <c r="H126" s="92">
        <f>H114+H102+H84+H78+H62+H95+H90+H67</f>
        <v>2205</v>
      </c>
      <c r="I126" s="153">
        <f>I114+I102+I84+I78+I62+I95+I90+I67</f>
        <v>2481</v>
      </c>
      <c r="J126" s="153">
        <v>2679</v>
      </c>
      <c r="K126" s="86"/>
      <c r="L126" s="86"/>
      <c r="M126" s="86"/>
      <c r="N126" s="86"/>
    </row>
    <row r="127" spans="1:14" ht="15.75">
      <c r="A127" s="84">
        <v>110</v>
      </c>
      <c r="B127" s="86"/>
      <c r="C127" s="95" t="s">
        <v>506</v>
      </c>
      <c r="D127" s="92">
        <f aca="true" t="shared" si="18" ref="D127:J127">SUM(D125:D126)</f>
        <v>7963</v>
      </c>
      <c r="E127" s="92">
        <f t="shared" si="18"/>
        <v>15298</v>
      </c>
      <c r="F127" s="92">
        <f t="shared" si="18"/>
        <v>13140</v>
      </c>
      <c r="G127" s="92">
        <f t="shared" si="18"/>
        <v>13760</v>
      </c>
      <c r="H127" s="92">
        <f t="shared" si="18"/>
        <v>10373</v>
      </c>
      <c r="I127" s="153">
        <f t="shared" si="18"/>
        <v>12040</v>
      </c>
      <c r="J127" s="153">
        <f t="shared" si="18"/>
        <v>12978</v>
      </c>
      <c r="K127" s="94">
        <f>K113+K103+K96+K91+K85+K79+K68+K63+K117+K121</f>
        <v>10852</v>
      </c>
      <c r="L127" s="94">
        <f>L113+L103+L96+L91+L85+L79+L68+L63+L117+L121</f>
        <v>2908</v>
      </c>
      <c r="M127" s="94">
        <f>M113+M103+M96+M91+M85+M79+M68+M63+M117+M121</f>
        <v>10299</v>
      </c>
      <c r="N127" s="94">
        <f>N113+N103+N96+N91+N85+N79+N68+N63+N117+N121</f>
        <v>2679</v>
      </c>
    </row>
    <row r="128" spans="1:14" ht="18">
      <c r="A128" s="84">
        <v>111</v>
      </c>
      <c r="B128" s="86"/>
      <c r="C128" s="95"/>
      <c r="D128" s="92"/>
      <c r="E128" s="92"/>
      <c r="F128" s="92"/>
      <c r="G128" s="92"/>
      <c r="H128" s="92"/>
      <c r="I128" s="170"/>
      <c r="J128" s="211"/>
      <c r="K128" s="86"/>
      <c r="L128" s="86"/>
      <c r="M128" s="86"/>
      <c r="N128" s="86"/>
    </row>
    <row r="129" spans="1:14" ht="20.25">
      <c r="A129" s="84">
        <v>112</v>
      </c>
      <c r="B129" s="86" t="s">
        <v>615</v>
      </c>
      <c r="C129" s="216" t="s">
        <v>508</v>
      </c>
      <c r="D129" s="92"/>
      <c r="E129" s="92"/>
      <c r="F129" s="92"/>
      <c r="G129" s="92"/>
      <c r="H129" s="92"/>
      <c r="I129" s="170"/>
      <c r="J129" s="211"/>
      <c r="K129" s="86"/>
      <c r="L129" s="86"/>
      <c r="M129" s="86"/>
      <c r="N129" s="86"/>
    </row>
    <row r="130" spans="1:14" ht="15.75">
      <c r="A130" s="84">
        <v>113</v>
      </c>
      <c r="B130" s="99"/>
      <c r="C130" s="98"/>
      <c r="D130" s="89"/>
      <c r="E130" s="89"/>
      <c r="F130" s="89"/>
      <c r="G130" s="89"/>
      <c r="H130" s="89"/>
      <c r="I130" s="170"/>
      <c r="J130" s="86"/>
      <c r="K130" s="86"/>
      <c r="L130" s="86"/>
      <c r="M130" s="86"/>
      <c r="N130" s="86"/>
    </row>
    <row r="131" spans="1:15" s="97" customFormat="1" ht="15.75">
      <c r="A131" s="84">
        <v>114</v>
      </c>
      <c r="B131" s="100"/>
      <c r="C131" s="88" t="s">
        <v>448</v>
      </c>
      <c r="D131" s="89"/>
      <c r="E131" s="89"/>
      <c r="F131" s="89"/>
      <c r="G131" s="89"/>
      <c r="H131" s="89"/>
      <c r="I131" s="172"/>
      <c r="J131" s="90"/>
      <c r="K131" s="86"/>
      <c r="L131" s="86"/>
      <c r="M131" s="90"/>
      <c r="N131" s="90"/>
      <c r="O131" s="93"/>
    </row>
    <row r="132" spans="1:14" s="93" customFormat="1" ht="15.75">
      <c r="A132" s="84">
        <v>115</v>
      </c>
      <c r="B132" s="86"/>
      <c r="C132" s="86" t="s">
        <v>449</v>
      </c>
      <c r="D132" s="94">
        <v>1575</v>
      </c>
      <c r="E132" s="94">
        <v>1575</v>
      </c>
      <c r="F132" s="94">
        <v>1575</v>
      </c>
      <c r="G132" s="94">
        <v>550</v>
      </c>
      <c r="H132" s="94">
        <v>90</v>
      </c>
      <c r="I132" s="170">
        <v>90</v>
      </c>
      <c r="J132" s="90">
        <v>90</v>
      </c>
      <c r="K132" s="86">
        <v>550</v>
      </c>
      <c r="L132" s="86">
        <v>147</v>
      </c>
      <c r="M132" s="86">
        <v>90</v>
      </c>
      <c r="N132" s="86">
        <v>24</v>
      </c>
    </row>
    <row r="133" spans="1:14" s="93" customFormat="1" ht="15.75">
      <c r="A133" s="84">
        <v>116</v>
      </c>
      <c r="B133" s="86"/>
      <c r="C133" s="86" t="s">
        <v>496</v>
      </c>
      <c r="D133" s="94">
        <v>32000</v>
      </c>
      <c r="E133" s="94">
        <v>0</v>
      </c>
      <c r="F133" s="94">
        <v>0</v>
      </c>
      <c r="G133" s="94"/>
      <c r="H133" s="94"/>
      <c r="I133" s="172"/>
      <c r="J133" s="90"/>
      <c r="K133" s="86">
        <v>0</v>
      </c>
      <c r="L133" s="86">
        <v>0</v>
      </c>
      <c r="M133" s="86"/>
      <c r="N133" s="86"/>
    </row>
    <row r="134" spans="1:14" s="93" customFormat="1" ht="15.75">
      <c r="A134" s="84">
        <v>117</v>
      </c>
      <c r="B134" s="86"/>
      <c r="C134" s="86" t="s">
        <v>497</v>
      </c>
      <c r="D134" s="94">
        <v>2000</v>
      </c>
      <c r="E134" s="94">
        <v>2000</v>
      </c>
      <c r="F134" s="94">
        <v>2000</v>
      </c>
      <c r="G134" s="94">
        <v>2000</v>
      </c>
      <c r="H134" s="94"/>
      <c r="I134" s="172"/>
      <c r="J134" s="90"/>
      <c r="K134" s="86">
        <v>2000</v>
      </c>
      <c r="L134" s="86">
        <v>540</v>
      </c>
      <c r="M134" s="86"/>
      <c r="N134" s="86"/>
    </row>
    <row r="135" spans="1:14" s="93" customFormat="1" ht="15.75">
      <c r="A135" s="84">
        <v>118</v>
      </c>
      <c r="B135" s="86"/>
      <c r="C135" s="86" t="s">
        <v>450</v>
      </c>
      <c r="D135" s="94">
        <f aca="true" t="shared" si="19" ref="D135:J135">SUM(D132:D134)</f>
        <v>35575</v>
      </c>
      <c r="E135" s="94">
        <f t="shared" si="19"/>
        <v>3575</v>
      </c>
      <c r="F135" s="94">
        <f t="shared" si="19"/>
        <v>3575</v>
      </c>
      <c r="G135" s="94">
        <f t="shared" si="19"/>
        <v>2550</v>
      </c>
      <c r="H135" s="94">
        <f t="shared" si="19"/>
        <v>90</v>
      </c>
      <c r="I135" s="215">
        <f t="shared" si="19"/>
        <v>90</v>
      </c>
      <c r="J135" s="215">
        <f t="shared" si="19"/>
        <v>90</v>
      </c>
      <c r="K135" s="86"/>
      <c r="L135" s="86"/>
      <c r="M135" s="86"/>
      <c r="N135" s="86"/>
    </row>
    <row r="136" spans="1:14" s="93" customFormat="1" ht="15.75">
      <c r="A136" s="84">
        <v>119</v>
      </c>
      <c r="B136" s="86"/>
      <c r="C136" s="86" t="s">
        <v>443</v>
      </c>
      <c r="D136" s="94">
        <f>425+8640+540</f>
        <v>9605</v>
      </c>
      <c r="E136" s="94">
        <f>425+8640+540-8640</f>
        <v>965</v>
      </c>
      <c r="F136" s="94">
        <f>425+8640+540-8640</f>
        <v>965</v>
      </c>
      <c r="G136" s="94">
        <v>687</v>
      </c>
      <c r="H136" s="94">
        <v>24</v>
      </c>
      <c r="I136" s="172">
        <v>24</v>
      </c>
      <c r="J136" s="90">
        <v>24</v>
      </c>
      <c r="K136" s="86"/>
      <c r="L136" s="86"/>
      <c r="M136" s="90"/>
      <c r="N136" s="90"/>
    </row>
    <row r="137" spans="1:14" s="93" customFormat="1" ht="15.75">
      <c r="A137" s="84">
        <v>120</v>
      </c>
      <c r="B137" s="86"/>
      <c r="C137" s="90" t="s">
        <v>395</v>
      </c>
      <c r="D137" s="92">
        <f aca="true" t="shared" si="20" ref="D137:J137">SUM(D135:D136)</f>
        <v>45180</v>
      </c>
      <c r="E137" s="92">
        <f t="shared" si="20"/>
        <v>4540</v>
      </c>
      <c r="F137" s="92">
        <f t="shared" si="20"/>
        <v>4540</v>
      </c>
      <c r="G137" s="92">
        <f t="shared" si="20"/>
        <v>3237</v>
      </c>
      <c r="H137" s="92">
        <f t="shared" si="20"/>
        <v>114</v>
      </c>
      <c r="I137" s="153">
        <f t="shared" si="20"/>
        <v>114</v>
      </c>
      <c r="J137" s="153">
        <f t="shared" si="20"/>
        <v>114</v>
      </c>
      <c r="K137" s="86">
        <f>SUM(K132:K136)</f>
        <v>2550</v>
      </c>
      <c r="L137" s="86">
        <f>SUM(L132:L136)</f>
        <v>687</v>
      </c>
      <c r="M137" s="86">
        <f>SUM(M132:M136)</f>
        <v>90</v>
      </c>
      <c r="N137" s="86">
        <f>SUM(N132:N136)</f>
        <v>24</v>
      </c>
    </row>
    <row r="138" spans="1:14" s="97" customFormat="1" ht="15.75">
      <c r="A138" s="84">
        <v>121</v>
      </c>
      <c r="B138" s="86"/>
      <c r="C138" s="86"/>
      <c r="D138" s="94"/>
      <c r="E138" s="94"/>
      <c r="F138" s="94"/>
      <c r="G138" s="94"/>
      <c r="H138" s="94"/>
      <c r="I138" s="172"/>
      <c r="J138" s="95"/>
      <c r="K138" s="86"/>
      <c r="L138" s="86"/>
      <c r="M138" s="90"/>
      <c r="N138" s="90"/>
    </row>
    <row r="139" spans="1:14" s="97" customFormat="1" ht="15.75">
      <c r="A139" s="84">
        <v>122</v>
      </c>
      <c r="B139" s="101"/>
      <c r="C139" s="97" t="s">
        <v>452</v>
      </c>
      <c r="D139" s="184"/>
      <c r="E139" s="184"/>
      <c r="F139" s="184"/>
      <c r="G139" s="184"/>
      <c r="H139" s="184"/>
      <c r="I139" s="212"/>
      <c r="J139" s="95"/>
      <c r="K139" s="86"/>
      <c r="L139" s="86"/>
      <c r="M139" s="90"/>
      <c r="N139" s="90"/>
    </row>
    <row r="140" spans="1:14" ht="15.75">
      <c r="A140" s="84">
        <v>123</v>
      </c>
      <c r="B140" s="86"/>
      <c r="C140" s="21" t="s">
        <v>451</v>
      </c>
      <c r="D140" s="40">
        <v>394</v>
      </c>
      <c r="E140" s="40">
        <v>394</v>
      </c>
      <c r="F140" s="40">
        <v>394</v>
      </c>
      <c r="G140" s="40">
        <v>394</v>
      </c>
      <c r="H140" s="40">
        <v>498</v>
      </c>
      <c r="I140" s="185">
        <v>548</v>
      </c>
      <c r="J140" s="86">
        <v>819</v>
      </c>
      <c r="K140" s="90">
        <v>394</v>
      </c>
      <c r="L140" s="86">
        <v>106</v>
      </c>
      <c r="M140" s="86">
        <v>819</v>
      </c>
      <c r="N140" s="86">
        <v>206</v>
      </c>
    </row>
    <row r="141" spans="1:14" ht="15.75">
      <c r="A141" s="84">
        <v>124</v>
      </c>
      <c r="B141" s="86"/>
      <c r="C141" s="21" t="s">
        <v>443</v>
      </c>
      <c r="D141" s="40">
        <v>106</v>
      </c>
      <c r="E141" s="40">
        <v>106</v>
      </c>
      <c r="F141" s="40">
        <v>106</v>
      </c>
      <c r="G141" s="40">
        <v>106</v>
      </c>
      <c r="H141" s="40">
        <v>135</v>
      </c>
      <c r="I141" s="185">
        <v>146</v>
      </c>
      <c r="J141" s="86">
        <v>206</v>
      </c>
      <c r="K141" s="86"/>
      <c r="L141" s="86"/>
      <c r="M141" s="86"/>
      <c r="N141" s="86"/>
    </row>
    <row r="142" spans="1:14" ht="15.75">
      <c r="A142" s="84">
        <v>125</v>
      </c>
      <c r="B142" s="86"/>
      <c r="C142" s="95" t="s">
        <v>395</v>
      </c>
      <c r="D142" s="184">
        <f aca="true" t="shared" si="21" ref="D142:N142">SUM(D140:D141)</f>
        <v>500</v>
      </c>
      <c r="E142" s="184">
        <f t="shared" si="21"/>
        <v>500</v>
      </c>
      <c r="F142" s="184">
        <f t="shared" si="21"/>
        <v>500</v>
      </c>
      <c r="G142" s="184">
        <f t="shared" si="21"/>
        <v>500</v>
      </c>
      <c r="H142" s="184">
        <f t="shared" si="21"/>
        <v>633</v>
      </c>
      <c r="I142" s="186">
        <f t="shared" si="21"/>
        <v>694</v>
      </c>
      <c r="J142" s="153">
        <f t="shared" si="21"/>
        <v>1025</v>
      </c>
      <c r="K142" s="86">
        <f t="shared" si="21"/>
        <v>394</v>
      </c>
      <c r="L142" s="86">
        <f t="shared" si="21"/>
        <v>106</v>
      </c>
      <c r="M142" s="86">
        <f t="shared" si="21"/>
        <v>819</v>
      </c>
      <c r="N142" s="86">
        <f t="shared" si="21"/>
        <v>206</v>
      </c>
    </row>
    <row r="143" spans="1:14" ht="15.75">
      <c r="A143" s="84">
        <v>126</v>
      </c>
      <c r="B143" s="86"/>
      <c r="C143" s="95"/>
      <c r="D143" s="40"/>
      <c r="E143" s="40"/>
      <c r="F143" s="40"/>
      <c r="G143" s="40"/>
      <c r="H143" s="40"/>
      <c r="I143" s="185"/>
      <c r="J143" s="86"/>
      <c r="K143" s="86"/>
      <c r="L143" s="86"/>
      <c r="M143" s="86"/>
      <c r="N143" s="86"/>
    </row>
    <row r="144" spans="1:14" ht="15.75">
      <c r="A144" s="84">
        <v>127</v>
      </c>
      <c r="B144" s="90"/>
      <c r="C144" s="90" t="s">
        <v>509</v>
      </c>
      <c r="D144" s="92">
        <f aca="true" t="shared" si="22" ref="D144:J145">D135+D140</f>
        <v>35969</v>
      </c>
      <c r="E144" s="92">
        <f t="shared" si="22"/>
        <v>3969</v>
      </c>
      <c r="F144" s="92">
        <f>F135+F140</f>
        <v>3969</v>
      </c>
      <c r="G144" s="92">
        <f>G135+G140</f>
        <v>2944</v>
      </c>
      <c r="H144" s="92">
        <f t="shared" si="22"/>
        <v>588</v>
      </c>
      <c r="I144" s="153">
        <f t="shared" si="22"/>
        <v>638</v>
      </c>
      <c r="J144" s="153">
        <f t="shared" si="22"/>
        <v>909</v>
      </c>
      <c r="K144" s="86"/>
      <c r="L144" s="86"/>
      <c r="M144" s="86"/>
      <c r="N144" s="86"/>
    </row>
    <row r="145" spans="1:14" ht="15.75">
      <c r="A145" s="84">
        <v>128</v>
      </c>
      <c r="B145" s="86"/>
      <c r="C145" s="90" t="s">
        <v>447</v>
      </c>
      <c r="D145" s="92">
        <f t="shared" si="22"/>
        <v>9711</v>
      </c>
      <c r="E145" s="92">
        <f t="shared" si="22"/>
        <v>1071</v>
      </c>
      <c r="F145" s="92">
        <f>F136+F141</f>
        <v>1071</v>
      </c>
      <c r="G145" s="92">
        <f>G136+G141</f>
        <v>793</v>
      </c>
      <c r="H145" s="92">
        <f t="shared" si="22"/>
        <v>159</v>
      </c>
      <c r="I145" s="153">
        <f t="shared" si="22"/>
        <v>170</v>
      </c>
      <c r="J145" s="153">
        <f t="shared" si="22"/>
        <v>230</v>
      </c>
      <c r="K145" s="90"/>
      <c r="L145" s="90"/>
      <c r="M145" s="86"/>
      <c r="N145" s="86"/>
    </row>
    <row r="146" spans="1:14" ht="15.75">
      <c r="A146" s="84">
        <v>129</v>
      </c>
      <c r="B146" s="86"/>
      <c r="C146" s="95" t="s">
        <v>510</v>
      </c>
      <c r="D146" s="92">
        <f aca="true" t="shared" si="23" ref="D146:J146">SUM(D144:D145)</f>
        <v>45680</v>
      </c>
      <c r="E146" s="92">
        <f t="shared" si="23"/>
        <v>5040</v>
      </c>
      <c r="F146" s="92">
        <f t="shared" si="23"/>
        <v>5040</v>
      </c>
      <c r="G146" s="92">
        <f t="shared" si="23"/>
        <v>3737</v>
      </c>
      <c r="H146" s="92">
        <f t="shared" si="23"/>
        <v>747</v>
      </c>
      <c r="I146" s="153">
        <f t="shared" si="23"/>
        <v>808</v>
      </c>
      <c r="J146" s="153">
        <f t="shared" si="23"/>
        <v>1139</v>
      </c>
      <c r="K146" s="86">
        <f>K142+K137</f>
        <v>2944</v>
      </c>
      <c r="L146" s="86">
        <f>L142+L137</f>
        <v>793</v>
      </c>
      <c r="M146" s="86">
        <f>M142+M137</f>
        <v>909</v>
      </c>
      <c r="N146" s="86">
        <f>N142+N137</f>
        <v>230</v>
      </c>
    </row>
    <row r="147" spans="1:14" ht="15.75">
      <c r="A147" s="84">
        <v>130</v>
      </c>
      <c r="B147" s="86"/>
      <c r="C147" s="86"/>
      <c r="D147" s="94"/>
      <c r="E147" s="94"/>
      <c r="F147" s="94"/>
      <c r="G147" s="94"/>
      <c r="H147" s="94"/>
      <c r="I147" s="170"/>
      <c r="J147" s="86"/>
      <c r="K147" s="86"/>
      <c r="L147" s="86"/>
      <c r="M147" s="86"/>
      <c r="N147" s="86"/>
    </row>
    <row r="148" spans="1:14" ht="15.75">
      <c r="A148" s="84">
        <v>131</v>
      </c>
      <c r="B148" s="86"/>
      <c r="C148" s="95" t="s">
        <v>511</v>
      </c>
      <c r="D148" s="92">
        <f aca="true" t="shared" si="24" ref="D148:N148">D146+D127+D57</f>
        <v>56143</v>
      </c>
      <c r="E148" s="92">
        <f t="shared" si="24"/>
        <v>22838</v>
      </c>
      <c r="F148" s="92">
        <f t="shared" si="24"/>
        <v>20680</v>
      </c>
      <c r="G148" s="92">
        <f t="shared" si="24"/>
        <v>19997</v>
      </c>
      <c r="H148" s="92">
        <f t="shared" si="24"/>
        <v>11807</v>
      </c>
      <c r="I148" s="153">
        <f t="shared" si="24"/>
        <v>13535</v>
      </c>
      <c r="J148" s="153">
        <f t="shared" si="24"/>
        <v>16187</v>
      </c>
      <c r="K148" s="94">
        <f t="shared" si="24"/>
        <v>16296</v>
      </c>
      <c r="L148" s="94">
        <f t="shared" si="24"/>
        <v>3701</v>
      </c>
      <c r="M148" s="94">
        <f t="shared" si="24"/>
        <v>11208</v>
      </c>
      <c r="N148" s="94">
        <f t="shared" si="24"/>
        <v>4979</v>
      </c>
    </row>
    <row r="149" spans="1:14" ht="15.75">
      <c r="A149" s="84">
        <v>132</v>
      </c>
      <c r="B149" s="86"/>
      <c r="C149" s="86"/>
      <c r="D149" s="94"/>
      <c r="E149" s="94"/>
      <c r="F149" s="94"/>
      <c r="G149" s="94"/>
      <c r="H149" s="94"/>
      <c r="I149" s="170"/>
      <c r="J149" s="86"/>
      <c r="K149" s="86"/>
      <c r="L149" s="86"/>
      <c r="M149" s="86"/>
      <c r="N149" s="86"/>
    </row>
    <row r="150" spans="1:14" ht="15.75">
      <c r="A150" s="84">
        <v>133</v>
      </c>
      <c r="B150" s="86"/>
      <c r="C150" s="95" t="s">
        <v>514</v>
      </c>
      <c r="D150" s="92"/>
      <c r="E150" s="94"/>
      <c r="F150" s="94"/>
      <c r="G150" s="94"/>
      <c r="H150" s="94"/>
      <c r="I150" s="170"/>
      <c r="J150" s="86"/>
      <c r="K150" s="86"/>
      <c r="L150" s="86"/>
      <c r="M150" s="86"/>
      <c r="N150" s="86"/>
    </row>
    <row r="151" spans="1:14" s="93" customFormat="1" ht="15.75">
      <c r="A151" s="84">
        <v>134</v>
      </c>
      <c r="B151" s="86"/>
      <c r="C151" s="95" t="s">
        <v>207</v>
      </c>
      <c r="D151" s="92">
        <f aca="true" t="shared" si="25" ref="D151:M151">D57+D11</f>
        <v>8446</v>
      </c>
      <c r="E151" s="92">
        <f t="shared" si="25"/>
        <v>8446</v>
      </c>
      <c r="F151" s="92">
        <f t="shared" si="25"/>
        <v>8446</v>
      </c>
      <c r="G151" s="92">
        <f t="shared" si="25"/>
        <v>8446</v>
      </c>
      <c r="H151" s="92">
        <f t="shared" si="25"/>
        <v>687</v>
      </c>
      <c r="I151" s="153">
        <f t="shared" si="25"/>
        <v>687</v>
      </c>
      <c r="J151" s="153">
        <f t="shared" si="25"/>
        <v>4213</v>
      </c>
      <c r="K151" s="153">
        <f t="shared" si="25"/>
        <v>8446</v>
      </c>
      <c r="L151" s="153">
        <f t="shared" si="25"/>
        <v>0</v>
      </c>
      <c r="M151" s="153">
        <f t="shared" si="25"/>
        <v>300</v>
      </c>
      <c r="N151" s="153">
        <f>N57+N11</f>
        <v>2070</v>
      </c>
    </row>
    <row r="152" spans="1:14" s="93" customFormat="1" ht="15.75">
      <c r="A152" s="84">
        <v>135</v>
      </c>
      <c r="B152" s="86"/>
      <c r="C152" s="95" t="s">
        <v>456</v>
      </c>
      <c r="D152" s="92">
        <f aca="true" t="shared" si="26" ref="D152:N152">D127+D28+D50</f>
        <v>25140</v>
      </c>
      <c r="E152" s="92">
        <f t="shared" si="26"/>
        <v>36531</v>
      </c>
      <c r="F152" s="92">
        <f t="shared" si="26"/>
        <v>47365</v>
      </c>
      <c r="G152" s="92">
        <f t="shared" si="26"/>
        <v>48389</v>
      </c>
      <c r="H152" s="92">
        <f t="shared" si="26"/>
        <v>17651</v>
      </c>
      <c r="I152" s="153">
        <f t="shared" si="26"/>
        <v>26974</v>
      </c>
      <c r="J152" s="153">
        <f t="shared" si="26"/>
        <v>38387</v>
      </c>
      <c r="K152" s="92">
        <f t="shared" si="26"/>
        <v>12431</v>
      </c>
      <c r="L152" s="92">
        <f t="shared" si="26"/>
        <v>3335</v>
      </c>
      <c r="M152" s="92">
        <f t="shared" si="26"/>
        <v>11878</v>
      </c>
      <c r="N152" s="92">
        <f t="shared" si="26"/>
        <v>3104</v>
      </c>
    </row>
    <row r="153" spans="1:14" ht="15.75">
      <c r="A153" s="84">
        <v>136</v>
      </c>
      <c r="B153" s="86"/>
      <c r="C153" s="95" t="s">
        <v>515</v>
      </c>
      <c r="D153" s="92">
        <f aca="true" t="shared" si="27" ref="D153:N153">D146+D42</f>
        <v>68509</v>
      </c>
      <c r="E153" s="92">
        <f t="shared" si="27"/>
        <v>75249</v>
      </c>
      <c r="F153" s="92">
        <f t="shared" si="27"/>
        <v>76138</v>
      </c>
      <c r="G153" s="92">
        <f t="shared" si="27"/>
        <v>76025</v>
      </c>
      <c r="H153" s="92">
        <f t="shared" si="27"/>
        <v>7441</v>
      </c>
      <c r="I153" s="153">
        <f t="shared" si="27"/>
        <v>54936</v>
      </c>
      <c r="J153" s="153">
        <f t="shared" si="27"/>
        <v>56971</v>
      </c>
      <c r="K153" s="153">
        <f t="shared" si="27"/>
        <v>2944</v>
      </c>
      <c r="L153" s="153">
        <f t="shared" si="27"/>
        <v>793</v>
      </c>
      <c r="M153" s="153">
        <f t="shared" si="27"/>
        <v>909</v>
      </c>
      <c r="N153" s="153">
        <f t="shared" si="27"/>
        <v>230</v>
      </c>
    </row>
    <row r="154" spans="1:14" ht="15.75">
      <c r="A154" s="84">
        <v>137</v>
      </c>
      <c r="B154" s="86"/>
      <c r="C154" s="95" t="s">
        <v>513</v>
      </c>
      <c r="D154" s="92">
        <f aca="true" t="shared" si="28" ref="D154:J154">SUM(D151:D153)</f>
        <v>102095</v>
      </c>
      <c r="E154" s="92">
        <f t="shared" si="28"/>
        <v>120226</v>
      </c>
      <c r="F154" s="92">
        <f t="shared" si="28"/>
        <v>131949</v>
      </c>
      <c r="G154" s="92">
        <f t="shared" si="28"/>
        <v>132860</v>
      </c>
      <c r="H154" s="92">
        <f t="shared" si="28"/>
        <v>25779</v>
      </c>
      <c r="I154" s="153">
        <f t="shared" si="28"/>
        <v>82597</v>
      </c>
      <c r="J154" s="153">
        <f t="shared" si="28"/>
        <v>99571</v>
      </c>
      <c r="K154" s="94">
        <f>H148+H44</f>
        <v>25779</v>
      </c>
      <c r="L154" s="86"/>
      <c r="M154" s="86"/>
      <c r="N154" s="86"/>
    </row>
    <row r="155" spans="1:14" ht="15.75">
      <c r="A155" s="143"/>
      <c r="B155" s="105"/>
      <c r="C155" s="105"/>
      <c r="D155" s="103"/>
      <c r="E155" s="104"/>
      <c r="F155" s="150"/>
      <c r="G155" s="150"/>
      <c r="H155" s="104"/>
      <c r="K155" s="182"/>
      <c r="L155" s="182"/>
      <c r="M155" s="182"/>
      <c r="N155" s="182"/>
    </row>
    <row r="156" spans="1:14" ht="15.75">
      <c r="A156" s="143"/>
      <c r="B156" s="105"/>
      <c r="C156" s="105"/>
      <c r="D156" s="103"/>
      <c r="E156" s="103"/>
      <c r="F156" s="150"/>
      <c r="G156" s="150"/>
      <c r="H156" s="103"/>
      <c r="K156" s="181"/>
      <c r="L156" s="181"/>
      <c r="M156" s="181"/>
      <c r="N156" s="181"/>
    </row>
    <row r="157" spans="1:14" ht="15.75">
      <c r="A157" s="143"/>
      <c r="B157" s="105"/>
      <c r="C157" s="105"/>
      <c r="D157" s="103"/>
      <c r="E157" s="103"/>
      <c r="F157" s="150"/>
      <c r="G157" s="150"/>
      <c r="H157" s="103"/>
      <c r="K157" s="183"/>
      <c r="L157" s="180"/>
      <c r="M157" s="180"/>
      <c r="N157" s="180"/>
    </row>
    <row r="164" spans="1:10" s="93" customFormat="1" ht="15.75">
      <c r="A164" s="82"/>
      <c r="B164" s="81"/>
      <c r="C164" s="81"/>
      <c r="D164" s="80"/>
      <c r="E164" s="80"/>
      <c r="F164" s="149"/>
      <c r="G164" s="149"/>
      <c r="H164" s="80"/>
      <c r="J164" s="209"/>
    </row>
  </sheetData>
  <sheetProtection/>
  <mergeCells count="4">
    <mergeCell ref="A1:C1"/>
    <mergeCell ref="B2:D2"/>
    <mergeCell ref="K4:L4"/>
    <mergeCell ref="M4:N4"/>
  </mergeCells>
  <printOptions/>
  <pageMargins left="0.7" right="0.7" top="0.75" bottom="0.75" header="0.3" footer="0.3"/>
  <pageSetup horizontalDpi="600" verticalDpi="600" orientation="portrait" paperSize="9" scale="48" r:id="rId1"/>
  <rowBreaks count="1" manualBreakCount="1">
    <brk id="79" max="13" man="1"/>
  </rowBreaks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="60" zoomScalePageLayoutView="0" workbookViewId="0" topLeftCell="A1">
      <selection activeCell="E12" sqref="E12"/>
    </sheetView>
  </sheetViews>
  <sheetFormatPr defaultColWidth="9.140625" defaultRowHeight="15"/>
  <cols>
    <col min="1" max="1" width="9.140625" style="82" customWidth="1"/>
    <col min="2" max="2" width="37.140625" style="81" customWidth="1"/>
    <col min="3" max="3" width="8.7109375" style="81" customWidth="1"/>
    <col min="4" max="6" width="10.140625" style="81" customWidth="1"/>
    <col min="7" max="7" width="9.7109375" style="81" customWidth="1"/>
    <col min="8" max="8" width="10.8515625" style="81" customWidth="1"/>
    <col min="9" max="16384" width="9.140625" style="81" customWidth="1"/>
  </cols>
  <sheetData>
    <row r="1" spans="1:3" ht="15.75">
      <c r="A1" s="268" t="s">
        <v>701</v>
      </c>
      <c r="B1" s="268"/>
      <c r="C1" s="269"/>
    </row>
    <row r="3" spans="2:7" ht="15.75">
      <c r="B3" s="266" t="s">
        <v>688</v>
      </c>
      <c r="C3" s="266"/>
      <c r="D3" s="266"/>
      <c r="E3" s="266"/>
      <c r="F3" s="266"/>
      <c r="G3" s="266"/>
    </row>
    <row r="4" spans="2:7" ht="15.75">
      <c r="B4" s="83"/>
      <c r="C4" s="83"/>
      <c r="D4" s="83"/>
      <c r="E4" s="83"/>
      <c r="F4" s="83"/>
      <c r="G4" s="83"/>
    </row>
    <row r="5" spans="1:8" s="82" customFormat="1" ht="33" customHeight="1">
      <c r="A5" s="84"/>
      <c r="B5" s="84" t="s">
        <v>30</v>
      </c>
      <c r="C5" s="84" t="s">
        <v>31</v>
      </c>
      <c r="D5" s="84" t="s">
        <v>32</v>
      </c>
      <c r="E5" s="84" t="s">
        <v>33</v>
      </c>
      <c r="F5" s="84" t="s">
        <v>34</v>
      </c>
      <c r="G5" s="84" t="s">
        <v>155</v>
      </c>
      <c r="H5" s="84" t="s">
        <v>63</v>
      </c>
    </row>
    <row r="6" spans="1:8" ht="15.75" hidden="1">
      <c r="A6" s="84"/>
      <c r="B6" s="86"/>
      <c r="C6" s="86"/>
      <c r="D6" s="86"/>
      <c r="E6" s="86"/>
      <c r="F6" s="86"/>
      <c r="G6" s="86"/>
      <c r="H6" s="86"/>
    </row>
    <row r="7" spans="1:8" ht="1.5" customHeight="1" hidden="1">
      <c r="A7" s="84"/>
      <c r="B7" s="86"/>
      <c r="C7" s="86"/>
      <c r="D7" s="86"/>
      <c r="E7" s="86"/>
      <c r="F7" s="86"/>
      <c r="G7" s="86"/>
      <c r="H7" s="86"/>
    </row>
    <row r="8" spans="1:8" ht="6" customHeight="1" hidden="1">
      <c r="A8" s="84"/>
      <c r="B8" s="86"/>
      <c r="C8" s="86"/>
      <c r="D8" s="86"/>
      <c r="E8" s="86"/>
      <c r="F8" s="86"/>
      <c r="G8" s="86"/>
      <c r="H8" s="86"/>
    </row>
    <row r="9" spans="1:8" s="93" customFormat="1" ht="61.5" customHeight="1">
      <c r="A9" s="84">
        <v>1</v>
      </c>
      <c r="B9" s="90" t="s">
        <v>81</v>
      </c>
      <c r="C9" s="225" t="s">
        <v>689</v>
      </c>
      <c r="D9" s="225" t="s">
        <v>690</v>
      </c>
      <c r="E9" s="225" t="s">
        <v>702</v>
      </c>
      <c r="F9" s="226" t="s">
        <v>691</v>
      </c>
      <c r="G9" s="225" t="s">
        <v>692</v>
      </c>
      <c r="H9" s="227" t="s">
        <v>417</v>
      </c>
    </row>
    <row r="10" spans="1:8" ht="33.75" customHeight="1">
      <c r="A10" s="84">
        <v>2</v>
      </c>
      <c r="B10" s="86"/>
      <c r="C10" s="228" t="s">
        <v>693</v>
      </c>
      <c r="D10" s="228" t="s">
        <v>693</v>
      </c>
      <c r="E10" s="228"/>
      <c r="F10" s="229" t="s">
        <v>693</v>
      </c>
      <c r="G10" s="228" t="s">
        <v>693</v>
      </c>
      <c r="H10" s="230" t="s">
        <v>693</v>
      </c>
    </row>
    <row r="11" spans="1:8" s="93" customFormat="1" ht="15.75">
      <c r="A11" s="84">
        <v>3</v>
      </c>
      <c r="B11" s="90"/>
      <c r="C11" s="90"/>
      <c r="D11" s="90"/>
      <c r="E11" s="90"/>
      <c r="F11" s="95"/>
      <c r="G11" s="90"/>
      <c r="H11" s="86"/>
    </row>
    <row r="12" spans="1:8" s="93" customFormat="1" ht="15.75">
      <c r="A12" s="84">
        <v>4</v>
      </c>
      <c r="B12" s="90" t="s">
        <v>166</v>
      </c>
      <c r="C12" s="90">
        <v>8</v>
      </c>
      <c r="D12" s="90"/>
      <c r="E12" s="90"/>
      <c r="F12" s="95">
        <f>SUM(C12:D12)</f>
        <v>8</v>
      </c>
      <c r="G12" s="90"/>
      <c r="H12" s="86">
        <f>SUM(F12:G12)</f>
        <v>8</v>
      </c>
    </row>
    <row r="13" spans="1:8" s="93" customFormat="1" ht="15.75">
      <c r="A13" s="84">
        <v>5</v>
      </c>
      <c r="B13" s="90"/>
      <c r="C13" s="90"/>
      <c r="D13" s="90"/>
      <c r="E13" s="90"/>
      <c r="F13" s="95"/>
      <c r="G13" s="90"/>
      <c r="H13" s="86"/>
    </row>
    <row r="14" spans="1:8" ht="15.75">
      <c r="A14" s="84">
        <v>6</v>
      </c>
      <c r="B14" s="90" t="s">
        <v>47</v>
      </c>
      <c r="C14" s="86"/>
      <c r="D14" s="86"/>
      <c r="E14" s="86"/>
      <c r="F14" s="95"/>
      <c r="G14" s="86"/>
      <c r="H14" s="86"/>
    </row>
    <row r="15" spans="1:8" ht="15.75">
      <c r="A15" s="84">
        <v>7</v>
      </c>
      <c r="B15" s="86" t="s">
        <v>694</v>
      </c>
      <c r="C15" s="86">
        <v>1</v>
      </c>
      <c r="D15" s="86"/>
      <c r="E15" s="86"/>
      <c r="F15" s="95">
        <f aca="true" t="shared" si="0" ref="F15:F20">SUM(C15:D15)</f>
        <v>1</v>
      </c>
      <c r="G15" s="86"/>
      <c r="H15" s="86">
        <f>SUM(F15:G15)</f>
        <v>1</v>
      </c>
    </row>
    <row r="16" spans="1:8" ht="15.75">
      <c r="A16" s="84">
        <v>8</v>
      </c>
      <c r="B16" s="86" t="s">
        <v>695</v>
      </c>
      <c r="C16" s="86">
        <v>1</v>
      </c>
      <c r="D16" s="86"/>
      <c r="E16" s="86"/>
      <c r="F16" s="95">
        <f t="shared" si="0"/>
        <v>1</v>
      </c>
      <c r="G16" s="86"/>
      <c r="H16" s="86">
        <f aca="true" t="shared" si="1" ref="H16:H22">SUM(F16:G16)</f>
        <v>1</v>
      </c>
    </row>
    <row r="17" spans="1:8" ht="15.75">
      <c r="A17" s="84">
        <v>9</v>
      </c>
      <c r="B17" s="86" t="s">
        <v>234</v>
      </c>
      <c r="C17" s="86">
        <v>1</v>
      </c>
      <c r="D17" s="86"/>
      <c r="E17" s="86"/>
      <c r="F17" s="95">
        <f t="shared" si="0"/>
        <v>1</v>
      </c>
      <c r="G17" s="86"/>
      <c r="H17" s="86">
        <f t="shared" si="1"/>
        <v>1</v>
      </c>
    </row>
    <row r="18" spans="1:8" ht="15.75">
      <c r="A18" s="84">
        <v>10</v>
      </c>
      <c r="B18" s="86" t="s">
        <v>696</v>
      </c>
      <c r="C18" s="86"/>
      <c r="D18" s="86">
        <v>1</v>
      </c>
      <c r="E18" s="86"/>
      <c r="F18" s="95">
        <f t="shared" si="0"/>
        <v>1</v>
      </c>
      <c r="G18" s="86"/>
      <c r="H18" s="86">
        <f t="shared" si="1"/>
        <v>1</v>
      </c>
    </row>
    <row r="19" spans="1:8" ht="15.75">
      <c r="A19" s="84">
        <v>11</v>
      </c>
      <c r="B19" s="86" t="s">
        <v>457</v>
      </c>
      <c r="C19" s="86">
        <v>2</v>
      </c>
      <c r="D19" s="86"/>
      <c r="E19" s="86"/>
      <c r="F19" s="95">
        <f t="shared" si="0"/>
        <v>2</v>
      </c>
      <c r="G19" s="86"/>
      <c r="H19" s="86">
        <f t="shared" si="1"/>
        <v>2</v>
      </c>
    </row>
    <row r="20" spans="1:8" s="93" customFormat="1" ht="15.75">
      <c r="A20" s="84">
        <v>12</v>
      </c>
      <c r="B20" s="21" t="s">
        <v>697</v>
      </c>
      <c r="C20" s="95">
        <v>3</v>
      </c>
      <c r="D20" s="95">
        <v>1</v>
      </c>
      <c r="E20" s="95"/>
      <c r="F20" s="95">
        <f t="shared" si="0"/>
        <v>4</v>
      </c>
      <c r="G20" s="95"/>
      <c r="H20" s="86">
        <f t="shared" si="1"/>
        <v>4</v>
      </c>
    </row>
    <row r="21" spans="1:8" ht="15.75">
      <c r="A21" s="84">
        <v>13</v>
      </c>
      <c r="B21" s="86" t="s">
        <v>698</v>
      </c>
      <c r="C21" s="86">
        <v>11</v>
      </c>
      <c r="D21" s="86">
        <v>4</v>
      </c>
      <c r="E21" s="86">
        <v>0.5</v>
      </c>
      <c r="F21" s="95">
        <f>SUM(C21:E21)</f>
        <v>15.5</v>
      </c>
      <c r="G21" s="86">
        <v>7</v>
      </c>
      <c r="H21" s="86">
        <f t="shared" si="1"/>
        <v>22.5</v>
      </c>
    </row>
    <row r="22" spans="1:8" s="93" customFormat="1" ht="15.75">
      <c r="A22" s="84">
        <v>14</v>
      </c>
      <c r="B22" s="21" t="s">
        <v>699</v>
      </c>
      <c r="C22" s="90">
        <v>3</v>
      </c>
      <c r="D22" s="90">
        <v>4</v>
      </c>
      <c r="E22" s="90">
        <v>0.5</v>
      </c>
      <c r="F22" s="95">
        <f>SUM(C22:E22)</f>
        <v>7.5</v>
      </c>
      <c r="G22" s="90"/>
      <c r="H22" s="86">
        <f t="shared" si="1"/>
        <v>7.5</v>
      </c>
    </row>
    <row r="23" spans="1:8" s="93" customFormat="1" ht="15.75">
      <c r="A23" s="84">
        <v>15</v>
      </c>
      <c r="B23" s="90" t="s">
        <v>700</v>
      </c>
      <c r="C23" s="86">
        <f aca="true" t="shared" si="2" ref="C23:H23">SUM(C15:C22)</f>
        <v>22</v>
      </c>
      <c r="D23" s="86">
        <f t="shared" si="2"/>
        <v>10</v>
      </c>
      <c r="E23" s="86">
        <f t="shared" si="2"/>
        <v>1</v>
      </c>
      <c r="F23" s="86">
        <f t="shared" si="2"/>
        <v>33</v>
      </c>
      <c r="G23" s="86">
        <f t="shared" si="2"/>
        <v>7</v>
      </c>
      <c r="H23" s="86">
        <f t="shared" si="2"/>
        <v>40</v>
      </c>
    </row>
    <row r="24" spans="1:8" s="93" customFormat="1" ht="15.75">
      <c r="A24" s="84">
        <v>16</v>
      </c>
      <c r="B24" s="90"/>
      <c r="C24" s="86"/>
      <c r="D24" s="86"/>
      <c r="E24" s="86"/>
      <c r="F24" s="86"/>
      <c r="G24" s="86"/>
      <c r="H24" s="86"/>
    </row>
    <row r="25" spans="1:8" s="93" customFormat="1" ht="15.75">
      <c r="A25" s="84">
        <v>17</v>
      </c>
      <c r="B25" s="90" t="s">
        <v>703</v>
      </c>
      <c r="C25" s="95">
        <f aca="true" t="shared" si="3" ref="C25:H25">C23+C12</f>
        <v>30</v>
      </c>
      <c r="D25" s="95">
        <f t="shared" si="3"/>
        <v>10</v>
      </c>
      <c r="E25" s="95">
        <f t="shared" si="3"/>
        <v>1</v>
      </c>
      <c r="F25" s="95">
        <f t="shared" si="3"/>
        <v>41</v>
      </c>
      <c r="G25" s="95">
        <f t="shared" si="3"/>
        <v>7</v>
      </c>
      <c r="H25" s="95">
        <f t="shared" si="3"/>
        <v>48</v>
      </c>
    </row>
    <row r="26" s="232" customFormat="1" ht="15.75">
      <c r="A26" s="231"/>
    </row>
    <row r="27" s="232" customFormat="1" ht="15.75">
      <c r="A27" s="231"/>
    </row>
  </sheetData>
  <sheetProtection/>
  <mergeCells count="2">
    <mergeCell ref="A1:C1"/>
    <mergeCell ref="B3:G3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2016-04-28T07:40:57Z</dcterms:modified>
  <cp:category/>
  <cp:version/>
  <cp:contentType/>
  <cp:contentStatus/>
</cp:coreProperties>
</file>