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firstSheet="1" activeTab="3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1.2.sz.mell." sheetId="5" r:id="rId5"/>
    <sheet name="Z_1.3.sz.mell." sheetId="6" r:id="rId6"/>
    <sheet name="Z_1.4.sz.mell." sheetId="7" r:id="rId7"/>
    <sheet name="Z_2.1.sz.mell" sheetId="8" r:id="rId8"/>
    <sheet name="Z_2.2.sz.mell" sheetId="9" r:id="rId9"/>
    <sheet name="Z_ELLENŐRZÉS" sheetId="10" r:id="rId10"/>
    <sheet name="Z_3.sz.mell." sheetId="11" r:id="rId11"/>
    <sheet name="Z_4.sz.mell." sheetId="12" r:id="rId12"/>
    <sheet name="Z_5.sz.mell." sheetId="13" r:id="rId13"/>
    <sheet name="Z_6.1.sz.mell" sheetId="14" r:id="rId14"/>
    <sheet name="Z_6.1.1.sz.mell" sheetId="15" r:id="rId15"/>
    <sheet name="Z_6.1.2.sz.mell" sheetId="16" r:id="rId16"/>
    <sheet name="Z_6.1.3.sz.mell" sheetId="17" r:id="rId17"/>
    <sheet name="Z_6.2.sz.mell" sheetId="18" r:id="rId18"/>
    <sheet name="Z_6.2.1.sz.mell" sheetId="19" r:id="rId19"/>
    <sheet name="Z_6.2.2.sz.mell" sheetId="20" r:id="rId20"/>
    <sheet name="Z_6.2.3.sz.mell" sheetId="21" r:id="rId21"/>
    <sheet name="Z_6.3.sz.mell" sheetId="22" r:id="rId22"/>
    <sheet name="Z_6.3.1.sz.mell" sheetId="23" r:id="rId23"/>
    <sheet name="Z_6.3.2.sz.mell" sheetId="24" r:id="rId24"/>
    <sheet name="Z_6.3.3.sz.mell" sheetId="25" r:id="rId25"/>
    <sheet name="Z_6.4.sz.mell" sheetId="26" state="hidden" r:id="rId26"/>
    <sheet name="Z_6.4.1.sz.mell" sheetId="27" state="hidden" r:id="rId27"/>
    <sheet name="Z_6.4.2.sz.mell" sheetId="28" state="hidden" r:id="rId28"/>
    <sheet name="Z_6.4.3.sz.mell" sheetId="29" state="hidden" r:id="rId29"/>
    <sheet name="Z_6.5.sz.mell" sheetId="30" state="hidden" r:id="rId30"/>
    <sheet name="Z_6.5.1.sz.mell" sheetId="31" state="hidden" r:id="rId31"/>
    <sheet name="Z_6.5.2.sz.mell" sheetId="32" state="hidden" r:id="rId32"/>
    <sheet name="Z_6.5.3.sz.mell" sheetId="33" state="hidden" r:id="rId33"/>
    <sheet name="Z_6.6.sz.mell" sheetId="34" state="hidden" r:id="rId34"/>
    <sheet name="Z_6.6.1.sz.mell" sheetId="35" state="hidden" r:id="rId35"/>
    <sheet name="Z_6.6.2.sz.mell" sheetId="36" state="hidden" r:id="rId36"/>
    <sheet name="Z_6.6.3.sz.mell" sheetId="37" state="hidden" r:id="rId37"/>
    <sheet name="Z_6.7.sz.mell" sheetId="38" state="hidden" r:id="rId38"/>
    <sheet name="Z_6.7.1.sz.mell" sheetId="39" state="hidden" r:id="rId39"/>
    <sheet name="Z_6.7.2.sz.mell" sheetId="40" state="hidden" r:id="rId40"/>
    <sheet name="Z_6.7.3.sz.mell" sheetId="41" state="hidden" r:id="rId41"/>
    <sheet name="Z_6.8.sz.mell" sheetId="42" state="hidden" r:id="rId42"/>
    <sheet name="Z_6.8.1.sz.mell" sheetId="43" state="hidden" r:id="rId43"/>
    <sheet name="Z_6.8.2.sz.mell" sheetId="44" state="hidden" r:id="rId44"/>
    <sheet name="Z_6.8.3.sz.mell" sheetId="45" state="hidden" r:id="rId45"/>
    <sheet name="Z_6.9.sz.mell" sheetId="46" state="hidden" r:id="rId46"/>
    <sheet name="Z_6.9.1.sz.mell" sheetId="47" state="hidden" r:id="rId47"/>
    <sheet name="Z_6.9.2.sz.mell" sheetId="48" state="hidden" r:id="rId48"/>
    <sheet name="Z_6.9.3.sz.mell" sheetId="49" state="hidden" r:id="rId49"/>
    <sheet name="Z_6.10.sz.mell" sheetId="50" state="hidden" r:id="rId50"/>
    <sheet name="Z_6.10.1.sz.mell" sheetId="51" state="hidden" r:id="rId51"/>
    <sheet name="Z_6.10.2.sz.mell" sheetId="52" state="hidden" r:id="rId52"/>
    <sheet name="Z_6.10.3.sz.mell" sheetId="53" state="hidden" r:id="rId53"/>
    <sheet name="Z_6.11.sz.mell" sheetId="54" state="hidden" r:id="rId54"/>
    <sheet name="Z_6.11.1.sz.mell" sheetId="55" state="hidden" r:id="rId55"/>
    <sheet name="Z_6.11.2.sz.mell" sheetId="56" state="hidden" r:id="rId56"/>
    <sheet name="Z_6.11.3.sz.mell" sheetId="57" state="hidden" r:id="rId57"/>
    <sheet name="Z_6.12.sz.mell" sheetId="58" state="hidden" r:id="rId58"/>
    <sheet name="Z_6.12.1.sz.mell" sheetId="59" state="hidden" r:id="rId59"/>
    <sheet name="Z_6.12.2.sz.mell" sheetId="60" state="hidden" r:id="rId60"/>
    <sheet name="Z_6.12.3.sz.mell" sheetId="61" state="hidden" r:id="rId61"/>
    <sheet name="Z_7.sz.mell" sheetId="62" r:id="rId62"/>
    <sheet name="Z_8.sz.mell" sheetId="63" r:id="rId63"/>
    <sheet name="Z_1.tájékoztató_t." sheetId="64" r:id="rId64"/>
    <sheet name="Z_2.tájékoztató_t." sheetId="65" r:id="rId65"/>
    <sheet name="Z_3.tájékoztató_t." sheetId="66" r:id="rId66"/>
    <sheet name="Z_4.tájékoztató_t." sheetId="67" r:id="rId67"/>
    <sheet name="Z_5.tájékoztató_t." sheetId="68" r:id="rId68"/>
    <sheet name="Z_6.tájékoztató_t." sheetId="69" r:id="rId69"/>
    <sheet name="Z_7.1.tájékoztató_t." sheetId="70" r:id="rId70"/>
    <sheet name="Z_7.2.tájékoztató_t." sheetId="71" r:id="rId71"/>
    <sheet name="Z_7.3.tájékoztató_t." sheetId="72" r:id="rId72"/>
    <sheet name="Z_8.tájékoztató_t." sheetId="73" r:id="rId73"/>
    <sheet name="Z_9.tájékoztató_t." sheetId="74" r:id="rId74"/>
  </sheets>
  <externalReferences>
    <externalReference r:id="rId77"/>
    <externalReference r:id="rId78"/>
  </externalReferences>
  <definedNames>
    <definedName name="_ftn1" localSheetId="71">'Z_7.3.tájékoztató_t.'!$A$31</definedName>
    <definedName name="_ftnref1" localSheetId="71">'Z_7.3.tájékoztató_t.'!$A$22</definedName>
    <definedName name="_xlfn_IFERROR">NA()</definedName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50">'Z_6.10.1.sz.mell'!$1:$6</definedName>
    <definedName name="_xlnm.Print_Titles" localSheetId="51">'Z_6.10.2.sz.mell'!$1:$6</definedName>
    <definedName name="_xlnm.Print_Titles" localSheetId="52">'Z_6.10.3.sz.mell'!$1:$6</definedName>
    <definedName name="_xlnm.Print_Titles" localSheetId="49">'Z_6.10.sz.mell'!$1:$6</definedName>
    <definedName name="_xlnm.Print_Titles" localSheetId="54">'Z_6.11.1.sz.mell'!$1:$6</definedName>
    <definedName name="_xlnm.Print_Titles" localSheetId="55">'Z_6.11.2.sz.mell'!$1:$6</definedName>
    <definedName name="_xlnm.Print_Titles" localSheetId="56">'Z_6.11.3.sz.mell'!$1:$6</definedName>
    <definedName name="_xlnm.Print_Titles" localSheetId="53">'Z_6.11.sz.mell'!$1:$6</definedName>
    <definedName name="_xlnm.Print_Titles" localSheetId="58">'Z_6.12.1.sz.mell'!$1:$6</definedName>
    <definedName name="_xlnm.Print_Titles" localSheetId="59">'Z_6.12.2.sz.mell'!$1:$6</definedName>
    <definedName name="_xlnm.Print_Titles" localSheetId="60">'Z_6.12.3.sz.mell'!$1:$6</definedName>
    <definedName name="_xlnm.Print_Titles" localSheetId="57">'Z_6.12.sz.mell'!$1:$6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Titles" localSheetId="26">'Z_6.4.1.sz.mell'!$1:$6</definedName>
    <definedName name="_xlnm.Print_Titles" localSheetId="27">'Z_6.4.2.sz.mell'!$1:$6</definedName>
    <definedName name="_xlnm.Print_Titles" localSheetId="28">'Z_6.4.3.sz.mell'!$1:$6</definedName>
    <definedName name="_xlnm.Print_Titles" localSheetId="25">'Z_6.4.sz.mell'!$1:$6</definedName>
    <definedName name="_xlnm.Print_Titles" localSheetId="30">'Z_6.5.1.sz.mell'!$1:$6</definedName>
    <definedName name="_xlnm.Print_Titles" localSheetId="31">'Z_6.5.2.sz.mell'!$1:$6</definedName>
    <definedName name="_xlnm.Print_Titles" localSheetId="32">'Z_6.5.3.sz.mell'!$1:$6</definedName>
    <definedName name="_xlnm.Print_Titles" localSheetId="29">'Z_6.5.sz.mell'!$1:$6</definedName>
    <definedName name="_xlnm.Print_Titles" localSheetId="34">'Z_6.6.1.sz.mell'!$1:$6</definedName>
    <definedName name="_xlnm.Print_Titles" localSheetId="35">'Z_6.6.2.sz.mell'!$1:$6</definedName>
    <definedName name="_xlnm.Print_Titles" localSheetId="36">'Z_6.6.3.sz.mell'!$1:$6</definedName>
    <definedName name="_xlnm.Print_Titles" localSheetId="33">'Z_6.6.sz.mell'!$1:$6</definedName>
    <definedName name="_xlnm.Print_Titles" localSheetId="38">'Z_6.7.1.sz.mell'!$1:$6</definedName>
    <definedName name="_xlnm.Print_Titles" localSheetId="39">'Z_6.7.2.sz.mell'!$1:$6</definedName>
    <definedName name="_xlnm.Print_Titles" localSheetId="40">'Z_6.7.3.sz.mell'!$1:$6</definedName>
    <definedName name="_xlnm.Print_Titles" localSheetId="37">'Z_6.7.sz.mell'!$1:$6</definedName>
    <definedName name="_xlnm.Print_Titles" localSheetId="42">'Z_6.8.1.sz.mell'!$1:$6</definedName>
    <definedName name="_xlnm.Print_Titles" localSheetId="43">'Z_6.8.2.sz.mell'!$1:$6</definedName>
    <definedName name="_xlnm.Print_Titles" localSheetId="44">'Z_6.8.3.sz.mell'!$1:$6</definedName>
    <definedName name="_xlnm.Print_Titles" localSheetId="41">'Z_6.8.sz.mell'!$1:$6</definedName>
    <definedName name="_xlnm.Print_Titles" localSheetId="46">'Z_6.9.1.sz.mell'!$1:$6</definedName>
    <definedName name="_xlnm.Print_Titles" localSheetId="47">'Z_6.9.2.sz.mell'!$1:$6</definedName>
    <definedName name="_xlnm.Print_Titles" localSheetId="48">'Z_6.9.3.sz.mell'!$1:$6</definedName>
    <definedName name="_xlnm.Print_Titles" localSheetId="45">'Z_6.9.sz.mell'!$1:$6</definedName>
    <definedName name="_xlnm.Print_Titles" localSheetId="69">'Z_7.1.tájékoztató_t.'!$5:$9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63">'Z_1.tájékoztató_t.'!$A$1:$E$150</definedName>
  </definedNames>
  <calcPr fullCalcOnLoad="1"/>
</workbook>
</file>

<file path=xl/sharedStrings.xml><?xml version="1.0" encoding="utf-8"?>
<sst xmlns="http://schemas.openxmlformats.org/spreadsheetml/2006/main" count="8865" uniqueCount="1003">
  <si>
    <t>Tartalomjegyzék</t>
  </si>
  <si>
    <t>Dokumentum neve</t>
  </si>
  <si>
    <t>A dokumentációs rendszerben található táblázatok listája</t>
  </si>
  <si>
    <t>Ugrás</t>
  </si>
  <si>
    <t>ZÁRSZÁMADÁSI RENDLET</t>
  </si>
  <si>
    <t>Alapadatok</t>
  </si>
  <si>
    <t>Adatok megadása</t>
  </si>
  <si>
    <t>Összefüggések</t>
  </si>
  <si>
    <t>Táblázatok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</si>
  <si>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</si>
  <si>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</si>
  <si>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</si>
  <si>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</si>
  <si>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</si>
  <si>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</si>
  <si>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</si>
  <si>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</si>
  <si>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</si>
  <si>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</si>
  <si>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</si>
  <si>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</si>
  <si>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</si>
  <si>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</si>
  <si>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</si>
  <si>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6.1. melléklet</t>
  </si>
  <si>
    <t>Összes  bevétel, kiadás</t>
  </si>
  <si>
    <t>6.1.1. melléklet</t>
  </si>
  <si>
    <t>Kötelező feladtok bevételei, kiadásai</t>
  </si>
  <si>
    <t>6.1.2. melléklet</t>
  </si>
  <si>
    <t>Önként vállalt feladatok bevételei, kiadásai</t>
  </si>
  <si>
    <t>6.1.3. melléklet</t>
  </si>
  <si>
    <t>Államigazgatási feladatok  bevételei, kiadásai</t>
  </si>
  <si>
    <t>6.2. melléklet</t>
  </si>
  <si>
    <t>6.3. melléklet</t>
  </si>
  <si>
    <t>7. melléklet</t>
  </si>
  <si>
    <t>8. melléklet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</si>
  <si>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</si>
  <si>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</si>
  <si>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</si>
  <si>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</si>
  <si>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</si>
  <si>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</si>
  <si>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</si>
  <si>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</si>
  <si>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</si>
  <si>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</si>
  <si>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</si>
  <si>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Pénzeszköz változás levezetése</t>
  </si>
  <si>
    <t>. évi</t>
  </si>
  <si>
    <t>ALAPADATOK</t>
  </si>
  <si>
    <t>Balatonvilágos Község Önkormányzata</t>
  </si>
  <si>
    <t>Előterjesztéskor</t>
  </si>
  <si>
    <t>a</t>
  </si>
  <si>
    <t>…</t>
  </si>
  <si>
    <t>/</t>
  </si>
  <si>
    <t>2019.</t>
  </si>
  <si>
    <t>(</t>
  </si>
  <si>
    <t>)</t>
  </si>
  <si>
    <t>önkormányzati rendelethez</t>
  </si>
  <si>
    <t>1. költségvetési szerv neve</t>
  </si>
  <si>
    <t>Balatonvilágosi Szivárvány Óvoda</t>
  </si>
  <si>
    <t>2. költségvetési szerv neve</t>
  </si>
  <si>
    <t>Balatonvilágos Község Önkormányzat Gazdasági Ellátó és Vagyongazdálkodó Szervezete</t>
  </si>
  <si>
    <t>Zárszámadási rendelet űrlapjainak összefüggései:</t>
  </si>
  <si>
    <t>2018.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</si>
  <si>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</si>
  <si>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</si>
  <si>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</si>
  <si>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</si>
  <si>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</si>
  <si>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</si>
  <si>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</si>
  <si>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</si>
  <si>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</si>
  <si>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</si>
  <si>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</si>
  <si>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</si>
  <si>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</si>
  <si>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</si>
  <si>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</si>
  <si>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</si>
  <si>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</si>
  <si>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</si>
  <si>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</si>
  <si>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</si>
  <si>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</si>
  <si>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</si>
  <si>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</si>
  <si>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</si>
  <si>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</si>
  <si>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</si>
  <si>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</si>
  <si>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</si>
  <si>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</si>
  <si>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</si>
  <si>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</si>
  <si>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</si>
  <si>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</si>
  <si>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</si>
  <si>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</si>
  <si>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</si>
  <si>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2018. évi ZÁRSZÁMADÁSÁNAK PÉNZÜGYI MÉRLEGE</t>
  </si>
  <si>
    <t>B E V É T E L E K</t>
  </si>
  <si>
    <t>1. sz. táblázat</t>
  </si>
  <si>
    <t xml:space="preserve"> Forintban!</t>
  </si>
  <si>
    <t>Sor-
szám</t>
  </si>
  <si>
    <t>Bevételi jogcím</t>
  </si>
  <si>
    <t>Eredeti
előirányzat</t>
  </si>
  <si>
    <t>Módosított
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</si>
  <si>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</si>
  <si>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</si>
  <si>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</si>
  <si>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</si>
  <si>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</si>
  <si>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</si>
  <si>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</si>
  <si>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</si>
  <si>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</si>
  <si>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</si>
  <si>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</si>
  <si>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</si>
  <si>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</si>
  <si>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</si>
  <si>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</si>
  <si>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</si>
  <si>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</si>
  <si>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</si>
  <si>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</si>
  <si>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</si>
  <si>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</si>
  <si>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</si>
  <si>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</si>
  <si>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</si>
  <si>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</si>
  <si>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</si>
  <si>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</si>
  <si>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</si>
  <si>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</si>
  <si>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</si>
  <si>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</si>
  <si>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</si>
  <si>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</si>
  <si>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</si>
  <si>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</si>
  <si>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</si>
  <si>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</si>
  <si>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</si>
  <si>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</si>
  <si>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</si>
  <si>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</si>
  <si>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</si>
  <si>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</si>
  <si>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</si>
  <si>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</si>
  <si>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</si>
  <si>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</si>
  <si>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</si>
  <si>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</si>
  <si>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</si>
  <si>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</si>
  <si>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</si>
  <si>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</si>
  <si>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</si>
  <si>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</si>
  <si>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</si>
  <si>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</si>
  <si>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</si>
  <si>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</si>
  <si>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</si>
  <si>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</si>
  <si>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</si>
  <si>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</si>
  <si>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</si>
  <si>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</si>
  <si>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</si>
  <si>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</si>
  <si>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</si>
  <si>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</si>
  <si>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</si>
  <si>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</si>
  <si>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</si>
  <si>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</si>
  <si>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</si>
  <si>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</si>
  <si>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</si>
  <si>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</si>
  <si>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</si>
  <si>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</si>
  <si>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</si>
  <si>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</si>
  <si>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</si>
  <si>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</si>
  <si>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</si>
  <si>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</si>
  <si>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</si>
  <si>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</si>
  <si>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</si>
  <si>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</si>
  <si>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</si>
  <si>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</si>
  <si>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</si>
  <si>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</si>
  <si>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</si>
  <si>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</si>
  <si>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</si>
  <si>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</si>
  <si>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</si>
  <si>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</si>
  <si>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</si>
  <si>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</si>
  <si>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</si>
  <si>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</si>
  <si>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</si>
  <si>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</si>
  <si>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</si>
  <si>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</si>
  <si>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</si>
  <si>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</si>
  <si>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</si>
  <si>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</si>
  <si>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</si>
  <si>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</si>
  <si>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</si>
  <si>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</si>
  <si>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</si>
  <si>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</si>
  <si>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</si>
  <si>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</si>
  <si>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</si>
  <si>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</si>
  <si>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</si>
  <si>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</si>
  <si>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</si>
  <si>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</si>
  <si>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</si>
  <si>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</si>
  <si>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</si>
  <si>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</si>
  <si>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</si>
  <si>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</si>
  <si>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</si>
  <si>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</si>
  <si>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</si>
  <si>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</si>
  <si>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</si>
  <si>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</si>
  <si>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</si>
  <si>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</si>
  <si>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</si>
  <si>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</si>
  <si>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</si>
  <si>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</si>
  <si>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</si>
  <si>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</si>
  <si>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</si>
  <si>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</si>
  <si>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</si>
  <si>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</si>
  <si>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</si>
  <si>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</si>
  <si>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</si>
  <si>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</si>
  <si>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</si>
  <si>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</si>
  <si>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</si>
  <si>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</si>
  <si>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</si>
  <si>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</si>
  <si>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</si>
  <si>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</si>
  <si>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</si>
  <si>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</si>
  <si>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</si>
  <si>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</si>
  <si>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</si>
  <si>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</si>
  <si>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</si>
  <si>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</si>
  <si>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</si>
  <si>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</si>
  <si>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</si>
  <si>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</si>
  <si>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</si>
  <si>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</si>
  <si>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</si>
  <si>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</si>
  <si>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</si>
  <si>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</si>
  <si>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</si>
  <si>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</si>
  <si>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</si>
  <si>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</si>
  <si>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</si>
  <si>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</si>
  <si>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</si>
  <si>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</si>
  <si>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</si>
  <si>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</si>
  <si>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</si>
  <si>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</si>
  <si>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</si>
  <si>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</si>
  <si>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</si>
  <si>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</si>
  <si>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</si>
  <si>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</si>
  <si>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</si>
  <si>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</si>
  <si>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</si>
  <si>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</si>
  <si>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</si>
  <si>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</si>
  <si>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</si>
  <si>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</si>
  <si>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</si>
  <si>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</si>
  <si>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</si>
  <si>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</si>
  <si>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</si>
  <si>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</si>
  <si>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</si>
  <si>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</si>
  <si>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</si>
  <si>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</si>
  <si>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</si>
  <si>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</si>
  <si>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</si>
  <si>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</si>
  <si>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</si>
  <si>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</si>
  <si>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</si>
  <si>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</si>
  <si>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</si>
  <si>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</si>
  <si>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</si>
  <si>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</si>
  <si>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</si>
  <si>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</si>
  <si>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</si>
  <si>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</si>
  <si>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</si>
  <si>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</si>
  <si>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</si>
  <si>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</si>
  <si>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</si>
  <si>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</si>
  <si>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</si>
  <si>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</si>
  <si>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</si>
  <si>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</si>
  <si>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</si>
  <si>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</si>
  <si>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</si>
  <si>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</si>
  <si>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</si>
  <si>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</si>
  <si>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</si>
  <si>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</si>
  <si>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</si>
  <si>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</si>
  <si>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</si>
  <si>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</si>
  <si>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</si>
  <si>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</si>
  <si>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</si>
  <si>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</si>
  <si>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</si>
  <si>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</si>
  <si>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</si>
  <si>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</si>
  <si>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</si>
  <si>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</si>
  <si>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</si>
  <si>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</si>
  <si>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</si>
  <si>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2018. ÉVI ZÁRSZÁMADSÁS</t>
  </si>
  <si>
    <t>KÖTELEZŐ FELADATOK PÉNZÜGYI MÉRLEGE</t>
  </si>
  <si>
    <t>ÖNKÉNT VÁLLALT FELADATOK PÉNZÜGYI MÉRLEGE</t>
  </si>
  <si>
    <t>ÁLLAMIGAZGATÁSI FELADATOK PÉNZÜGYI MÉRLEGE</t>
  </si>
  <si>
    <t>I. Működési célú bevételek és kiadások mérlege
(Önkormányzati szinten)</t>
  </si>
  <si>
    <t>Bevételek</t>
  </si>
  <si>
    <t>Kiadások</t>
  </si>
  <si>
    <t>Megnevezés</t>
  </si>
  <si>
    <t xml:space="preserve">F 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</si>
  <si>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</si>
  <si>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</si>
  <si>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</si>
  <si>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</si>
  <si>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</si>
  <si>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</si>
  <si>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</si>
  <si>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</si>
  <si>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</si>
  <si>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</si>
  <si>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</si>
  <si>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</si>
  <si>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</si>
  <si>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</si>
  <si>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</si>
  <si>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</si>
  <si>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</si>
  <si>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(15.+…+19.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</si>
  <si>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</si>
  <si>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</si>
  <si>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</si>
  <si>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</si>
  <si>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</si>
  <si>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</si>
  <si>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</si>
  <si>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</si>
  <si>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</si>
  <si>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</si>
  <si>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</si>
  <si>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</si>
  <si>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</si>
  <si>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</si>
  <si>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   Értékpapírok bevételei</t>
  </si>
  <si>
    <t>Forgatási célú belföldi, külföldi értékpapírok vásárlása</t>
  </si>
  <si>
    <t>20.</t>
  </si>
  <si>
    <t xml:space="preserve">Hiány külső finanszírozásának bevételei (21.+…+23.) </t>
  </si>
  <si>
    <t>21.</t>
  </si>
  <si>
    <t>Likviditási célú hitelek, kölcsönök felvétele</t>
  </si>
  <si>
    <t>22.</t>
  </si>
  <si>
    <t>23.</t>
  </si>
  <si>
    <t>24.</t>
  </si>
  <si>
    <t>Működési célú finanszírozási bevételek összesen (14.+20.)</t>
  </si>
  <si>
    <t>Működési célú finanszírozási kiadások összesen (13.+...+23.)</t>
  </si>
  <si>
    <t>25.</t>
  </si>
  <si>
    <t>BEVÉTEL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</si>
  <si>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</si>
  <si>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</si>
  <si>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</si>
  <si>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</si>
  <si>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</si>
  <si>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</si>
  <si>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</si>
  <si>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t>F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</si>
  <si>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</si>
  <si>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</si>
  <si>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</si>
  <si>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</si>
  <si>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</si>
  <si>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</si>
  <si>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</si>
  <si>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</si>
  <si>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</si>
  <si>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</si>
  <si>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</si>
  <si>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</si>
  <si>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</si>
  <si>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</si>
  <si>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</si>
  <si>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</si>
  <si>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</si>
  <si>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</si>
  <si>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</si>
  <si>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</si>
  <si>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</si>
  <si>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</si>
  <si>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</si>
  <si>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</si>
  <si>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</si>
  <si>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</si>
  <si>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</si>
  <si>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</si>
  <si>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</si>
  <si>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</si>
  <si>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</si>
  <si>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</si>
  <si>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</si>
  <si>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</si>
  <si>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Ft-ban</t>
  </si>
  <si>
    <t>Beruházás  megnevezése</t>
  </si>
  <si>
    <t>Teljes költség</t>
  </si>
  <si>
    <t>Kivitelezés kezdési és befejezési éve</t>
  </si>
  <si>
    <t>2018. évi előirányzat utolsó módosítás</t>
  </si>
  <si>
    <t>2018. évi TELJESÍTÉS</t>
  </si>
  <si>
    <t>F=(B-D-E)</t>
  </si>
  <si>
    <t>Közvilágítás Csalogány utcai átjáró</t>
  </si>
  <si>
    <t>2018.</t>
  </si>
  <si>
    <t>Játszótéri elemek strandra</t>
  </si>
  <si>
    <t>Rákóczi csap.víz elvezetés</t>
  </si>
  <si>
    <t>Partvédőmű terv</t>
  </si>
  <si>
    <t>2017.</t>
  </si>
  <si>
    <t>Óvoda árnyékoló védőtető</t>
  </si>
  <si>
    <t>Óvoda öltöző szekrény</t>
  </si>
  <si>
    <t>Óvoda alumínium redőny, előtető</t>
  </si>
  <si>
    <t>Barackos utca járda kiépítés</t>
  </si>
  <si>
    <t>Sószóró beszerzése</t>
  </si>
  <si>
    <t>Konyha elektromos eszközök beszerzése</t>
  </si>
  <si>
    <t>Damilos fűkasza, zárható szerszámtároló</t>
  </si>
  <si>
    <t>Traktor beszerzés</t>
  </si>
  <si>
    <t>LED lámpa beszerzésre</t>
  </si>
  <si>
    <t>Internet hálózat kiépítés</t>
  </si>
  <si>
    <t>Vizesblokk Magas-parton</t>
  </si>
  <si>
    <t>Közfoglalk.gép beszerzés</t>
  </si>
  <si>
    <t>Számítógép beszerzése könyvtár</t>
  </si>
  <si>
    <t>Zuhanyzó, Öltöző szekrény 2-2 db</t>
  </si>
  <si>
    <t>Konyha vízlágyító beszerzése</t>
  </si>
  <si>
    <t>Zöldterület számítógép beszerzés</t>
  </si>
  <si>
    <t>Eszközbeszerzés 295/1. hrsz (padok, szemetesek, kandeláber)</t>
  </si>
  <si>
    <t>Településrendezési eszközök módosítása terv</t>
  </si>
  <si>
    <t>Konyha laptop beszerzés</t>
  </si>
  <si>
    <t>Védőnő nyomtató beszerzés</t>
  </si>
  <si>
    <t>4. és 6. sz. bérlakás kazán beüzemelés</t>
  </si>
  <si>
    <t>Napelemes kandeláber beszerzése</t>
  </si>
  <si>
    <t>Óvoda porszívó</t>
  </si>
  <si>
    <t>Konyha eszközök beszerzésére</t>
  </si>
  <si>
    <t>1 Fázisú mérőhely kialakítása földkábeles csatlakozáshoz</t>
  </si>
  <si>
    <t>Hangosító beszerzése</t>
  </si>
  <si>
    <t>GEVSZ kp ….</t>
  </si>
  <si>
    <t>Tatami szőnyeg kultúrházba</t>
  </si>
  <si>
    <t>Kamera csere</t>
  </si>
  <si>
    <t>ÖSSZESEN:</t>
  </si>
  <si>
    <t>kamera csere</t>
  </si>
  <si>
    <t>Felújítás  megnevezése</t>
  </si>
  <si>
    <t>Gáznyomás-csökkentő áthelyezése</t>
  </si>
  <si>
    <t>Sorompó áthelyezése</t>
  </si>
  <si>
    <t>Útfelújítás belterületi utak</t>
  </si>
  <si>
    <t>Konyha amperbővítés</t>
  </si>
  <si>
    <t>Bobcat felújítás</t>
  </si>
  <si>
    <t>Locsolóvíz-hálózat felújítása Hunor utca</t>
  </si>
  <si>
    <t>Mészöly-forrás felújítása</t>
  </si>
  <si>
    <t>Strand tereprendezés</t>
  </si>
  <si>
    <t>Köztemető tereprendezés</t>
  </si>
  <si>
    <t>Óvoda fürdőszoba felújítás</t>
  </si>
  <si>
    <t>Partvédőmű felújítás</t>
  </si>
  <si>
    <t>Műszaki ellenőrzés keret</t>
  </si>
  <si>
    <t>Mercedes felújítása</t>
  </si>
  <si>
    <t>Adós iroda felújítása</t>
  </si>
  <si>
    <t>Konyha felújítás</t>
  </si>
  <si>
    <t>Körte Gagarin járda</t>
  </si>
  <si>
    <t>Európai uniós támogatással megvalósuló projektek</t>
  </si>
  <si>
    <t>bevételei, kiadási, hozzűjárulások</t>
  </si>
  <si>
    <r>
      <rPr>
        <b/>
        <sz val="12"/>
        <rFont val="Times New Roman CE"/>
        <family val="0"/>
      </rPr>
      <t>EU-s projekt neve, azonosítója:</t>
    </r>
    <r>
      <rPr>
        <sz val="12"/>
        <rFont val="Times New Roman"/>
        <family val="1"/>
      </rPr>
      <t>*</t>
    </r>
  </si>
  <si>
    <t xml:space="preserve">TOP-2.1.3-16 Települési környezetvédelmi infrastruktúra 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</si>
  <si>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</si>
  <si>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</si>
  <si>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</si>
  <si>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</si>
  <si>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</si>
  <si>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</si>
  <si>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</si>
  <si>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Összesen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</si>
  <si>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</si>
  <si>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</si>
  <si>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</si>
  <si>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</si>
  <si>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</si>
  <si>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</si>
  <si>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</si>
  <si>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</si>
  <si>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</si>
  <si>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</si>
  <si>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</si>
  <si>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</si>
  <si>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</si>
  <si>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</si>
  <si>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</si>
  <si>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</si>
  <si>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</si>
  <si>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* Amennyiben több projekt megvalósítása történi egy időben akkor azokat külön-külön, projektenként be kell mutatni! </t>
  </si>
  <si>
    <t>Támogatott neve</t>
  </si>
  <si>
    <t>Eredeti ei.</t>
  </si>
  <si>
    <t>Módosított ei.</t>
  </si>
  <si>
    <t xml:space="preserve">Összesen: </t>
  </si>
  <si>
    <t>01</t>
  </si>
  <si>
    <t>Feladat megnevezése</t>
  </si>
  <si>
    <t>Összes bevétel, kiadás</t>
  </si>
  <si>
    <t>Száma</t>
  </si>
  <si>
    <t>Kiemelt előirányzat, előirányzat megnevezése</t>
  </si>
  <si>
    <t>Eredeti előirányzat</t>
  </si>
  <si>
    <t>Módosított előirányzat</t>
  </si>
  <si>
    <t>Működési célú kvi támogatások és kiegészítő támogatások</t>
  </si>
  <si>
    <t xml:space="preserve"> 10.</t>
  </si>
  <si>
    <t xml:space="preserve">   16.</t>
  </si>
  <si>
    <t xml:space="preserve">   17.</t>
  </si>
  <si>
    <t xml:space="preserve">   18.</t>
  </si>
  <si>
    <t>BEVÉTELEK ÖSSZESEN: (9+17)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</si>
  <si>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0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</si>
  <si>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</si>
  <si>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</si>
  <si>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</si>
  <si>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</si>
  <si>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</si>
  <si>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</si>
  <si>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</si>
  <si>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</si>
  <si>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</si>
  <si>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</si>
  <si>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Tényleges állományi létszám előirányzat (fő)</t>
  </si>
  <si>
    <t>Közfoglalkoztatottak tényleges állományi létszáma (fő)</t>
  </si>
  <si>
    <t>Kötelező feladatok bevételei, kiadásai</t>
  </si>
  <si>
    <t>02</t>
  </si>
  <si>
    <t xml:space="preserve">    Rövid lejáratú  hitelek, kölcsönök felvétele</t>
  </si>
  <si>
    <t>Államigazgatási feladatok bevételei, kiadásai</t>
  </si>
  <si>
    <t>Költségvetési szerv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</si>
  <si>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</si>
  <si>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</si>
  <si>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</si>
  <si>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</si>
  <si>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</si>
  <si>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</si>
  <si>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</si>
  <si>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</si>
  <si>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</si>
  <si>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</si>
  <si>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</si>
  <si>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</si>
  <si>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</si>
  <si>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</si>
  <si>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</si>
  <si>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</si>
  <si>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</si>
  <si>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</si>
  <si>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</si>
  <si>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</si>
  <si>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</si>
  <si>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</si>
  <si>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</si>
  <si>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</si>
  <si>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</si>
  <si>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</si>
  <si>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</si>
  <si>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03</t>
  </si>
  <si>
    <t>04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</si>
  <si>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</si>
  <si>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</si>
  <si>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</si>
  <si>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</si>
  <si>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05</t>
  </si>
  <si>
    <t>06</t>
  </si>
  <si>
    <t>07</t>
  </si>
  <si>
    <t>08</t>
  </si>
  <si>
    <t>09</t>
  </si>
  <si>
    <t>10</t>
  </si>
  <si>
    <t>11</t>
  </si>
  <si>
    <t>12</t>
  </si>
  <si>
    <t>KÖLTSÉGVETÉSI SZERVEK MARADVÁNYÁNAK ALAKULÁSA</t>
  </si>
  <si>
    <t>Forintban!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</si>
  <si>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</si>
  <si>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</si>
  <si>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</si>
  <si>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</si>
  <si>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</si>
  <si>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</si>
  <si>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</si>
  <si>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</si>
  <si>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rPr>
        <b/>
        <sz val="8"/>
        <rFont val="Times New Roman CE"/>
        <family val="1"/>
      </rP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</si>
  <si>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Összesen:</t>
  </si>
  <si>
    <t>2018. évi általános működés és ágazati feladatok támogatásának alakulása jogcímenként</t>
  </si>
  <si>
    <t>Forintban</t>
  </si>
  <si>
    <r>
      <rPr>
        <b/>
        <sz val="10"/>
        <rFont val="Times New Roman CE"/>
        <family val="0"/>
      </rPr>
      <t>2017. évi C.
törvény 2. sz. melléklete száma</t>
    </r>
    <r>
      <rPr>
        <b/>
        <sz val="10"/>
        <rFont val="Symbol"/>
        <family val="1"/>
      </rPr>
      <t>*</t>
    </r>
  </si>
  <si>
    <t>Jogcím</t>
  </si>
  <si>
    <t>Módisított támogatás összege</t>
  </si>
  <si>
    <t>Tényleges támogatás összege</t>
  </si>
  <si>
    <t>Polgármesterek bértámogatása</t>
  </si>
  <si>
    <t>Óvoda bértámogatás 8/12</t>
  </si>
  <si>
    <t>Szociális étkeztetés</t>
  </si>
  <si>
    <t>Tanyagondnoki szolgáltatás</t>
  </si>
  <si>
    <t>Könyvtári támogatás</t>
  </si>
  <si>
    <t>2018. évi bérkompenzáció</t>
  </si>
  <si>
    <t>* Magyarország 2018. évi központi költségvetéséról szóló törvény</t>
  </si>
  <si>
    <t>2019. ÉVI ZÁRSZÁMADÁSÁNAK PÉNZÜGYI MÉRLEGE</t>
  </si>
  <si>
    <t>2017. évi tény</t>
  </si>
  <si>
    <t>2018. évi</t>
  </si>
  <si>
    <t>Működési célú központosított előirányzatok</t>
  </si>
  <si>
    <t>Helyi önkormányzatok kiegészítő támogatásai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</si>
  <si>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</si>
  <si>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</si>
  <si>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</si>
  <si>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</si>
  <si>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</si>
  <si>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</si>
  <si>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</si>
  <si>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</si>
  <si>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r>
      <rPr>
        <b/>
        <sz val="8"/>
        <rFont val="Times New Roman CE"/>
        <family val="1"/>
      </rP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</si>
  <si>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</si>
  <si>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r>
      <rPr>
        <b/>
        <sz val="8"/>
        <rFont val="Times New Roman CE"/>
        <family val="1"/>
      </rPr>
      <t xml:space="preserve">Felhalmozási költségvetés kiadásai </t>
    </r>
    <r>
      <rPr>
        <sz val="8"/>
        <rFont val="Times New Roman CE"/>
        <family val="0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</si>
  <si>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</si>
  <si>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</si>
  <si>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</si>
  <si>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</si>
  <si>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</si>
  <si>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</si>
  <si>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</si>
  <si>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</si>
  <si>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</si>
  <si>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</si>
  <si>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</si>
  <si>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</si>
  <si>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</si>
  <si>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</si>
  <si>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</si>
  <si>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</si>
  <si>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</si>
  <si>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Többéves kihatással járó döntésekből származó kötzelezettségek célok szerinti, évenkénti bontásban</t>
  </si>
  <si>
    <t>Kötelezettség
jogcíme</t>
  </si>
  <si>
    <t>Kötelezettség- 
vállalás 
éve</t>
  </si>
  <si>
    <t>Összes vállalt kötelezettség</t>
  </si>
  <si>
    <t>2018. évi teljesítés</t>
  </si>
  <si>
    <t>Kötelezettségek a következő években</t>
  </si>
  <si>
    <t>Még fennálló kötelezettség</t>
  </si>
  <si>
    <t>2020.</t>
  </si>
  <si>
    <t>2021.</t>
  </si>
  <si>
    <t>2021. után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</si>
  <si>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</si>
  <si>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</si>
  <si>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</si>
  <si>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</si>
  <si>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</si>
  <si>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</si>
  <si>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</si>
  <si>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</si>
  <si>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</si>
  <si>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Az önkormányzat által nyújtott hitel és kölcsön alakulása lejárat és eszközök szerinti bontásban</t>
  </si>
  <si>
    <t xml:space="preserve">Hitel, kölcsön </t>
  </si>
  <si>
    <t>Kölcsön-
nyújtás
éve</t>
  </si>
  <si>
    <t xml:space="preserve">Lejárat
éve </t>
  </si>
  <si>
    <t>Hitel, kölcsön állomány 2018. dec.31-én</t>
  </si>
  <si>
    <t>Hitel, kölcsön állomány december 31-én</t>
  </si>
  <si>
    <t>2020. után</t>
  </si>
  <si>
    <t xml:space="preserve">Rövid lejáratú </t>
  </si>
  <si>
    <t>Hosszú lejáratú</t>
  </si>
  <si>
    <t>Összesen (1+8)</t>
  </si>
  <si>
    <t>Adósság állomány alakulása lejárat, eszközök, bel- és külföldi hitelezők szerinti bontásban
2018. december 31-én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</si>
  <si>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</si>
  <si>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</si>
  <si>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</si>
  <si>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</si>
  <si>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</si>
  <si>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</si>
  <si>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</si>
  <si>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</si>
  <si>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</si>
  <si>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</si>
  <si>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</si>
  <si>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</si>
  <si>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</si>
  <si>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</si>
  <si>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</si>
  <si>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</si>
  <si>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</si>
  <si>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</si>
  <si>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</si>
  <si>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</si>
  <si>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</si>
  <si>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</si>
  <si>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</si>
  <si>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</si>
  <si>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Az önkormányzat által adott közvetett támogatások</t>
  </si>
  <si>
    <t>(kedvezménye)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</si>
  <si>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</si>
  <si>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</si>
  <si>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</si>
  <si>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</si>
  <si>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</si>
  <si>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</si>
  <si>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</si>
  <si>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</si>
  <si>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</si>
  <si>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</si>
  <si>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</si>
  <si>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</si>
  <si>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</si>
  <si>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</si>
  <si>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</si>
  <si>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</si>
  <si>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</si>
  <si>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</si>
  <si>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</si>
  <si>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K I M U T A T Á S</t>
  </si>
  <si>
    <t>A 2018. évi céljelleggel juttatott támogatások felhasználásáról</t>
  </si>
  <si>
    <t>Támogatott szervezet neve</t>
  </si>
  <si>
    <t>Támogatás célja</t>
  </si>
  <si>
    <t>Tervezett 
(E Ft)</t>
  </si>
  <si>
    <t>Tényleges 
(E Ft)</t>
  </si>
  <si>
    <t>Nyugdíjas Klub</t>
  </si>
  <si>
    <t>Polgárőrség</t>
  </si>
  <si>
    <t>Nőegylet</t>
  </si>
  <si>
    <t>Dalkör</t>
  </si>
  <si>
    <t>Karate Egyesület</t>
  </si>
  <si>
    <t>Rákóczi Szövetség</t>
  </si>
  <si>
    <t>Mozdulj Balaton!</t>
  </si>
  <si>
    <t>Mozdulj Világos Sportegyesület</t>
  </si>
  <si>
    <t>Balatoni futár</t>
  </si>
  <si>
    <t>VAGYONKIMUTATÁS</t>
  </si>
  <si>
    <t>a könyvviteli mérlegben értékkel szerplő eszközökről</t>
  </si>
  <si>
    <t>2018. év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</si>
  <si>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</si>
  <si>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</si>
  <si>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</si>
  <si>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</si>
  <si>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</si>
  <si>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</si>
  <si>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</si>
  <si>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</si>
  <si>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</si>
  <si>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</si>
  <si>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</si>
  <si>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</si>
  <si>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</si>
  <si>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</si>
  <si>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</si>
  <si>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</si>
  <si>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</si>
  <si>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</si>
  <si>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</si>
  <si>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</si>
  <si>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</si>
  <si>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</si>
  <si>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</si>
  <si>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</si>
  <si>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</si>
  <si>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</si>
  <si>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</si>
  <si>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</si>
  <si>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</si>
  <si>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</si>
  <si>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</si>
  <si>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</si>
  <si>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</si>
  <si>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</si>
  <si>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</si>
  <si>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</si>
  <si>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</si>
  <si>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</si>
  <si>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</si>
  <si>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</si>
  <si>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</si>
  <si>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</si>
  <si>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</si>
  <si>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</si>
  <si>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</si>
  <si>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</si>
  <si>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</si>
  <si>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</si>
  <si>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</si>
  <si>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</si>
  <si>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</si>
  <si>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</si>
  <si>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</si>
  <si>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</si>
  <si>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</si>
  <si>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</si>
  <si>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</si>
  <si>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</si>
  <si>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</si>
  <si>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</si>
  <si>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</si>
  <si>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</si>
  <si>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</si>
  <si>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</si>
  <si>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</si>
  <si>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</si>
  <si>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</si>
  <si>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</si>
  <si>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</si>
  <si>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</si>
  <si>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</si>
  <si>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</si>
  <si>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</si>
  <si>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</si>
  <si>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</si>
  <si>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</si>
  <si>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</si>
  <si>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</si>
  <si>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</si>
  <si>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</si>
  <si>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</si>
  <si>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</si>
  <si>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</si>
  <si>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</si>
  <si>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</si>
  <si>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</si>
  <si>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</si>
  <si>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</si>
  <si>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</si>
  <si>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</si>
  <si>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</si>
  <si>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</si>
  <si>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</si>
  <si>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</si>
  <si>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</si>
  <si>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</si>
  <si>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</si>
  <si>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</si>
  <si>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</si>
  <si>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</si>
  <si>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</si>
  <si>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</si>
  <si>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</si>
  <si>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</si>
  <si>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</si>
  <si>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</si>
  <si>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 ELSZÁMOLÁSOK (58+59)</t>
  </si>
  <si>
    <t>60.</t>
  </si>
  <si>
    <t>F) AKTÍV IDŐBELI ELHATÁROLÁSOK</t>
  </si>
  <si>
    <t>61.</t>
  </si>
  <si>
    <t>ESZKÖZÖK ÖSSZESEN  (45+48+53+57+60+61)</t>
  </si>
  <si>
    <t>62.</t>
  </si>
  <si>
    <t>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</si>
  <si>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</si>
  <si>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</si>
  <si>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</si>
  <si>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</si>
  <si>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</si>
  <si>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</si>
  <si>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</si>
  <si>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</si>
  <si>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</si>
  <si>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</si>
  <si>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</si>
  <si>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</si>
  <si>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</si>
  <si>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</si>
  <si>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</si>
  <si>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</si>
  <si>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az érték nélkül nyilvántartott eszkzözkről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</si>
  <si>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</si>
  <si>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</si>
  <si>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</si>
  <si>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</si>
  <si>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</si>
  <si>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</si>
  <si>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</si>
  <si>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</si>
  <si>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</si>
  <si>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</si>
  <si>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</si>
  <si>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</si>
  <si>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</si>
  <si>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</si>
  <si>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</si>
  <si>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</si>
  <si>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</si>
  <si>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</si>
  <si>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</si>
  <si>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</si>
  <si>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</si>
  <si>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</si>
  <si>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kötelezettségek és részesedések alakulása 2018-ban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</si>
  <si>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</si>
  <si>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</si>
  <si>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</si>
  <si>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</si>
  <si>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</si>
  <si>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</si>
  <si>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</si>
  <si>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t>Pénzkészlet 2018. január 1-jén
Ebből:</t>
  </si>
  <si>
    <r>
      <rPr>
        <sz val="10"/>
        <rFont val="Wingdings"/>
        <family val="0"/>
      </rPr>
      <t xml:space="preserve"> </t>
    </r>
    <r>
      <rPr>
        <sz val="10"/>
        <rFont val="Times New Roman CE"/>
        <family val="1"/>
      </rPr>
      <t>Bankszámlák egyenlege</t>
    </r>
  </si>
  <si>
    <r>
      <rPr>
        <sz val="10"/>
        <rFont val="Wingdings"/>
        <family val="0"/>
      </rP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</si>
  <si>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</si>
  <si>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</si>
  <si>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</si>
  <si>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Záró pénzkészlet 2018. december 31-én
Ebből:</t>
  </si>
  <si>
    <t>I.</t>
  </si>
  <si>
    <t>Helyi önkorm.műk. támogatása</t>
  </si>
  <si>
    <t>1.ba</t>
  </si>
  <si>
    <t xml:space="preserve">Zöldterület gondozás </t>
  </si>
  <si>
    <t xml:space="preserve">beszámítással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</si>
  <si>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</si>
  <si>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</si>
  <si>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</si>
  <si>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</si>
  <si>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</si>
  <si>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</si>
  <si>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beszámítással csökkentett támogatás összesen:</t>
  </si>
  <si>
    <t>2017. évi bérkompnezáció</t>
  </si>
  <si>
    <t>I.1.c)</t>
  </si>
  <si>
    <t>Egyéb önkormánzati feladatok</t>
  </si>
  <si>
    <t>beszámítás</t>
  </si>
  <si>
    <t>Egyéb önkormányzati fel. beszámítás után</t>
  </si>
  <si>
    <t>I.1/d)</t>
  </si>
  <si>
    <t>Lakott külterületi feladatok</t>
  </si>
  <si>
    <t>Lakott külterületi fel. beszámítás után</t>
  </si>
  <si>
    <t>I.1/e</t>
  </si>
  <si>
    <t>Üdülőhelyi feladatok</t>
  </si>
  <si>
    <t>Üdülőhelyi feladatok beszámítás után</t>
  </si>
  <si>
    <t>I.6.</t>
  </si>
  <si>
    <t>II.</t>
  </si>
  <si>
    <t>Települési önkorm. egyes köznevelési fel.tám.</t>
  </si>
  <si>
    <t>Óvoda bértámogatás 4/12</t>
  </si>
  <si>
    <t>Óvoda működési tám 8/12</t>
  </si>
  <si>
    <t>Óvoda működési tám 4/12</t>
  </si>
  <si>
    <t>Köznevelési feladatok összesen:</t>
  </si>
  <si>
    <t>III.</t>
  </si>
  <si>
    <t>Tel.önk. Szociális és egyerekjóléti fel. tám.</t>
  </si>
  <si>
    <t>Hozzájárulás a pénzbeli szoc.ell.</t>
  </si>
  <si>
    <t>Egyes szoc.alapellátások tám.</t>
  </si>
  <si>
    <t>c.</t>
  </si>
  <si>
    <t>e.</t>
  </si>
  <si>
    <t>m</t>
  </si>
  <si>
    <t>Kistelepülések szoc.felad.tám.</t>
  </si>
  <si>
    <t>Szoc. és gyerekjóléti szolg. összesen:</t>
  </si>
  <si>
    <t>Gyermekétkeztetés támogatása</t>
  </si>
  <si>
    <t>dolgozók bértámogatása</t>
  </si>
  <si>
    <t>gyermekétkeztetés üzemeltetés tám.</t>
  </si>
  <si>
    <t>gyermekétkeztetés támogatás össz.</t>
  </si>
  <si>
    <t>Államkincstár által közöl támogatás össz.</t>
  </si>
  <si>
    <t>Kiegészítő támogatások</t>
  </si>
  <si>
    <t>Szoc célú tűzifa</t>
  </si>
  <si>
    <t>Állami támogatás összesen: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</si>
</sst>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#,##0.0"/>
    <numFmt numFmtId="167" formatCode="mmm\ d/"/>
    <numFmt numFmtId="168" formatCode="#"/>
    <numFmt numFmtId="169" formatCode="00"/>
    <numFmt numFmtId="170" formatCode="#,###__;\-#,###__"/>
    <numFmt numFmtId="171" formatCode="#,###\ _F_t;\-#,###\ _F_t"/>
    <numFmt numFmtId="172" formatCode="_-* #,##0\ _F_t_-;\-* #,##0\ _F_t_-;_-* \-??\ _F_t_-;_-@_-"/>
    <numFmt numFmtId="173" formatCode="#,###__"/>
  </numFmts>
  <fonts count="101">
    <font>
      <sz val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20"/>
      <name val="Times New Roman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 CE"/>
      <family val="0"/>
    </font>
    <font>
      <b/>
      <sz val="12"/>
      <name val="Times New Roman CE"/>
      <family val="0"/>
    </font>
    <font>
      <i/>
      <sz val="11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2"/>
      <color indexed="10"/>
      <name val="Times New Roman CE"/>
      <family val="0"/>
    </font>
    <font>
      <sz val="8"/>
      <color indexed="10"/>
      <name val="Times New Roman CE"/>
      <family val="0"/>
    </font>
    <font>
      <b/>
      <sz val="10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0"/>
      <color indexed="53"/>
      <name val="Times New Roman CE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sz val="10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1"/>
      <color indexed="60"/>
      <name val="Times New Roman CE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Symbol"/>
      <family val="1"/>
    </font>
    <font>
      <sz val="7"/>
      <name val="Times New Roman CE"/>
      <family val="0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6" fillId="26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7" borderId="5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0" fillId="28" borderId="7" applyNumberFormat="0" applyFont="0" applyAlignment="0" applyProtection="0"/>
    <xf numFmtId="0" fontId="94" fillId="29" borderId="0" applyNumberFormat="0" applyBorder="0" applyAlignment="0" applyProtection="0"/>
    <xf numFmtId="0" fontId="95" fillId="30" borderId="8" applyNumberFormat="0" applyAlignment="0" applyProtection="0"/>
    <xf numFmtId="0" fontId="9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8" fillId="31" borderId="0" applyNumberFormat="0" applyBorder="0" applyAlignment="0" applyProtection="0"/>
    <xf numFmtId="0" fontId="99" fillId="32" borderId="0" applyNumberFormat="0" applyBorder="0" applyAlignment="0" applyProtection="0"/>
    <xf numFmtId="0" fontId="100" fillId="30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</cellStyleXfs>
  <cellXfs count="91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top" wrapText="1"/>
    </xf>
    <xf numFmtId="0" fontId="9" fillId="0" borderId="0" xfId="0" applyFont="1" applyAlignment="1">
      <alignment/>
    </xf>
    <xf numFmtId="0" fontId="11" fillId="0" borderId="0" xfId="52" applyNumberForma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8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59" applyFont="1" applyFill="1" applyAlignment="1" applyProtection="1">
      <alignment horizontal="right" vertical="center" indent="1"/>
      <protection/>
    </xf>
    <xf numFmtId="0" fontId="4" fillId="0" borderId="0" xfId="59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4" fillId="0" borderId="0" xfId="59" applyFont="1" applyFill="1" applyAlignment="1" applyProtection="1">
      <alignment horizontal="right" vertical="center" indent="1"/>
      <protection locked="0"/>
    </xf>
    <xf numFmtId="0" fontId="4" fillId="0" borderId="0" xfId="59" applyFill="1" applyProtection="1">
      <alignment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1" fillId="0" borderId="10" xfId="59" applyFont="1" applyFill="1" applyBorder="1" applyAlignment="1" applyProtection="1">
      <alignment horizontal="center" vertical="center" wrapText="1"/>
      <protection/>
    </xf>
    <xf numFmtId="0" fontId="21" fillId="0" borderId="11" xfId="59" applyFont="1" applyFill="1" applyBorder="1" applyAlignment="1" applyProtection="1">
      <alignment horizontal="center" vertical="center" wrapText="1"/>
      <protection/>
    </xf>
    <xf numFmtId="0" fontId="21" fillId="0" borderId="12" xfId="59" applyFont="1" applyFill="1" applyBorder="1" applyAlignment="1" applyProtection="1">
      <alignment horizontal="center" vertical="center" wrapText="1"/>
      <protection locked="0"/>
    </xf>
    <xf numFmtId="0" fontId="22" fillId="0" borderId="13" xfId="59" applyFont="1" applyFill="1" applyBorder="1" applyAlignment="1" applyProtection="1">
      <alignment horizontal="center" vertical="center" wrapText="1"/>
      <protection/>
    </xf>
    <xf numFmtId="0" fontId="22" fillId="0" borderId="14" xfId="59" applyFont="1" applyFill="1" applyBorder="1" applyAlignment="1" applyProtection="1">
      <alignment horizontal="center" vertical="center" wrapText="1"/>
      <protection/>
    </xf>
    <xf numFmtId="0" fontId="22" fillId="0" borderId="15" xfId="59" applyFont="1" applyFill="1" applyBorder="1" applyAlignment="1" applyProtection="1">
      <alignment horizontal="center" vertical="center" wrapText="1"/>
      <protection/>
    </xf>
    <xf numFmtId="0" fontId="23" fillId="0" borderId="0" xfId="59" applyFont="1" applyFill="1" applyProtection="1">
      <alignment/>
      <protection/>
    </xf>
    <xf numFmtId="0" fontId="22" fillId="0" borderId="16" xfId="59" applyFont="1" applyFill="1" applyBorder="1" applyAlignment="1" applyProtection="1">
      <alignment horizontal="left" vertical="center" wrapText="1" indent="1"/>
      <protection/>
    </xf>
    <xf numFmtId="0" fontId="22" fillId="0" borderId="17" xfId="59" applyFont="1" applyFill="1" applyBorder="1" applyAlignment="1" applyProtection="1">
      <alignment horizontal="left" vertical="center" wrapText="1" indent="1"/>
      <protection/>
    </xf>
    <xf numFmtId="165" fontId="22" fillId="0" borderId="17" xfId="59" applyNumberFormat="1" applyFont="1" applyFill="1" applyBorder="1" applyAlignment="1" applyProtection="1">
      <alignment horizontal="right" vertical="center" wrapText="1" indent="1"/>
      <protection/>
    </xf>
    <xf numFmtId="165" fontId="22" fillId="0" borderId="18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Protection="1">
      <alignment/>
      <protection/>
    </xf>
    <xf numFmtId="49" fontId="23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24" fillId="0" borderId="20" xfId="0" applyFont="1" applyBorder="1" applyAlignment="1" applyProtection="1">
      <alignment horizontal="left" wrapText="1" indent="1"/>
      <protection/>
    </xf>
    <xf numFmtId="165" fontId="23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3" xfId="59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0" applyFont="1" applyBorder="1" applyAlignment="1" applyProtection="1">
      <alignment horizontal="left" wrapText="1" indent="1"/>
      <protection/>
    </xf>
    <xf numFmtId="0" fontId="24" fillId="0" borderId="24" xfId="0" applyFont="1" applyBorder="1" applyAlignment="1" applyProtection="1">
      <alignment horizontal="left" vertical="center" wrapText="1" indent="1"/>
      <protection/>
    </xf>
    <xf numFmtId="49" fontId="23" fillId="0" borderId="25" xfId="59" applyNumberFormat="1" applyFont="1" applyFill="1" applyBorder="1" applyAlignment="1" applyProtection="1">
      <alignment horizontal="left" vertical="center" wrapText="1" indent="1"/>
      <protection/>
    </xf>
    <xf numFmtId="0" fontId="24" fillId="0" borderId="26" xfId="0" applyFont="1" applyBorder="1" applyAlignment="1" applyProtection="1">
      <alignment horizontal="left" vertical="center" wrapText="1" indent="1"/>
      <protection/>
    </xf>
    <xf numFmtId="165" fontId="23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Border="1" applyAlignment="1" applyProtection="1">
      <alignment horizontal="left" vertical="center" wrapText="1" indent="1"/>
      <protection/>
    </xf>
    <xf numFmtId="165" fontId="23" fillId="0" borderId="20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4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6" xfId="0" applyFont="1" applyBorder="1" applyAlignment="1" applyProtection="1">
      <alignment horizontal="left" wrapText="1" indent="1"/>
      <protection/>
    </xf>
    <xf numFmtId="165" fontId="22" fillId="0" borderId="17" xfId="59" applyNumberFormat="1" applyFont="1" applyFill="1" applyBorder="1" applyAlignment="1" applyProtection="1">
      <alignment horizontal="right" vertical="center" wrapText="1" indent="1"/>
      <protection/>
    </xf>
    <xf numFmtId="165" fontId="22" fillId="0" borderId="18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26" xfId="0" applyFont="1" applyBorder="1" applyAlignment="1" applyProtection="1">
      <alignment horizontal="left" indent="1"/>
      <protection/>
    </xf>
    <xf numFmtId="165" fontId="23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0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4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6" xfId="59" applyFont="1" applyFill="1" applyBorder="1" applyAlignment="1" applyProtection="1">
      <alignment horizontal="left" vertical="center" wrapText="1"/>
      <protection/>
    </xf>
    <xf numFmtId="0" fontId="25" fillId="0" borderId="16" xfId="0" applyFont="1" applyBorder="1" applyAlignment="1" applyProtection="1">
      <alignment vertical="center" wrapText="1"/>
      <protection/>
    </xf>
    <xf numFmtId="0" fontId="24" fillId="0" borderId="26" xfId="0" applyFont="1" applyBorder="1" applyAlignment="1" applyProtection="1">
      <alignment vertical="center" wrapText="1"/>
      <protection/>
    </xf>
    <xf numFmtId="0" fontId="24" fillId="0" borderId="20" xfId="0" applyFont="1" applyBorder="1" applyAlignment="1">
      <alignment horizontal="left" wrapText="1" indent="1"/>
    </xf>
    <xf numFmtId="0" fontId="24" fillId="0" borderId="31" xfId="0" applyFont="1" applyBorder="1" applyAlignment="1">
      <alignment horizontal="left" vertical="center" wrapText="1" indent="1"/>
    </xf>
    <xf numFmtId="165" fontId="23" fillId="35" borderId="22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0" applyFont="1" applyBorder="1" applyAlignment="1" applyProtection="1">
      <alignment wrapText="1"/>
      <protection/>
    </xf>
    <xf numFmtId="0" fontId="24" fillId="0" borderId="23" xfId="0" applyFont="1" applyBorder="1" applyAlignment="1" applyProtection="1">
      <alignment wrapText="1"/>
      <protection/>
    </xf>
    <xf numFmtId="0" fontId="24" fillId="0" borderId="25" xfId="0" applyFont="1" applyBorder="1" applyAlignment="1" applyProtection="1">
      <alignment wrapText="1"/>
      <protection/>
    </xf>
    <xf numFmtId="165" fontId="22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Border="1" applyAlignment="1" applyProtection="1">
      <alignment wrapText="1"/>
      <protection/>
    </xf>
    <xf numFmtId="0" fontId="25" fillId="0" borderId="32" xfId="0" applyFont="1" applyBorder="1" applyAlignment="1" applyProtection="1">
      <alignment vertical="center" wrapText="1"/>
      <protection/>
    </xf>
    <xf numFmtId="0" fontId="25" fillId="0" borderId="33" xfId="0" applyFont="1" applyBorder="1" applyAlignment="1" applyProtection="1">
      <alignment wrapText="1"/>
      <protection/>
    </xf>
    <xf numFmtId="0" fontId="12" fillId="0" borderId="0" xfId="59" applyFont="1" applyFill="1" applyBorder="1" applyAlignment="1" applyProtection="1">
      <alignment horizontal="center" vertical="center" wrapText="1"/>
      <protection/>
    </xf>
    <xf numFmtId="0" fontId="12" fillId="0" borderId="0" xfId="59" applyFont="1" applyFill="1" applyBorder="1" applyAlignment="1" applyProtection="1">
      <alignment vertical="center" wrapText="1"/>
      <protection/>
    </xf>
    <xf numFmtId="165" fontId="12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20" fillId="0" borderId="34" xfId="0" applyFont="1" applyFill="1" applyBorder="1" applyAlignment="1" applyProtection="1">
      <alignment horizontal="right"/>
      <protection/>
    </xf>
    <xf numFmtId="0" fontId="4" fillId="0" borderId="0" xfId="59" applyFill="1" applyAlignment="1" applyProtection="1">
      <alignment/>
      <protection/>
    </xf>
    <xf numFmtId="0" fontId="22" fillId="0" borderId="16" xfId="59" applyFont="1" applyFill="1" applyBorder="1" applyAlignment="1" applyProtection="1">
      <alignment horizontal="center" vertical="center" wrapText="1"/>
      <protection/>
    </xf>
    <xf numFmtId="0" fontId="22" fillId="0" borderId="17" xfId="59" applyFont="1" applyFill="1" applyBorder="1" applyAlignment="1" applyProtection="1">
      <alignment horizontal="center" vertical="center" wrapText="1"/>
      <protection/>
    </xf>
    <xf numFmtId="0" fontId="22" fillId="0" borderId="35" xfId="59" applyFont="1" applyFill="1" applyBorder="1" applyAlignment="1" applyProtection="1">
      <alignment horizontal="center" vertical="center" wrapText="1"/>
      <protection/>
    </xf>
    <xf numFmtId="0" fontId="22" fillId="0" borderId="13" xfId="59" applyFont="1" applyFill="1" applyBorder="1" applyAlignment="1" applyProtection="1">
      <alignment horizontal="left" vertical="center" wrapText="1" indent="1"/>
      <protection/>
    </xf>
    <xf numFmtId="0" fontId="22" fillId="0" borderId="14" xfId="59" applyFont="1" applyFill="1" applyBorder="1" applyAlignment="1" applyProtection="1">
      <alignment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 indent="1"/>
      <protection/>
    </xf>
    <xf numFmtId="165" fontId="22" fillId="0" borderId="36" xfId="59" applyNumberFormat="1" applyFont="1" applyFill="1" applyBorder="1" applyAlignment="1" applyProtection="1">
      <alignment horizontal="right" vertical="center" wrapText="1" indent="1"/>
      <protection/>
    </xf>
    <xf numFmtId="49" fontId="23" fillId="0" borderId="37" xfId="59" applyNumberFormat="1" applyFont="1" applyFill="1" applyBorder="1" applyAlignment="1" applyProtection="1">
      <alignment horizontal="left" vertical="center" wrapText="1" indent="1"/>
      <protection/>
    </xf>
    <xf numFmtId="0" fontId="23" fillId="0" borderId="38" xfId="59" applyFont="1" applyFill="1" applyBorder="1" applyAlignment="1" applyProtection="1">
      <alignment horizontal="left" vertical="center" wrapText="1" indent="1"/>
      <protection/>
    </xf>
    <xf numFmtId="165" fontId="23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4" xfId="59" applyFont="1" applyFill="1" applyBorder="1" applyAlignment="1" applyProtection="1">
      <alignment horizontal="left" vertical="center" wrapText="1" indent="1"/>
      <protection/>
    </xf>
    <xf numFmtId="0" fontId="23" fillId="0" borderId="41" xfId="59" applyFont="1" applyFill="1" applyBorder="1" applyAlignment="1" applyProtection="1">
      <alignment horizontal="left" vertical="center" wrapText="1" indent="1"/>
      <protection/>
    </xf>
    <xf numFmtId="0" fontId="23" fillId="0" borderId="0" xfId="59" applyFont="1" applyFill="1" applyBorder="1" applyAlignment="1" applyProtection="1">
      <alignment horizontal="left" vertical="center" wrapText="1" indent="1"/>
      <protection/>
    </xf>
    <xf numFmtId="0" fontId="23" fillId="0" borderId="26" xfId="59" applyFont="1" applyFill="1" applyBorder="1" applyAlignment="1" applyProtection="1">
      <alignment horizontal="left" vertical="center" wrapText="1" indent="6"/>
      <protection/>
    </xf>
    <xf numFmtId="0" fontId="23" fillId="0" borderId="24" xfId="59" applyFont="1" applyFill="1" applyBorder="1" applyAlignment="1" applyProtection="1">
      <alignment horizontal="left" indent="6"/>
      <protection/>
    </xf>
    <xf numFmtId="0" fontId="23" fillId="0" borderId="24" xfId="59" applyFont="1" applyFill="1" applyBorder="1" applyAlignment="1" applyProtection="1">
      <alignment horizontal="left" vertical="center" wrapText="1" indent="6"/>
      <protection/>
    </xf>
    <xf numFmtId="49" fontId="23" fillId="0" borderId="42" xfId="59" applyNumberFormat="1" applyFont="1" applyFill="1" applyBorder="1" applyAlignment="1" applyProtection="1">
      <alignment horizontal="left" vertical="center" wrapText="1" indent="1"/>
      <protection/>
    </xf>
    <xf numFmtId="49" fontId="23" fillId="0" borderId="43" xfId="59" applyNumberFormat="1" applyFont="1" applyFill="1" applyBorder="1" applyAlignment="1" applyProtection="1">
      <alignment horizontal="left" vertical="center" wrapText="1" indent="1"/>
      <protection/>
    </xf>
    <xf numFmtId="0" fontId="23" fillId="0" borderId="11" xfId="59" applyFont="1" applyFill="1" applyBorder="1" applyAlignment="1" applyProtection="1">
      <alignment horizontal="left" vertical="center" wrapText="1" indent="7"/>
      <protection/>
    </xf>
    <xf numFmtId="165" fontId="23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2" xfId="59" applyFont="1" applyFill="1" applyBorder="1" applyAlignment="1" applyProtection="1">
      <alignment horizontal="left" vertical="center" wrapText="1" indent="1"/>
      <protection/>
    </xf>
    <xf numFmtId="0" fontId="22" fillId="0" borderId="33" xfId="59" applyFont="1" applyFill="1" applyBorder="1" applyAlignment="1" applyProtection="1">
      <alignment vertical="center" wrapText="1"/>
      <protection/>
    </xf>
    <xf numFmtId="165" fontId="22" fillId="0" borderId="33" xfId="59" applyNumberFormat="1" applyFont="1" applyFill="1" applyBorder="1" applyAlignment="1" applyProtection="1">
      <alignment horizontal="right" vertical="center" wrapText="1" indent="1"/>
      <protection/>
    </xf>
    <xf numFmtId="165" fontId="22" fillId="0" borderId="45" xfId="59" applyNumberFormat="1" applyFont="1" applyFill="1" applyBorder="1" applyAlignment="1" applyProtection="1">
      <alignment horizontal="right" vertical="center" wrapText="1" indent="1"/>
      <protection/>
    </xf>
    <xf numFmtId="0" fontId="23" fillId="0" borderId="26" xfId="59" applyFont="1" applyFill="1" applyBorder="1" applyAlignment="1" applyProtection="1">
      <alignment horizontal="left" vertical="center" wrapText="1" indent="1"/>
      <protection/>
    </xf>
    <xf numFmtId="0" fontId="23" fillId="0" borderId="20" xfId="59" applyFont="1" applyFill="1" applyBorder="1" applyAlignment="1" applyProtection="1">
      <alignment horizontal="left" vertical="center" wrapText="1" indent="6"/>
      <protection/>
    </xf>
    <xf numFmtId="0" fontId="22" fillId="0" borderId="17" xfId="59" applyFont="1" applyFill="1" applyBorder="1" applyAlignment="1" applyProtection="1">
      <alignment horizontal="left" vertical="center" wrapText="1" indent="1"/>
      <protection/>
    </xf>
    <xf numFmtId="165" fontId="22" fillId="0" borderId="35" xfId="59" applyNumberFormat="1" applyFont="1" applyFill="1" applyBorder="1" applyAlignment="1" applyProtection="1">
      <alignment horizontal="right" vertical="center" wrapText="1" indent="1"/>
      <protection/>
    </xf>
    <xf numFmtId="165" fontId="23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0" xfId="59" applyFont="1" applyFill="1" applyBorder="1" applyAlignment="1" applyProtection="1">
      <alignment horizontal="left" vertical="center" wrapText="1" indent="1"/>
      <protection/>
    </xf>
    <xf numFmtId="0" fontId="23" fillId="0" borderId="11" xfId="59" applyFont="1" applyFill="1" applyBorder="1" applyAlignment="1" applyProtection="1">
      <alignment horizontal="left" vertical="center" wrapText="1" indent="1"/>
      <protection/>
    </xf>
    <xf numFmtId="165" fontId="2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35" xfId="59" applyNumberFormat="1" applyFont="1" applyFill="1" applyBorder="1" applyAlignment="1" applyProtection="1">
      <alignment horizontal="right" vertical="center" wrapText="1" indent="1"/>
      <protection/>
    </xf>
    <xf numFmtId="0" fontId="23" fillId="0" borderId="31" xfId="59" applyFont="1" applyFill="1" applyBorder="1" applyAlignment="1" applyProtection="1">
      <alignment horizontal="left" vertical="center" wrapText="1" indent="1"/>
      <protection/>
    </xf>
    <xf numFmtId="165" fontId="25" fillId="0" borderId="17" xfId="0" applyNumberFormat="1" applyFont="1" applyBorder="1" applyAlignment="1" applyProtection="1">
      <alignment horizontal="right" vertical="center" wrapText="1" indent="1"/>
      <protection/>
    </xf>
    <xf numFmtId="165" fontId="25" fillId="0" borderId="35" xfId="0" applyNumberFormat="1" applyFont="1" applyBorder="1" applyAlignment="1" applyProtection="1">
      <alignment horizontal="right" vertical="center" wrapText="1" indent="1"/>
      <protection/>
    </xf>
    <xf numFmtId="165" fontId="25" fillId="0" borderId="18" xfId="0" applyNumberFormat="1" applyFont="1" applyBorder="1" applyAlignment="1" applyProtection="1">
      <alignment horizontal="right" vertical="center" wrapText="1" indent="1"/>
      <protection/>
    </xf>
    <xf numFmtId="165" fontId="25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25" fillId="0" borderId="35" xfId="0" applyNumberFormat="1" applyFont="1" applyBorder="1" applyAlignment="1" applyProtection="1">
      <alignment horizontal="right" vertical="center" wrapText="1" indent="1"/>
      <protection locked="0"/>
    </xf>
    <xf numFmtId="165" fontId="25" fillId="0" borderId="18" xfId="0" applyNumberFormat="1" applyFont="1" applyBorder="1" applyAlignment="1" applyProtection="1">
      <alignment horizontal="right" vertical="center" wrapText="1" indent="1"/>
      <protection locked="0"/>
    </xf>
    <xf numFmtId="165" fontId="26" fillId="0" borderId="17" xfId="0" applyNumberFormat="1" applyFont="1" applyBorder="1" applyAlignment="1" applyProtection="1">
      <alignment horizontal="right" vertical="center" wrapText="1" indent="1"/>
      <protection/>
    </xf>
    <xf numFmtId="165" fontId="26" fillId="0" borderId="35" xfId="0" applyNumberFormat="1" applyFont="1" applyBorder="1" applyAlignment="1" applyProtection="1">
      <alignment horizontal="right" vertical="center" wrapText="1" indent="1"/>
      <protection/>
    </xf>
    <xf numFmtId="165" fontId="26" fillId="0" borderId="18" xfId="0" applyNumberFormat="1" applyFont="1" applyBorder="1" applyAlignment="1" applyProtection="1">
      <alignment horizontal="right" vertical="center" wrapText="1" indent="1"/>
      <protection/>
    </xf>
    <xf numFmtId="0" fontId="27" fillId="0" borderId="0" xfId="59" applyFont="1" applyFill="1" applyProtection="1">
      <alignment/>
      <protection/>
    </xf>
    <xf numFmtId="0" fontId="12" fillId="0" borderId="0" xfId="59" applyFont="1" applyFill="1" applyProtection="1">
      <alignment/>
      <protection/>
    </xf>
    <xf numFmtId="0" fontId="25" fillId="0" borderId="32" xfId="0" applyFont="1" applyBorder="1" applyAlignment="1" applyProtection="1">
      <alignment horizontal="left" vertical="center" wrapText="1" indent="1"/>
      <protection/>
    </xf>
    <xf numFmtId="0" fontId="26" fillId="0" borderId="33" xfId="0" applyFont="1" applyBorder="1" applyAlignment="1" applyProtection="1">
      <alignment horizontal="left" vertical="center" wrapText="1" indent="1"/>
      <protection/>
    </xf>
    <xf numFmtId="164" fontId="1" fillId="0" borderId="0" xfId="46" applyFill="1" applyBorder="1" applyAlignment="1" applyProtection="1">
      <alignment/>
      <protection/>
    </xf>
    <xf numFmtId="165" fontId="28" fillId="0" borderId="0" xfId="59" applyNumberFormat="1" applyFont="1" applyFill="1" applyAlignment="1" applyProtection="1">
      <alignment horizontal="right" vertical="center" indent="1"/>
      <protection/>
    </xf>
    <xf numFmtId="0" fontId="20" fillId="0" borderId="34" xfId="0" applyFont="1" applyFill="1" applyBorder="1" applyAlignment="1" applyProtection="1">
      <alignment horizontal="right" vertical="center"/>
      <protection/>
    </xf>
    <xf numFmtId="0" fontId="22" fillId="0" borderId="17" xfId="59" applyFont="1" applyFill="1" applyBorder="1" applyAlignment="1" applyProtection="1">
      <alignment vertical="center" wrapText="1"/>
      <protection/>
    </xf>
    <xf numFmtId="165" fontId="22" fillId="0" borderId="46" xfId="59" applyNumberFormat="1" applyFont="1" applyFill="1" applyBorder="1" applyAlignment="1" applyProtection="1">
      <alignment horizontal="right" vertical="center" wrapText="1" indent="1"/>
      <protection/>
    </xf>
    <xf numFmtId="165" fontId="23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0" xfId="59" applyNumberFormat="1" applyFill="1" applyProtection="1">
      <alignment/>
      <protection/>
    </xf>
    <xf numFmtId="165" fontId="23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0" fillId="0" borderId="0" xfId="0" applyNumberFormat="1" applyFill="1" applyAlignment="1" applyProtection="1">
      <alignment vertical="center" wrapText="1"/>
      <protection locked="0"/>
    </xf>
    <xf numFmtId="165" fontId="0" fillId="0" borderId="0" xfId="0" applyNumberFormat="1" applyFill="1" applyAlignment="1" applyProtection="1">
      <alignment horizontal="center" vertical="center" wrapText="1"/>
      <protection locked="0"/>
    </xf>
    <xf numFmtId="165" fontId="20" fillId="0" borderId="0" xfId="0" applyNumberFormat="1" applyFont="1" applyFill="1" applyAlignment="1" applyProtection="1">
      <alignment horizontal="right" vertical="center"/>
      <protection locked="0"/>
    </xf>
    <xf numFmtId="165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49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35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30" fillId="0" borderId="0" xfId="0" applyNumberFormat="1" applyFont="1" applyFill="1" applyAlignment="1" applyProtection="1">
      <alignment horizontal="center" vertical="center" wrapText="1"/>
      <protection/>
    </xf>
    <xf numFmtId="165" fontId="22" fillId="0" borderId="49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5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52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22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42" xfId="0" applyNumberFormat="1" applyFont="1" applyFill="1" applyBorder="1" applyAlignment="1" applyProtection="1">
      <alignment horizontal="left" vertical="center" wrapText="1" indent="1"/>
      <protection/>
    </xf>
    <xf numFmtId="165" fontId="31" fillId="0" borderId="31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35" xfId="0" applyNumberFormat="1" applyFont="1" applyFill="1" applyBorder="1" applyAlignment="1" applyProtection="1">
      <alignment horizontal="right" vertical="center" wrapText="1" indent="1"/>
      <protection/>
    </xf>
    <xf numFmtId="165" fontId="30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21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23" xfId="0" applyNumberFormat="1" applyFont="1" applyFill="1" applyBorder="1" applyAlignment="1" applyProtection="1">
      <alignment horizontal="left" vertical="center" wrapText="1" indent="6"/>
      <protection locked="0"/>
    </xf>
    <xf numFmtId="165" fontId="23" fillId="0" borderId="23" xfId="0" applyNumberFormat="1" applyFont="1" applyFill="1" applyBorder="1" applyAlignment="1" applyProtection="1">
      <alignment horizontal="left" vertical="center" wrapText="1" indent="6"/>
      <protection locked="0"/>
    </xf>
    <xf numFmtId="165" fontId="23" fillId="0" borderId="23" xfId="0" applyNumberFormat="1" applyFont="1" applyFill="1" applyBorder="1" applyAlignment="1" applyProtection="1">
      <alignment horizontal="left" vertical="center" wrapText="1" indent="3"/>
      <protection locked="0"/>
    </xf>
    <xf numFmtId="165" fontId="2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2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42" xfId="0" applyNumberFormat="1" applyFont="1" applyFill="1" applyBorder="1" applyAlignment="1" applyProtection="1">
      <alignment horizontal="left" vertical="center" wrapText="1" indent="1"/>
      <protection/>
    </xf>
    <xf numFmtId="165" fontId="31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3" xfId="0" applyNumberFormat="1" applyFont="1" applyFill="1" applyBorder="1" applyAlignment="1" applyProtection="1">
      <alignment horizontal="left" vertical="center" wrapText="1" indent="2"/>
      <protection/>
    </xf>
    <xf numFmtId="165" fontId="23" fillId="0" borderId="24" xfId="0" applyNumberFormat="1" applyFont="1" applyFill="1" applyBorder="1" applyAlignment="1" applyProtection="1">
      <alignment horizontal="left" vertical="center" wrapText="1" indent="2"/>
      <protection/>
    </xf>
    <xf numFmtId="165" fontId="31" fillId="0" borderId="24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23" fillId="0" borderId="25" xfId="0" applyNumberFormat="1" applyFont="1" applyFill="1" applyBorder="1" applyAlignment="1" applyProtection="1">
      <alignment horizontal="left" vertical="center" wrapText="1" indent="2"/>
      <protection/>
    </xf>
    <xf numFmtId="0" fontId="27" fillId="0" borderId="0" xfId="0" applyFont="1" applyAlignment="1" applyProtection="1">
      <alignment horizontal="center"/>
      <protection/>
    </xf>
    <xf numFmtId="3" fontId="16" fillId="0" borderId="0" xfId="0" applyNumberFormat="1" applyFont="1" applyFill="1" applyAlignment="1" applyProtection="1">
      <alignment horizontal="right" indent="1"/>
      <protection/>
    </xf>
    <xf numFmtId="0" fontId="16" fillId="0" borderId="0" xfId="0" applyFont="1" applyFill="1" applyAlignment="1" applyProtection="1">
      <alignment horizontal="right" indent="1"/>
      <protection/>
    </xf>
    <xf numFmtId="3" fontId="21" fillId="0" borderId="0" xfId="0" applyNumberFormat="1" applyFont="1" applyFill="1" applyAlignment="1" applyProtection="1">
      <alignment horizontal="right" indent="1"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20" fillId="0" borderId="0" xfId="0" applyNumberFormat="1" applyFont="1" applyFill="1" applyAlignment="1" applyProtection="1">
      <alignment horizontal="right" wrapText="1"/>
      <protection/>
    </xf>
    <xf numFmtId="165" fontId="21" fillId="0" borderId="16" xfId="0" applyNumberFormat="1" applyFont="1" applyFill="1" applyBorder="1" applyAlignment="1" applyProtection="1">
      <alignment horizontal="center" vertical="center" wrapText="1"/>
      <protection/>
    </xf>
    <xf numFmtId="165" fontId="21" fillId="0" borderId="17" xfId="0" applyNumberFormat="1" applyFont="1" applyFill="1" applyBorder="1" applyAlignment="1" applyProtection="1">
      <alignment horizontal="center" vertical="center" wrapText="1"/>
      <protection/>
    </xf>
    <xf numFmtId="165" fontId="21" fillId="0" borderId="58" xfId="0" applyNumberFormat="1" applyFont="1" applyFill="1" applyBorder="1" applyAlignment="1" applyProtection="1">
      <alignment horizontal="center" vertical="center" wrapText="1"/>
      <protection/>
    </xf>
    <xf numFmtId="165" fontId="30" fillId="0" borderId="0" xfId="0" applyNumberFormat="1" applyFont="1" applyFill="1" applyAlignment="1">
      <alignment horizontal="center" vertical="center" wrapText="1"/>
    </xf>
    <xf numFmtId="165" fontId="22" fillId="0" borderId="32" xfId="0" applyNumberFormat="1" applyFont="1" applyFill="1" applyBorder="1" applyAlignment="1" applyProtection="1">
      <alignment horizontal="center" vertical="center" wrapText="1"/>
      <protection/>
    </xf>
    <xf numFmtId="165" fontId="22" fillId="0" borderId="33" xfId="0" applyNumberFormat="1" applyFont="1" applyFill="1" applyBorder="1" applyAlignment="1" applyProtection="1">
      <alignment horizontal="center" vertical="center" wrapText="1"/>
      <protection/>
    </xf>
    <xf numFmtId="165" fontId="22" fillId="0" borderId="59" xfId="0" applyNumberFormat="1" applyFont="1" applyFill="1" applyBorder="1" applyAlignment="1" applyProtection="1">
      <alignment horizontal="center" vertical="center" wrapText="1"/>
      <protection/>
    </xf>
    <xf numFmtId="165" fontId="23" fillId="0" borderId="23" xfId="0" applyNumberFormat="1" applyFont="1" applyFill="1" applyBorder="1" applyAlignment="1" applyProtection="1">
      <alignment horizontal="left" vertical="center" wrapText="1"/>
      <protection locked="0"/>
    </xf>
    <xf numFmtId="165" fontId="23" fillId="0" borderId="24" xfId="0" applyNumberFormat="1" applyFont="1" applyFill="1" applyBorder="1" applyAlignment="1" applyProtection="1">
      <alignment vertical="center" wrapText="1"/>
      <protection locked="0"/>
    </xf>
    <xf numFmtId="49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22" xfId="0" applyNumberFormat="1" applyFont="1" applyFill="1" applyBorder="1" applyAlignment="1" applyProtection="1">
      <alignment vertical="center" wrapText="1"/>
      <protection/>
    </xf>
    <xf numFmtId="165" fontId="0" fillId="0" borderId="42" xfId="0" applyNumberFormat="1" applyFont="1" applyFill="1" applyBorder="1" applyAlignment="1" applyProtection="1">
      <alignment horizontal="left" vertical="center" wrapText="1"/>
      <protection locked="0"/>
    </xf>
    <xf numFmtId="165" fontId="23" fillId="0" borderId="24" xfId="0" applyNumberFormat="1" applyFont="1" applyFill="1" applyBorder="1" applyAlignment="1" applyProtection="1">
      <alignment horizontal="left" vertical="center" wrapText="1"/>
      <protection locked="0"/>
    </xf>
    <xf numFmtId="165" fontId="23" fillId="0" borderId="24" xfId="0" applyNumberFormat="1" applyFont="1" applyFill="1" applyBorder="1" applyAlignment="1" applyProtection="1">
      <alignment vertical="center" wrapText="1"/>
      <protection/>
    </xf>
    <xf numFmtId="165" fontId="23" fillId="0" borderId="41" xfId="0" applyNumberFormat="1" applyFont="1" applyFill="1" applyBorder="1" applyAlignment="1" applyProtection="1">
      <alignment horizontal="left" vertical="center" wrapText="1"/>
      <protection locked="0"/>
    </xf>
    <xf numFmtId="165" fontId="23" fillId="0" borderId="53" xfId="0" applyNumberFormat="1" applyFont="1" applyFill="1" applyBorder="1" applyAlignment="1" applyProtection="1">
      <alignment vertical="center" wrapText="1"/>
      <protection/>
    </xf>
    <xf numFmtId="165" fontId="30" fillId="0" borderId="0" xfId="0" applyNumberFormat="1" applyFont="1" applyFill="1" applyAlignment="1">
      <alignment vertical="center" wrapText="1"/>
    </xf>
    <xf numFmtId="165" fontId="33" fillId="0" borderId="0" xfId="0" applyNumberFormat="1" applyFont="1" applyFill="1" applyAlignment="1">
      <alignment vertical="center" wrapText="1"/>
    </xf>
    <xf numFmtId="165" fontId="21" fillId="0" borderId="32" xfId="0" applyNumberFormat="1" applyFont="1" applyFill="1" applyBorder="1" applyAlignment="1" applyProtection="1">
      <alignment horizontal="left" vertical="center" wrapText="1"/>
      <protection/>
    </xf>
    <xf numFmtId="165" fontId="22" fillId="0" borderId="33" xfId="0" applyNumberFormat="1" applyFont="1" applyFill="1" applyBorder="1" applyAlignment="1" applyProtection="1">
      <alignment vertical="center" wrapText="1"/>
      <protection/>
    </xf>
    <xf numFmtId="165" fontId="22" fillId="36" borderId="33" xfId="0" applyNumberFormat="1" applyFont="1" applyFill="1" applyBorder="1" applyAlignment="1" applyProtection="1">
      <alignment vertical="center" wrapText="1"/>
      <protection/>
    </xf>
    <xf numFmtId="165" fontId="22" fillId="0" borderId="59" xfId="0" applyNumberFormat="1" applyFont="1" applyFill="1" applyBorder="1" applyAlignment="1" applyProtection="1">
      <alignment vertical="center" wrapText="1"/>
      <protection/>
    </xf>
    <xf numFmtId="165" fontId="21" fillId="0" borderId="58" xfId="0" applyNumberFormat="1" applyFont="1" applyFill="1" applyBorder="1" applyAlignment="1" applyProtection="1">
      <alignment horizontal="center" wrapText="1"/>
      <protection/>
    </xf>
    <xf numFmtId="165" fontId="22" fillId="0" borderId="59" xfId="0" applyNumberFormat="1" applyFont="1" applyFill="1" applyBorder="1" applyAlignment="1" applyProtection="1">
      <alignment horizontal="center" vertical="center" wrapText="1"/>
      <protection/>
    </xf>
    <xf numFmtId="165" fontId="16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24" xfId="0" applyNumberFormat="1" applyFont="1" applyFill="1" applyBorder="1" applyAlignment="1" applyProtection="1">
      <alignment vertical="center" wrapTex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22" xfId="0" applyNumberFormat="1" applyFont="1" applyFill="1" applyBorder="1" applyAlignment="1" applyProtection="1">
      <alignment vertical="center" wrapText="1"/>
      <protection/>
    </xf>
    <xf numFmtId="165" fontId="1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26" xfId="0" applyNumberFormat="1" applyFont="1" applyFill="1" applyBorder="1" applyAlignment="1" applyProtection="1">
      <alignment vertical="center" wrapText="1"/>
      <protection locked="0"/>
    </xf>
    <xf numFmtId="49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29" xfId="0" applyNumberFormat="1" applyFont="1" applyFill="1" applyBorder="1" applyAlignment="1" applyProtection="1">
      <alignment vertical="center" wrapText="1"/>
      <protection/>
    </xf>
    <xf numFmtId="165" fontId="21" fillId="0" borderId="16" xfId="0" applyNumberFormat="1" applyFont="1" applyFill="1" applyBorder="1" applyAlignment="1" applyProtection="1">
      <alignment horizontal="left" vertical="center" wrapText="1"/>
      <protection/>
    </xf>
    <xf numFmtId="165" fontId="21" fillId="0" borderId="17" xfId="0" applyNumberFormat="1" applyFont="1" applyFill="1" applyBorder="1" applyAlignment="1" applyProtection="1">
      <alignment vertical="center" wrapText="1"/>
      <protection/>
    </xf>
    <xf numFmtId="165" fontId="21" fillId="36" borderId="17" xfId="0" applyNumberFormat="1" applyFont="1" applyFill="1" applyBorder="1" applyAlignment="1" applyProtection="1">
      <alignment vertical="center" wrapText="1"/>
      <protection/>
    </xf>
    <xf numFmtId="165" fontId="21" fillId="0" borderId="58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165" fontId="13" fillId="0" borderId="0" xfId="0" applyNumberFormat="1" applyFont="1" applyFill="1" applyAlignment="1" applyProtection="1">
      <alignment vertical="center" wrapText="1"/>
      <protection locked="0"/>
    </xf>
    <xf numFmtId="165" fontId="22" fillId="0" borderId="49" xfId="0" applyNumberFormat="1" applyFont="1" applyFill="1" applyBorder="1" applyAlignment="1">
      <alignment horizontal="center" vertical="center"/>
    </xf>
    <xf numFmtId="165" fontId="22" fillId="0" borderId="49" xfId="0" applyNumberFormat="1" applyFont="1" applyFill="1" applyBorder="1" applyAlignment="1">
      <alignment horizontal="center" vertical="center" wrapText="1"/>
    </xf>
    <xf numFmtId="165" fontId="22" fillId="0" borderId="49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49" xfId="0" applyNumberFormat="1" applyFont="1" applyFill="1" applyBorder="1" applyAlignment="1" applyProtection="1">
      <alignment horizontal="center" vertical="center"/>
      <protection locked="0"/>
    </xf>
    <xf numFmtId="165" fontId="22" fillId="0" borderId="60" xfId="0" applyNumberFormat="1" applyFont="1" applyFill="1" applyBorder="1" applyAlignment="1">
      <alignment horizontal="center" vertical="center"/>
    </xf>
    <xf numFmtId="165" fontId="22" fillId="0" borderId="61" xfId="0" applyNumberFormat="1" applyFont="1" applyFill="1" applyBorder="1" applyAlignment="1">
      <alignment horizontal="center" vertical="center"/>
    </xf>
    <xf numFmtId="165" fontId="22" fillId="0" borderId="61" xfId="0" applyNumberFormat="1" applyFont="1" applyFill="1" applyBorder="1" applyAlignment="1">
      <alignment horizontal="center" vertical="center" wrapText="1"/>
    </xf>
    <xf numFmtId="49" fontId="23" fillId="0" borderId="62" xfId="0" applyNumberFormat="1" applyFont="1" applyFill="1" applyBorder="1" applyAlignment="1">
      <alignment horizontal="left" vertical="center"/>
    </xf>
    <xf numFmtId="3" fontId="34" fillId="0" borderId="63" xfId="0" applyNumberFormat="1" applyFont="1" applyFill="1" applyBorder="1" applyAlignment="1" applyProtection="1">
      <alignment horizontal="right" vertical="center"/>
      <protection locked="0"/>
    </xf>
    <xf numFmtId="3" fontId="34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64" xfId="0" applyNumberFormat="1" applyFont="1" applyFill="1" applyBorder="1" applyAlignment="1" applyProtection="1">
      <alignment horizontal="right" vertical="center" wrapText="1"/>
      <protection locked="0"/>
    </xf>
    <xf numFmtId="165" fontId="35" fillId="0" borderId="64" xfId="0" applyNumberFormat="1" applyFont="1" applyFill="1" applyBorder="1" applyAlignment="1">
      <alignment horizontal="right" vertical="center" wrapText="1"/>
    </xf>
    <xf numFmtId="4" fontId="35" fillId="0" borderId="64" xfId="0" applyNumberFormat="1" applyFont="1" applyFill="1" applyBorder="1" applyAlignment="1">
      <alignment horizontal="right" vertical="center" wrapText="1"/>
    </xf>
    <xf numFmtId="49" fontId="31" fillId="0" borderId="65" xfId="0" applyNumberFormat="1" applyFont="1" applyFill="1" applyBorder="1" applyAlignment="1">
      <alignment horizontal="left" vertical="center" indent="1"/>
    </xf>
    <xf numFmtId="3" fontId="36" fillId="0" borderId="51" xfId="0" applyNumberFormat="1" applyFont="1" applyFill="1" applyBorder="1" applyAlignment="1" applyProtection="1">
      <alignment horizontal="right" vertical="center"/>
      <protection locked="0"/>
    </xf>
    <xf numFmtId="3" fontId="36" fillId="0" borderId="51" xfId="0" applyNumberFormat="1" applyFont="1" applyFill="1" applyBorder="1" applyAlignment="1" applyProtection="1">
      <alignment horizontal="right" vertical="center" wrapText="1"/>
      <protection locked="0"/>
    </xf>
    <xf numFmtId="165" fontId="35" fillId="0" borderId="51" xfId="0" applyNumberFormat="1" applyFont="1" applyFill="1" applyBorder="1" applyAlignment="1">
      <alignment horizontal="right" vertical="center" wrapText="1"/>
    </xf>
    <xf numFmtId="4" fontId="35" fillId="0" borderId="51" xfId="0" applyNumberFormat="1" applyFont="1" applyFill="1" applyBorder="1" applyAlignment="1">
      <alignment horizontal="right" vertical="center" wrapText="1"/>
    </xf>
    <xf numFmtId="49" fontId="23" fillId="0" borderId="65" xfId="0" applyNumberFormat="1" applyFont="1" applyFill="1" applyBorder="1" applyAlignment="1">
      <alignment horizontal="left" vertical="center"/>
    </xf>
    <xf numFmtId="3" fontId="23" fillId="0" borderId="24" xfId="0" applyNumberFormat="1" applyFont="1" applyFill="1" applyBorder="1" applyAlignment="1" applyProtection="1">
      <alignment vertical="center"/>
      <protection locked="0"/>
    </xf>
    <xf numFmtId="3" fontId="34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51" xfId="0" applyNumberFormat="1" applyFont="1" applyFill="1" applyBorder="1" applyAlignment="1" applyProtection="1">
      <alignment horizontal="right" vertical="center"/>
      <protection locked="0"/>
    </xf>
    <xf numFmtId="49" fontId="23" fillId="0" borderId="66" xfId="0" applyNumberFormat="1" applyFont="1" applyFill="1" applyBorder="1" applyAlignment="1" applyProtection="1">
      <alignment horizontal="left" vertical="center"/>
      <protection locked="0"/>
    </xf>
    <xf numFmtId="3" fontId="34" fillId="0" borderId="67" xfId="0" applyNumberFormat="1" applyFont="1" applyFill="1" applyBorder="1" applyAlignment="1" applyProtection="1">
      <alignment horizontal="right" vertical="center"/>
      <protection locked="0"/>
    </xf>
    <xf numFmtId="3" fontId="34" fillId="0" borderId="67" xfId="0" applyNumberFormat="1" applyFont="1" applyFill="1" applyBorder="1" applyAlignment="1" applyProtection="1">
      <alignment horizontal="right" vertical="center" wrapText="1"/>
      <protection locked="0"/>
    </xf>
    <xf numFmtId="4" fontId="35" fillId="0" borderId="68" xfId="0" applyNumberFormat="1" applyFont="1" applyFill="1" applyBorder="1" applyAlignment="1">
      <alignment horizontal="right" vertical="center" wrapText="1"/>
    </xf>
    <xf numFmtId="49" fontId="22" fillId="0" borderId="69" xfId="0" applyNumberFormat="1" applyFont="1" applyFill="1" applyBorder="1" applyAlignment="1" applyProtection="1">
      <alignment horizontal="left" vertical="center" indent="1"/>
      <protection locked="0"/>
    </xf>
    <xf numFmtId="165" fontId="35" fillId="0" borderId="49" xfId="0" applyNumberFormat="1" applyFont="1" applyFill="1" applyBorder="1" applyAlignment="1">
      <alignment vertical="center"/>
    </xf>
    <xf numFmtId="4" fontId="34" fillId="0" borderId="49" xfId="0" applyNumberFormat="1" applyFont="1" applyFill="1" applyBorder="1" applyAlignment="1" applyProtection="1">
      <alignment vertical="center" wrapText="1"/>
      <protection locked="0"/>
    </xf>
    <xf numFmtId="49" fontId="22" fillId="0" borderId="70" xfId="0" applyNumberFormat="1" applyFont="1" applyFill="1" applyBorder="1" applyAlignment="1" applyProtection="1">
      <alignment vertical="center"/>
      <protection locked="0"/>
    </xf>
    <xf numFmtId="49" fontId="22" fillId="0" borderId="70" xfId="0" applyNumberFormat="1" applyFont="1" applyFill="1" applyBorder="1" applyAlignment="1" applyProtection="1">
      <alignment horizontal="right" vertical="center"/>
      <protection locked="0"/>
    </xf>
    <xf numFmtId="3" fontId="23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34" xfId="0" applyNumberFormat="1" applyFont="1" applyFill="1" applyBorder="1" applyAlignment="1" applyProtection="1">
      <alignment vertical="center"/>
      <protection locked="0"/>
    </xf>
    <xf numFmtId="49" fontId="22" fillId="0" borderId="34" xfId="0" applyNumberFormat="1" applyFont="1" applyFill="1" applyBorder="1" applyAlignment="1" applyProtection="1">
      <alignment horizontal="right" vertical="center"/>
      <protection locked="0"/>
    </xf>
    <xf numFmtId="3" fontId="23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19" xfId="0" applyNumberFormat="1" applyFont="1" applyFill="1" applyBorder="1" applyAlignment="1">
      <alignment horizontal="left" vertical="center"/>
    </xf>
    <xf numFmtId="3" fontId="23" fillId="0" borderId="38" xfId="0" applyNumberFormat="1" applyFont="1" applyFill="1" applyBorder="1" applyAlignment="1" applyProtection="1">
      <alignment vertical="center"/>
      <protection locked="0"/>
    </xf>
    <xf numFmtId="3" fontId="37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37" fillId="0" borderId="64" xfId="0" applyNumberFormat="1" applyFont="1" applyFill="1" applyBorder="1" applyAlignment="1" applyProtection="1">
      <alignment horizontal="right" vertical="center" wrapText="1"/>
      <protection locked="0"/>
    </xf>
    <xf numFmtId="165" fontId="38" fillId="0" borderId="63" xfId="0" applyNumberFormat="1" applyFont="1" applyFill="1" applyBorder="1" applyAlignment="1" applyProtection="1">
      <alignment horizontal="right" vertical="center" wrapText="1"/>
      <protection/>
    </xf>
    <xf numFmtId="4" fontId="38" fillId="0" borderId="64" xfId="0" applyNumberFormat="1" applyFont="1" applyFill="1" applyBorder="1" applyAlignment="1">
      <alignment horizontal="right" vertical="center" wrapText="1"/>
    </xf>
    <xf numFmtId="49" fontId="23" fillId="0" borderId="23" xfId="0" applyNumberFormat="1" applyFont="1" applyFill="1" applyBorder="1" applyAlignment="1">
      <alignment horizontal="left" vertical="center"/>
    </xf>
    <xf numFmtId="3" fontId="37" fillId="0" borderId="51" xfId="0" applyNumberFormat="1" applyFont="1" applyFill="1" applyBorder="1" applyAlignment="1" applyProtection="1">
      <alignment horizontal="right" vertical="center" wrapText="1"/>
      <protection locked="0"/>
    </xf>
    <xf numFmtId="165" fontId="38" fillId="0" borderId="51" xfId="0" applyNumberFormat="1" applyFont="1" applyFill="1" applyBorder="1" applyAlignment="1" applyProtection="1">
      <alignment horizontal="right" vertical="center" wrapText="1"/>
      <protection/>
    </xf>
    <xf numFmtId="4" fontId="38" fillId="0" borderId="51" xfId="0" applyNumberFormat="1" applyFont="1" applyFill="1" applyBorder="1" applyAlignment="1">
      <alignment horizontal="right" vertical="center" wrapText="1"/>
    </xf>
    <xf numFmtId="49" fontId="23" fillId="0" borderId="25" xfId="0" applyNumberFormat="1" applyFont="1" applyFill="1" applyBorder="1" applyAlignment="1" applyProtection="1">
      <alignment horizontal="left" vertical="center"/>
      <protection locked="0"/>
    </xf>
    <xf numFmtId="3" fontId="37" fillId="0" borderId="67" xfId="0" applyNumberFormat="1" applyFont="1" applyFill="1" applyBorder="1" applyAlignment="1" applyProtection="1">
      <alignment horizontal="right" vertical="center"/>
      <protection locked="0"/>
    </xf>
    <xf numFmtId="3" fontId="37" fillId="0" borderId="67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68" xfId="0" applyNumberFormat="1" applyFont="1" applyFill="1" applyBorder="1" applyAlignment="1">
      <alignment horizontal="right" vertical="center" wrapText="1"/>
    </xf>
    <xf numFmtId="166" fontId="22" fillId="0" borderId="49" xfId="0" applyNumberFormat="1" applyFont="1" applyFill="1" applyBorder="1" applyAlignment="1">
      <alignment horizontal="left" vertical="center" wrapText="1" indent="1"/>
    </xf>
    <xf numFmtId="165" fontId="38" fillId="0" borderId="49" xfId="0" applyNumberFormat="1" applyFont="1" applyFill="1" applyBorder="1" applyAlignment="1">
      <alignment vertical="center"/>
    </xf>
    <xf numFmtId="4" fontId="37" fillId="0" borderId="49" xfId="0" applyNumberFormat="1" applyFont="1" applyFill="1" applyBorder="1" applyAlignment="1" applyProtection="1">
      <alignment vertical="center" wrapText="1"/>
      <protection locked="0"/>
    </xf>
    <xf numFmtId="166" fontId="39" fillId="0" borderId="0" xfId="0" applyNumberFormat="1" applyFont="1" applyFill="1" applyBorder="1" applyAlignment="1">
      <alignment horizontal="left" vertical="center" wrapText="1"/>
    </xf>
    <xf numFmtId="165" fontId="22" fillId="0" borderId="49" xfId="0" applyNumberFormat="1" applyFont="1" applyFill="1" applyBorder="1" applyAlignment="1">
      <alignment horizontal="center" vertical="center" wrapText="1"/>
    </xf>
    <xf numFmtId="3" fontId="23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67" xfId="0" applyNumberFormat="1" applyFont="1" applyFill="1" applyBorder="1" applyAlignment="1" applyProtection="1">
      <alignment horizontal="right" vertical="center" wrapText="1"/>
      <protection locked="0"/>
    </xf>
    <xf numFmtId="165" fontId="22" fillId="0" borderId="4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 locked="0"/>
    </xf>
    <xf numFmtId="165" fontId="4" fillId="0" borderId="0" xfId="0" applyNumberFormat="1" applyFont="1" applyFill="1" applyAlignment="1">
      <alignment vertical="center" wrapText="1"/>
    </xf>
    <xf numFmtId="0" fontId="21" fillId="0" borderId="49" xfId="0" applyFont="1" applyFill="1" applyBorder="1" applyAlignment="1" applyProtection="1">
      <alignment horizontal="center" vertical="center" wrapText="1"/>
      <protection locked="0"/>
    </xf>
    <xf numFmtId="0" fontId="21" fillId="0" borderId="49" xfId="0" applyFont="1" applyFill="1" applyBorder="1" applyAlignment="1" applyProtection="1">
      <alignment horizontal="right" vertical="center" indent="1"/>
      <protection locked="0"/>
    </xf>
    <xf numFmtId="0" fontId="12" fillId="0" borderId="0" xfId="0" applyFont="1" applyFill="1" applyAlignment="1">
      <alignment vertical="center"/>
    </xf>
    <xf numFmtId="49" fontId="21" fillId="0" borderId="49" xfId="0" applyNumberFormat="1" applyFont="1" applyFill="1" applyBorder="1" applyAlignment="1" applyProtection="1">
      <alignment horizontal="right" vertical="center" indent="1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horizontal="right"/>
      <protection locked="0"/>
    </xf>
    <xf numFmtId="0" fontId="30" fillId="0" borderId="0" xfId="0" applyFont="1" applyFill="1" applyAlignment="1">
      <alignment vertical="center"/>
    </xf>
    <xf numFmtId="0" fontId="21" fillId="0" borderId="69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71" xfId="0" applyFont="1" applyFill="1" applyBorder="1" applyAlignment="1" applyProtection="1">
      <alignment horizontal="center" vertical="center" wrapText="1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49" fontId="23" fillId="0" borderId="19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vertical="center" wrapText="1"/>
    </xf>
    <xf numFmtId="49" fontId="23" fillId="0" borderId="23" xfId="59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 vertical="center" wrapText="1"/>
    </xf>
    <xf numFmtId="49" fontId="23" fillId="0" borderId="25" xfId="59" applyNumberFormat="1" applyFont="1" applyFill="1" applyBorder="1" applyAlignment="1" applyProtection="1">
      <alignment horizontal="center" vertical="center" wrapText="1"/>
      <protection/>
    </xf>
    <xf numFmtId="165" fontId="23" fillId="0" borderId="21" xfId="59" applyNumberFormat="1" applyFont="1" applyFill="1" applyBorder="1" applyAlignment="1" applyProtection="1">
      <alignment horizontal="right" vertical="center" wrapText="1" indent="1"/>
      <protection/>
    </xf>
    <xf numFmtId="165" fontId="23" fillId="0" borderId="29" xfId="59" applyNumberFormat="1" applyFont="1" applyFill="1" applyBorder="1" applyAlignment="1" applyProtection="1">
      <alignment horizontal="right" vertical="center" wrapText="1"/>
      <protection locked="0"/>
    </xf>
    <xf numFmtId="165" fontId="23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0" applyFont="1" applyBorder="1" applyAlignment="1" applyProtection="1">
      <alignment horizontal="center" wrapText="1"/>
      <protection/>
    </xf>
    <xf numFmtId="49" fontId="23" fillId="0" borderId="43" xfId="59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wrapText="1"/>
      <protection/>
    </xf>
    <xf numFmtId="165" fontId="2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0" applyFont="1" applyBorder="1" applyAlignment="1" applyProtection="1">
      <alignment horizontal="center" wrapText="1"/>
      <protection/>
    </xf>
    <xf numFmtId="0" fontId="24" fillId="0" borderId="23" xfId="0" applyFont="1" applyBorder="1" applyAlignment="1" applyProtection="1">
      <alignment horizontal="center" wrapText="1"/>
      <protection/>
    </xf>
    <xf numFmtId="0" fontId="24" fillId="0" borderId="25" xfId="0" applyFont="1" applyBorder="1" applyAlignment="1" applyProtection="1">
      <alignment horizontal="center" wrapText="1"/>
      <protection/>
    </xf>
    <xf numFmtId="0" fontId="25" fillId="0" borderId="32" xfId="0" applyFont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5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42" fillId="0" borderId="0" xfId="0" applyFont="1" applyFill="1" applyAlignment="1">
      <alignment vertical="center" wrapText="1"/>
    </xf>
    <xf numFmtId="49" fontId="23" fillId="0" borderId="37" xfId="59" applyNumberFormat="1" applyFont="1" applyFill="1" applyBorder="1" applyAlignment="1" applyProtection="1">
      <alignment horizontal="center" vertical="center" wrapText="1"/>
      <protection/>
    </xf>
    <xf numFmtId="49" fontId="23" fillId="0" borderId="42" xfId="59" applyNumberFormat="1" applyFont="1" applyFill="1" applyBorder="1" applyAlignment="1" applyProtection="1">
      <alignment horizontal="center" vertical="center" wrapText="1"/>
      <protection/>
    </xf>
    <xf numFmtId="0" fontId="23" fillId="0" borderId="11" xfId="59" applyFont="1" applyFill="1" applyBorder="1" applyAlignment="1" applyProtection="1">
      <alignment horizontal="left" vertical="center" wrapText="1" indent="6"/>
      <protection/>
    </xf>
    <xf numFmtId="167" fontId="0" fillId="0" borderId="0" xfId="0" applyNumberFormat="1" applyFill="1" applyAlignment="1">
      <alignment vertical="center" wrapText="1"/>
    </xf>
    <xf numFmtId="165" fontId="29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16" xfId="59" applyNumberFormat="1" applyFont="1" applyFill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165" fontId="43" fillId="0" borderId="0" xfId="0" applyNumberFormat="1" applyFont="1" applyFill="1" applyAlignment="1" applyProtection="1">
      <alignment horizontal="right" vertical="center" wrapText="1" indent="1"/>
      <protection/>
    </xf>
    <xf numFmtId="0" fontId="30" fillId="0" borderId="16" xfId="0" applyFont="1" applyFill="1" applyBorder="1" applyAlignment="1" applyProtection="1">
      <alignment horizontal="left" vertical="center"/>
      <protection/>
    </xf>
    <xf numFmtId="0" fontId="30" fillId="0" borderId="35" xfId="0" applyFont="1" applyFill="1" applyBorder="1" applyAlignment="1" applyProtection="1">
      <alignment vertical="center" wrapText="1"/>
      <protection/>
    </xf>
    <xf numFmtId="3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6" xfId="0" applyFont="1" applyBorder="1" applyAlignment="1">
      <alignment horizontal="left" vertical="center"/>
    </xf>
    <xf numFmtId="0" fontId="30" fillId="0" borderId="35" xfId="0" applyFont="1" applyBorder="1" applyAlignment="1">
      <alignment vertical="center" wrapText="1"/>
    </xf>
    <xf numFmtId="0" fontId="30" fillId="0" borderId="32" xfId="0" applyFont="1" applyBorder="1" applyAlignment="1">
      <alignment horizontal="left" vertical="center"/>
    </xf>
    <xf numFmtId="0" fontId="30" fillId="0" borderId="72" xfId="0" applyFont="1" applyBorder="1" applyAlignment="1">
      <alignment vertical="center" wrapText="1"/>
    </xf>
    <xf numFmtId="165" fontId="16" fillId="0" borderId="0" xfId="0" applyNumberFormat="1" applyFont="1" applyFill="1" applyAlignment="1" applyProtection="1">
      <alignment vertical="center" wrapText="1"/>
      <protection locked="0"/>
    </xf>
    <xf numFmtId="165" fontId="4" fillId="0" borderId="0" xfId="0" applyNumberFormat="1" applyFont="1" applyFill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right" vertical="top"/>
      <protection locked="0"/>
    </xf>
    <xf numFmtId="0" fontId="24" fillId="0" borderId="26" xfId="0" applyFont="1" applyBorder="1" applyAlignment="1" applyProtection="1">
      <alignment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49" fontId="21" fillId="0" borderId="18" xfId="0" applyNumberFormat="1" applyFont="1" applyFill="1" applyBorder="1" applyAlignment="1" applyProtection="1">
      <alignment horizontal="right" vertical="center" indent="1"/>
      <protection locked="0"/>
    </xf>
    <xf numFmtId="0" fontId="12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71" xfId="0" applyFont="1" applyFill="1" applyBorder="1" applyAlignment="1" applyProtection="1">
      <alignment horizontal="center" vertical="center" wrapText="1"/>
      <protection locked="0"/>
    </xf>
    <xf numFmtId="0" fontId="22" fillId="0" borderId="5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vertical="center" wrapText="1"/>
      <protection/>
    </xf>
    <xf numFmtId="49" fontId="23" fillId="0" borderId="37" xfId="0" applyNumberFormat="1" applyFont="1" applyFill="1" applyBorder="1" applyAlignment="1" applyProtection="1">
      <alignment horizontal="center" vertical="center" wrapText="1"/>
      <protection/>
    </xf>
    <xf numFmtId="165" fontId="2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3" xfId="0" applyNumberFormat="1" applyFont="1" applyFill="1" applyBorder="1" applyAlignment="1" applyProtection="1">
      <alignment horizontal="center" vertical="center" wrapText="1"/>
      <protection/>
    </xf>
    <xf numFmtId="165" fontId="2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0" xfId="0" applyFont="1" applyFill="1" applyAlignment="1" applyProtection="1">
      <alignment vertical="center" wrapText="1"/>
      <protection/>
    </xf>
    <xf numFmtId="165" fontId="2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165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59" applyFont="1" applyFill="1" applyBorder="1" applyAlignment="1" applyProtection="1">
      <alignment horizontal="left" vertical="center" wrapText="1" indent="1"/>
      <protection/>
    </xf>
    <xf numFmtId="0" fontId="23" fillId="0" borderId="24" xfId="59" applyFont="1" applyFill="1" applyBorder="1" applyAlignment="1" applyProtection="1">
      <alignment horizontal="left" vertical="center" wrapText="1" indent="1"/>
      <protection/>
    </xf>
    <xf numFmtId="0" fontId="23" fillId="0" borderId="33" xfId="59" applyFont="1" applyFill="1" applyBorder="1" applyAlignment="1" applyProtection="1">
      <alignment horizontal="left" vertical="center" wrapText="1" indent="1"/>
      <protection/>
    </xf>
    <xf numFmtId="165" fontId="2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0" applyFont="1" applyBorder="1" applyAlignment="1" applyProtection="1">
      <alignment horizontal="center" vertical="center" wrapText="1"/>
      <protection/>
    </xf>
    <xf numFmtId="165" fontId="2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35" xfId="0" applyFont="1" applyBorder="1" applyAlignment="1" applyProtection="1">
      <alignment horizontal="left" wrapText="1" indent="1"/>
      <protection/>
    </xf>
    <xf numFmtId="165" fontId="22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right" vertical="center" wrapText="1" inden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17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5" fontId="22" fillId="0" borderId="58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0" xfId="0" applyFont="1" applyFill="1" applyAlignment="1" applyProtection="1">
      <alignment vertical="center"/>
      <protection/>
    </xf>
    <xf numFmtId="165" fontId="22" fillId="0" borderId="35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30" fillId="37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30" fillId="37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0" xfId="0" applyFont="1" applyFill="1" applyAlignment="1" applyProtection="1">
      <alignment vertical="top"/>
      <protection/>
    </xf>
    <xf numFmtId="3" fontId="33" fillId="37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165" fontId="20" fillId="0" borderId="0" xfId="0" applyNumberFormat="1" applyFont="1" applyFill="1" applyAlignment="1" applyProtection="1">
      <alignment horizontal="righ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5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right" vertical="center" wrapText="1" indent="1"/>
      <protection/>
    </xf>
    <xf numFmtId="0" fontId="23" fillId="0" borderId="20" xfId="0" applyFont="1" applyFill="1" applyBorder="1" applyAlignment="1" applyProtection="1">
      <alignment horizontal="left" vertical="center" wrapText="1"/>
      <protection locked="0"/>
    </xf>
    <xf numFmtId="165" fontId="23" fillId="0" borderId="20" xfId="0" applyNumberFormat="1" applyFont="1" applyFill="1" applyBorder="1" applyAlignment="1" applyProtection="1">
      <alignment vertical="center" wrapText="1"/>
      <protection locked="0"/>
    </xf>
    <xf numFmtId="165" fontId="23" fillId="0" borderId="20" xfId="0" applyNumberFormat="1" applyFont="1" applyFill="1" applyBorder="1" applyAlignment="1" applyProtection="1">
      <alignment vertical="center" wrapText="1"/>
      <protection/>
    </xf>
    <xf numFmtId="165" fontId="23" fillId="0" borderId="21" xfId="0" applyNumberFormat="1" applyFont="1" applyFill="1" applyBorder="1" applyAlignment="1" applyProtection="1">
      <alignment vertical="center" wrapText="1"/>
      <protection locked="0"/>
    </xf>
    <xf numFmtId="0" fontId="23" fillId="0" borderId="23" xfId="0" applyFont="1" applyFill="1" applyBorder="1" applyAlignment="1" applyProtection="1">
      <alignment horizontal="right" vertical="center" wrapText="1" indent="1"/>
      <protection/>
    </xf>
    <xf numFmtId="0" fontId="23" fillId="0" borderId="24" xfId="0" applyFont="1" applyFill="1" applyBorder="1" applyAlignment="1" applyProtection="1">
      <alignment horizontal="left" vertical="center" wrapText="1"/>
      <protection locked="0"/>
    </xf>
    <xf numFmtId="165" fontId="23" fillId="0" borderId="22" xfId="0" applyNumberFormat="1" applyFont="1" applyFill="1" applyBorder="1" applyAlignment="1" applyProtection="1">
      <alignment vertical="center" wrapText="1"/>
      <protection locked="0"/>
    </xf>
    <xf numFmtId="165" fontId="22" fillId="0" borderId="17" xfId="0" applyNumberFormat="1" applyFont="1" applyFill="1" applyBorder="1" applyAlignment="1" applyProtection="1">
      <alignment vertical="center" wrapText="1"/>
      <protection/>
    </xf>
    <xf numFmtId="165" fontId="22" fillId="0" borderId="58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/>
    </xf>
    <xf numFmtId="0" fontId="48" fillId="0" borderId="0" xfId="0" applyFont="1" applyFill="1" applyBorder="1" applyAlignment="1" applyProtection="1">
      <alignment horizontal="right"/>
      <protection/>
    </xf>
    <xf numFmtId="0" fontId="30" fillId="0" borderId="49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 applyProtection="1">
      <alignment horizontal="center" vertical="center" wrapText="1"/>
      <protection/>
    </xf>
    <xf numFmtId="0" fontId="26" fillId="0" borderId="63" xfId="0" applyFont="1" applyFill="1" applyBorder="1" applyAlignment="1" applyProtection="1">
      <alignment horizontal="center" vertical="center" wrapText="1"/>
      <protection/>
    </xf>
    <xf numFmtId="0" fontId="26" fillId="0" borderId="3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2" fillId="0" borderId="49" xfId="0" applyFont="1" applyFill="1" applyBorder="1" applyAlignment="1">
      <alignment horizontal="center" vertical="center"/>
    </xf>
    <xf numFmtId="0" fontId="25" fillId="0" borderId="69" xfId="0" applyFont="1" applyFill="1" applyBorder="1" applyAlignment="1" applyProtection="1">
      <alignment horizontal="center" vertical="center" wrapText="1"/>
      <protection/>
    </xf>
    <xf numFmtId="0" fontId="25" fillId="0" borderId="49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>
      <alignment vertical="center"/>
    </xf>
    <xf numFmtId="0" fontId="24" fillId="0" borderId="74" xfId="0" applyFont="1" applyFill="1" applyBorder="1" applyAlignment="1" applyProtection="1">
      <alignment horizontal="left" vertical="center" wrapText="1"/>
      <protection locked="0"/>
    </xf>
    <xf numFmtId="0" fontId="0" fillId="0" borderId="49" xfId="0" applyFill="1" applyBorder="1" applyAlignment="1" applyProtection="1">
      <alignment vertical="center"/>
      <protection/>
    </xf>
    <xf numFmtId="0" fontId="26" fillId="0" borderId="69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165" fontId="19" fillId="0" borderId="34" xfId="59" applyNumberFormat="1" applyFont="1" applyFill="1" applyBorder="1" applyAlignment="1" applyProtection="1">
      <alignment vertical="center"/>
      <protection locked="0"/>
    </xf>
    <xf numFmtId="0" fontId="20" fillId="0" borderId="34" xfId="0" applyFont="1" applyFill="1" applyBorder="1" applyAlignment="1" applyProtection="1">
      <alignment horizontal="right" vertical="center"/>
      <protection locked="0"/>
    </xf>
    <xf numFmtId="0" fontId="21" fillId="0" borderId="11" xfId="59" applyFont="1" applyFill="1" applyBorder="1" applyAlignment="1" applyProtection="1">
      <alignment horizontal="center" vertical="center" wrapText="1"/>
      <protection locked="0"/>
    </xf>
    <xf numFmtId="0" fontId="22" fillId="0" borderId="16" xfId="59" applyFont="1" applyFill="1" applyBorder="1" applyAlignment="1" applyProtection="1">
      <alignment horizontal="center" vertical="center" wrapText="1"/>
      <protection locked="0"/>
    </xf>
    <xf numFmtId="0" fontId="22" fillId="0" borderId="17" xfId="59" applyFont="1" applyFill="1" applyBorder="1" applyAlignment="1" applyProtection="1">
      <alignment horizontal="center" vertical="center" wrapText="1"/>
      <protection locked="0"/>
    </xf>
    <xf numFmtId="0" fontId="22" fillId="0" borderId="58" xfId="59" applyFont="1" applyFill="1" applyBorder="1" applyAlignment="1" applyProtection="1">
      <alignment horizontal="center" vertical="center" wrapText="1"/>
      <protection locked="0"/>
    </xf>
    <xf numFmtId="0" fontId="22" fillId="0" borderId="17" xfId="59" applyFont="1" applyFill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24" xfId="0" applyFont="1" applyBorder="1" applyAlignment="1" applyProtection="1">
      <alignment horizontal="left" vertical="center" wrapText="1"/>
      <protection/>
    </xf>
    <xf numFmtId="0" fontId="24" fillId="0" borderId="26" xfId="0" applyFont="1" applyBorder="1" applyAlignment="1" applyProtection="1">
      <alignment horizontal="left" vertical="center" wrapText="1"/>
      <protection/>
    </xf>
    <xf numFmtId="0" fontId="25" fillId="0" borderId="17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>
      <alignment horizontal="left" wrapText="1"/>
    </xf>
    <xf numFmtId="0" fontId="24" fillId="0" borderId="31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19" xfId="0" applyFont="1" applyBorder="1" applyAlignment="1" applyProtection="1">
      <alignment vertical="center" wrapText="1"/>
      <protection/>
    </xf>
    <xf numFmtId="0" fontId="24" fillId="0" borderId="23" xfId="0" applyFont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5" fillId="0" borderId="33" xfId="0" applyFont="1" applyBorder="1" applyAlignment="1" applyProtection="1">
      <alignment vertical="center" wrapText="1"/>
      <protection/>
    </xf>
    <xf numFmtId="165" fontId="19" fillId="0" borderId="34" xfId="59" applyNumberFormat="1" applyFont="1" applyFill="1" applyBorder="1" applyAlignment="1" applyProtection="1">
      <alignment/>
      <protection/>
    </xf>
    <xf numFmtId="0" fontId="21" fillId="0" borderId="12" xfId="59" applyFont="1" applyFill="1" applyBorder="1" applyAlignment="1" applyProtection="1">
      <alignment horizontal="center" vertical="center" wrapText="1"/>
      <protection/>
    </xf>
    <xf numFmtId="0" fontId="22" fillId="0" borderId="18" xfId="59" applyFont="1" applyFill="1" applyBorder="1" applyAlignment="1" applyProtection="1">
      <alignment horizontal="center" vertical="center" wrapText="1"/>
      <protection/>
    </xf>
    <xf numFmtId="0" fontId="23" fillId="0" borderId="38" xfId="59" applyFont="1" applyFill="1" applyBorder="1" applyAlignment="1" applyProtection="1">
      <alignment horizontal="left" vertical="center" wrapText="1"/>
      <protection/>
    </xf>
    <xf numFmtId="0" fontId="23" fillId="0" borderId="24" xfId="59" applyFont="1" applyFill="1" applyBorder="1" applyAlignment="1" applyProtection="1">
      <alignment horizontal="left" vertical="center" wrapText="1"/>
      <protection/>
    </xf>
    <xf numFmtId="0" fontId="23" fillId="0" borderId="41" xfId="59" applyFont="1" applyFill="1" applyBorder="1" applyAlignment="1" applyProtection="1">
      <alignment horizontal="left" vertical="center" wrapText="1"/>
      <protection/>
    </xf>
    <xf numFmtId="0" fontId="23" fillId="0" borderId="0" xfId="59" applyFont="1" applyFill="1" applyBorder="1" applyAlignment="1" applyProtection="1">
      <alignment horizontal="left" vertical="center" wrapText="1"/>
      <protection/>
    </xf>
    <xf numFmtId="0" fontId="23" fillId="0" borderId="24" xfId="59" applyFont="1" applyFill="1" applyBorder="1" applyAlignment="1" applyProtection="1">
      <alignment horizontal="left" vertical="center"/>
      <protection/>
    </xf>
    <xf numFmtId="0" fontId="23" fillId="0" borderId="26" xfId="59" applyFont="1" applyFill="1" applyBorder="1" applyAlignment="1" applyProtection="1">
      <alignment horizontal="left" vertical="center" wrapText="1"/>
      <protection/>
    </xf>
    <xf numFmtId="0" fontId="23" fillId="0" borderId="11" xfId="59" applyFont="1" applyFill="1" applyBorder="1" applyAlignment="1" applyProtection="1">
      <alignment horizontal="left" vertical="center" wrapText="1"/>
      <protection/>
    </xf>
    <xf numFmtId="0" fontId="23" fillId="0" borderId="20" xfId="59" applyFont="1" applyFill="1" applyBorder="1" applyAlignment="1" applyProtection="1">
      <alignment horizontal="left" vertical="center" wrapText="1"/>
      <protection/>
    </xf>
    <xf numFmtId="0" fontId="4" fillId="0" borderId="0" xfId="59" applyFill="1" applyAlignment="1" applyProtection="1">
      <alignment horizontal="left" vertical="center" indent="1"/>
      <protection/>
    </xf>
    <xf numFmtId="0" fontId="22" fillId="0" borderId="17" xfId="59" applyFont="1" applyFill="1" applyBorder="1" applyAlignment="1" applyProtection="1">
      <alignment horizontal="left" vertical="center" wrapText="1"/>
      <protection/>
    </xf>
    <xf numFmtId="0" fontId="23" fillId="0" borderId="31" xfId="59" applyFont="1" applyFill="1" applyBorder="1" applyAlignment="1" applyProtection="1">
      <alignment horizontal="left" vertical="center" wrapText="1"/>
      <protection/>
    </xf>
    <xf numFmtId="0" fontId="26" fillId="0" borderId="33" xfId="0" applyFont="1" applyBorder="1" applyAlignment="1" applyProtection="1">
      <alignment horizontal="left" vertical="center" wrapText="1"/>
      <protection/>
    </xf>
    <xf numFmtId="165" fontId="28" fillId="0" borderId="0" xfId="59" applyNumberFormat="1" applyFont="1" applyFill="1" applyProtection="1">
      <alignment/>
      <protection/>
    </xf>
    <xf numFmtId="165" fontId="14" fillId="0" borderId="0" xfId="0" applyNumberFormat="1" applyFont="1" applyFill="1" applyAlignment="1">
      <alignment vertical="center"/>
    </xf>
    <xf numFmtId="165" fontId="21" fillId="0" borderId="75" xfId="0" applyNumberFormat="1" applyFont="1" applyFill="1" applyBorder="1" applyAlignment="1" applyProtection="1">
      <alignment horizontal="center" vertical="center"/>
      <protection/>
    </xf>
    <xf numFmtId="165" fontId="21" fillId="0" borderId="76" xfId="0" applyNumberFormat="1" applyFont="1" applyFill="1" applyBorder="1" applyAlignment="1" applyProtection="1">
      <alignment horizontal="center" vertical="center"/>
      <protection/>
    </xf>
    <xf numFmtId="165" fontId="21" fillId="0" borderId="12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Alignment="1">
      <alignment horizontal="center" vertical="center"/>
    </xf>
    <xf numFmtId="165" fontId="22" fillId="0" borderId="69" xfId="0" applyNumberFormat="1" applyFont="1" applyFill="1" applyBorder="1" applyAlignment="1" applyProtection="1">
      <alignment horizontal="center" vertical="center" wrapText="1"/>
      <protection/>
    </xf>
    <xf numFmtId="165" fontId="22" fillId="0" borderId="17" xfId="0" applyNumberFormat="1" applyFont="1" applyFill="1" applyBorder="1" applyAlignment="1" applyProtection="1">
      <alignment horizontal="center" vertical="center" wrapText="1"/>
      <protection/>
    </xf>
    <xf numFmtId="165" fontId="22" fillId="0" borderId="46" xfId="0" applyNumberFormat="1" applyFont="1" applyFill="1" applyBorder="1" applyAlignment="1" applyProtection="1">
      <alignment horizontal="center" vertical="center" wrapText="1"/>
      <protection/>
    </xf>
    <xf numFmtId="165" fontId="22" fillId="0" borderId="54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Alignment="1">
      <alignment horizontal="center" vertical="center" wrapText="1"/>
    </xf>
    <xf numFmtId="165" fontId="22" fillId="0" borderId="37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38" xfId="0" applyNumberFormat="1" applyFont="1" applyFill="1" applyBorder="1" applyAlignment="1" applyProtection="1">
      <alignment horizontal="left" vertical="center" wrapText="1" indent="1"/>
      <protection/>
    </xf>
    <xf numFmtId="1" fontId="30" fillId="36" borderId="38" xfId="0" applyNumberFormat="1" applyFont="1" applyFill="1" applyBorder="1" applyAlignment="1" applyProtection="1">
      <alignment horizontal="center" vertical="center" wrapText="1"/>
      <protection/>
    </xf>
    <xf numFmtId="165" fontId="22" fillId="0" borderId="38" xfId="0" applyNumberFormat="1" applyFont="1" applyFill="1" applyBorder="1" applyAlignment="1" applyProtection="1">
      <alignment vertical="center" wrapText="1"/>
      <protection/>
    </xf>
    <xf numFmtId="165" fontId="22" fillId="0" borderId="77" xfId="0" applyNumberFormat="1" applyFont="1" applyFill="1" applyBorder="1" applyAlignment="1" applyProtection="1">
      <alignment vertical="center" wrapText="1"/>
      <protection/>
    </xf>
    <xf numFmtId="165" fontId="22" fillId="0" borderId="64" xfId="0" applyNumberFormat="1" applyFont="1" applyFill="1" applyBorder="1" applyAlignment="1" applyProtection="1">
      <alignment vertical="center" wrapText="1"/>
      <protection/>
    </xf>
    <xf numFmtId="165" fontId="22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53" xfId="0" applyNumberFormat="1" applyFont="1" applyFill="1" applyBorder="1" applyAlignment="1" applyProtection="1">
      <alignment vertical="center" wrapText="1"/>
      <protection locked="0"/>
    </xf>
    <xf numFmtId="165" fontId="23" fillId="0" borderId="51" xfId="0" applyNumberFormat="1" applyFont="1" applyFill="1" applyBorder="1" applyAlignment="1" applyProtection="1">
      <alignment vertical="center" wrapText="1"/>
      <protection/>
    </xf>
    <xf numFmtId="165" fontId="22" fillId="0" borderId="24" xfId="0" applyNumberFormat="1" applyFont="1" applyFill="1" applyBorder="1" applyAlignment="1" applyProtection="1">
      <alignment horizontal="left" vertical="center" wrapText="1" indent="1"/>
      <protection/>
    </xf>
    <xf numFmtId="1" fontId="30" fillId="36" borderId="24" xfId="0" applyNumberFormat="1" applyFont="1" applyFill="1" applyBorder="1" applyAlignment="1" applyProtection="1">
      <alignment horizontal="center" vertical="center" wrapText="1"/>
      <protection/>
    </xf>
    <xf numFmtId="165" fontId="22" fillId="0" borderId="24" xfId="0" applyNumberFormat="1" applyFont="1" applyFill="1" applyBorder="1" applyAlignment="1" applyProtection="1">
      <alignment vertical="center" wrapText="1"/>
      <protection/>
    </xf>
    <xf numFmtId="165" fontId="22" fillId="0" borderId="53" xfId="0" applyNumberFormat="1" applyFont="1" applyFill="1" applyBorder="1" applyAlignment="1" applyProtection="1">
      <alignment vertical="center" wrapText="1"/>
      <protection/>
    </xf>
    <xf numFmtId="165" fontId="22" fillId="0" borderId="51" xfId="0" applyNumberFormat="1" applyFont="1" applyFill="1" applyBorder="1" applyAlignment="1" applyProtection="1">
      <alignment vertical="center" wrapText="1"/>
      <protection/>
    </xf>
    <xf numFmtId="165" fontId="22" fillId="0" borderId="24" xfId="0" applyNumberFormat="1" applyFont="1" applyFill="1" applyBorder="1" applyAlignment="1" applyProtection="1">
      <alignment horizontal="left" vertical="center" wrapText="1" indent="1"/>
      <protection/>
    </xf>
    <xf numFmtId="165" fontId="22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31" xfId="0" applyNumberFormat="1" applyFont="1" applyFill="1" applyBorder="1" applyAlignment="1" applyProtection="1">
      <alignment horizontal="left" vertical="center" wrapText="1" indent="1"/>
      <protection/>
    </xf>
    <xf numFmtId="1" fontId="30" fillId="36" borderId="26" xfId="0" applyNumberFormat="1" applyFont="1" applyFill="1" applyBorder="1" applyAlignment="1" applyProtection="1">
      <alignment horizontal="center" vertical="center" wrapText="1"/>
      <protection/>
    </xf>
    <xf numFmtId="165" fontId="22" fillId="0" borderId="31" xfId="0" applyNumberFormat="1" applyFont="1" applyFill="1" applyBorder="1" applyAlignment="1" applyProtection="1">
      <alignment vertical="center" wrapText="1"/>
      <protection/>
    </xf>
    <xf numFmtId="165" fontId="22" fillId="0" borderId="57" xfId="0" applyNumberFormat="1" applyFont="1" applyFill="1" applyBorder="1" applyAlignment="1" applyProtection="1">
      <alignment vertical="center" wrapText="1"/>
      <protection/>
    </xf>
    <xf numFmtId="1" fontId="0" fillId="0" borderId="57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31" xfId="0" applyNumberFormat="1" applyFont="1" applyFill="1" applyBorder="1" applyAlignment="1" applyProtection="1">
      <alignment vertical="center" wrapText="1"/>
      <protection locked="0"/>
    </xf>
    <xf numFmtId="165" fontId="23" fillId="0" borderId="57" xfId="0" applyNumberFormat="1" applyFont="1" applyFill="1" applyBorder="1" applyAlignment="1" applyProtection="1">
      <alignment vertical="center" wrapText="1"/>
      <protection locked="0"/>
    </xf>
    <xf numFmtId="165" fontId="22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" fontId="23" fillId="36" borderId="46" xfId="0" applyNumberFormat="1" applyFont="1" applyFill="1" applyBorder="1" applyAlignment="1" applyProtection="1">
      <alignment vertical="center" wrapText="1"/>
      <protection/>
    </xf>
    <xf numFmtId="165" fontId="22" fillId="0" borderId="17" xfId="0" applyNumberFormat="1" applyFont="1" applyFill="1" applyBorder="1" applyAlignment="1" applyProtection="1">
      <alignment vertical="center" wrapText="1"/>
      <protection/>
    </xf>
    <xf numFmtId="165" fontId="22" fillId="0" borderId="46" xfId="0" applyNumberFormat="1" applyFont="1" applyFill="1" applyBorder="1" applyAlignment="1" applyProtection="1">
      <alignment vertical="center" wrapText="1"/>
      <protection/>
    </xf>
    <xf numFmtId="165" fontId="22" fillId="0" borderId="49" xfId="0" applyNumberFormat="1" applyFont="1" applyFill="1" applyBorder="1" applyAlignment="1" applyProtection="1">
      <alignment vertical="center" wrapText="1"/>
      <protection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3" fillId="0" borderId="0" xfId="0" applyNumberFormat="1" applyFont="1" applyFill="1" applyAlignment="1">
      <alignment vertical="center" wrapText="1"/>
    </xf>
    <xf numFmtId="165" fontId="21" fillId="0" borderId="69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76" xfId="0" applyNumberFormat="1" applyFont="1" applyFill="1" applyBorder="1" applyAlignment="1" applyProtection="1">
      <alignment horizontal="center" vertical="center"/>
      <protection locked="0"/>
    </xf>
    <xf numFmtId="165" fontId="21" fillId="0" borderId="11" xfId="0" applyNumberFormat="1" applyFont="1" applyFill="1" applyBorder="1" applyAlignment="1" applyProtection="1">
      <alignment horizontal="center" vertical="center"/>
      <protection locked="0"/>
    </xf>
    <xf numFmtId="165" fontId="21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58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0" xfId="0" applyNumberFormat="1" applyFont="1" applyFill="1" applyAlignment="1">
      <alignment horizontal="center" vertical="center" wrapText="1"/>
    </xf>
    <xf numFmtId="165" fontId="22" fillId="0" borderId="16" xfId="0" applyNumberFormat="1" applyFont="1" applyFill="1" applyBorder="1" applyAlignment="1">
      <alignment horizontal="right" vertical="center" wrapText="1" indent="1"/>
    </xf>
    <xf numFmtId="165" fontId="22" fillId="0" borderId="49" xfId="0" applyNumberFormat="1" applyFont="1" applyFill="1" applyBorder="1" applyAlignment="1">
      <alignment horizontal="left" vertical="center" wrapText="1" indent="1"/>
    </xf>
    <xf numFmtId="165" fontId="0" fillId="36" borderId="49" xfId="0" applyNumberFormat="1" applyFont="1" applyFill="1" applyBorder="1" applyAlignment="1">
      <alignment horizontal="left" vertical="center" wrapText="1" indent="2"/>
    </xf>
    <xf numFmtId="165" fontId="0" fillId="36" borderId="35" xfId="0" applyNumberFormat="1" applyFont="1" applyFill="1" applyBorder="1" applyAlignment="1">
      <alignment horizontal="left" vertical="center" wrapText="1" indent="2"/>
    </xf>
    <xf numFmtId="165" fontId="22" fillId="0" borderId="16" xfId="0" applyNumberFormat="1" applyFont="1" applyFill="1" applyBorder="1" applyAlignment="1">
      <alignment vertical="center" wrapText="1"/>
    </xf>
    <xf numFmtId="165" fontId="22" fillId="0" borderId="17" xfId="0" applyNumberFormat="1" applyFont="1" applyFill="1" applyBorder="1" applyAlignment="1">
      <alignment vertical="center" wrapText="1"/>
    </xf>
    <xf numFmtId="165" fontId="22" fillId="0" borderId="58" xfId="0" applyNumberFormat="1" applyFont="1" applyFill="1" applyBorder="1" applyAlignment="1">
      <alignment vertical="center" wrapText="1"/>
    </xf>
    <xf numFmtId="165" fontId="22" fillId="0" borderId="23" xfId="0" applyNumberFormat="1" applyFont="1" applyFill="1" applyBorder="1" applyAlignment="1">
      <alignment horizontal="right" vertical="center" wrapText="1" indent="1"/>
    </xf>
    <xf numFmtId="165" fontId="23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8" fontId="0" fillId="0" borderId="51" xfId="0" applyNumberFormat="1" applyFont="1" applyFill="1" applyBorder="1" applyAlignment="1" applyProtection="1">
      <alignment horizontal="right" vertical="center" wrapText="1" indent="2"/>
      <protection locked="0"/>
    </xf>
    <xf numFmtId="168" fontId="0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165" fontId="23" fillId="0" borderId="23" xfId="0" applyNumberFormat="1" applyFont="1" applyFill="1" applyBorder="1" applyAlignment="1" applyProtection="1">
      <alignment vertical="center" wrapText="1"/>
      <protection locked="0"/>
    </xf>
    <xf numFmtId="165" fontId="0" fillId="36" borderId="49" xfId="0" applyNumberFormat="1" applyFont="1" applyFill="1" applyBorder="1" applyAlignment="1">
      <alignment horizontal="right" vertical="center" wrapText="1" indent="2"/>
    </xf>
    <xf numFmtId="165" fontId="0" fillId="36" borderId="35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 applyProtection="1">
      <alignment/>
      <protection locked="0"/>
    </xf>
    <xf numFmtId="0" fontId="21" fillId="0" borderId="58" xfId="0" applyFont="1" applyFill="1" applyBorder="1" applyAlignment="1" applyProtection="1">
      <alignment horizontal="center" vertical="center" wrapText="1"/>
      <protection locked="0"/>
    </xf>
    <xf numFmtId="0" fontId="21" fillId="0" borderId="46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 applyProtection="1">
      <alignment vertical="center" wrapText="1"/>
      <protection/>
    </xf>
    <xf numFmtId="165" fontId="23" fillId="0" borderId="24" xfId="0" applyNumberFormat="1" applyFont="1" applyFill="1" applyBorder="1" applyAlignment="1" applyProtection="1">
      <alignment vertical="center"/>
      <protection locked="0"/>
    </xf>
    <xf numFmtId="165" fontId="23" fillId="0" borderId="53" xfId="0" applyNumberFormat="1" applyFont="1" applyFill="1" applyBorder="1" applyAlignment="1" applyProtection="1">
      <alignment vertical="center"/>
      <protection locked="0"/>
    </xf>
    <xf numFmtId="165" fontId="22" fillId="0" borderId="53" xfId="0" applyNumberFormat="1" applyFont="1" applyFill="1" applyBorder="1" applyAlignment="1" applyProtection="1">
      <alignment vertical="center"/>
      <protection/>
    </xf>
    <xf numFmtId="165" fontId="22" fillId="0" borderId="22" xfId="0" applyNumberFormat="1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26" xfId="0" applyFont="1" applyFill="1" applyBorder="1" applyAlignment="1" applyProtection="1">
      <alignment vertical="center" wrapText="1"/>
      <protection/>
    </xf>
    <xf numFmtId="165" fontId="23" fillId="0" borderId="26" xfId="0" applyNumberFormat="1" applyFont="1" applyFill="1" applyBorder="1" applyAlignment="1" applyProtection="1">
      <alignment vertical="center"/>
      <protection locked="0"/>
    </xf>
    <xf numFmtId="165" fontId="23" fillId="0" borderId="78" xfId="0" applyNumberFormat="1" applyFont="1" applyFill="1" applyBorder="1" applyAlignment="1" applyProtection="1">
      <alignment vertical="center"/>
      <protection locked="0"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 wrapText="1"/>
      <protection/>
    </xf>
    <xf numFmtId="165" fontId="23" fillId="0" borderId="11" xfId="0" applyNumberFormat="1" applyFont="1" applyFill="1" applyBorder="1" applyAlignment="1" applyProtection="1">
      <alignment vertical="center"/>
      <protection locked="0"/>
    </xf>
    <xf numFmtId="165" fontId="23" fillId="0" borderId="76" xfId="0" applyNumberFormat="1" applyFont="1" applyFill="1" applyBorder="1" applyAlignment="1" applyProtection="1">
      <alignment vertical="center"/>
      <protection locked="0"/>
    </xf>
    <xf numFmtId="165" fontId="22" fillId="0" borderId="17" xfId="0" applyNumberFormat="1" applyFont="1" applyFill="1" applyBorder="1" applyAlignment="1" applyProtection="1">
      <alignment vertical="center"/>
      <protection/>
    </xf>
    <xf numFmtId="165" fontId="22" fillId="0" borderId="46" xfId="0" applyNumberFormat="1" applyFont="1" applyFill="1" applyBorder="1" applyAlignment="1" applyProtection="1">
      <alignment vertical="center"/>
      <protection/>
    </xf>
    <xf numFmtId="165" fontId="22" fillId="0" borderId="58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Alignment="1">
      <alignment/>
    </xf>
    <xf numFmtId="165" fontId="22" fillId="0" borderId="12" xfId="0" applyNumberFormat="1" applyFont="1" applyFill="1" applyBorder="1" applyAlignment="1" applyProtection="1">
      <alignment vertical="center"/>
      <protection/>
    </xf>
    <xf numFmtId="165" fontId="21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horizontal="center" vertical="center" wrapText="1"/>
      <protection locked="0"/>
    </xf>
    <xf numFmtId="0" fontId="38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58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right" vertical="center" wrapText="1" indent="1"/>
      <protection/>
    </xf>
    <xf numFmtId="0" fontId="24" fillId="0" borderId="48" xfId="0" applyFont="1" applyFill="1" applyBorder="1" applyAlignment="1" applyProtection="1">
      <alignment horizontal="left" vertical="center" wrapText="1" indent="1"/>
      <protection locked="0"/>
    </xf>
    <xf numFmtId="3" fontId="2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3" xfId="0" applyFont="1" applyFill="1" applyBorder="1" applyAlignment="1" applyProtection="1">
      <alignment horizontal="right" vertical="center" wrapText="1" indent="1"/>
      <protection/>
    </xf>
    <xf numFmtId="0" fontId="24" fillId="0" borderId="41" xfId="0" applyFont="1" applyFill="1" applyBorder="1" applyAlignment="1" applyProtection="1">
      <alignment horizontal="left" vertical="center" wrapText="1" indent="1"/>
      <protection locked="0"/>
    </xf>
    <xf numFmtId="3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3" xfId="0" applyFont="1" applyFill="1" applyBorder="1" applyAlignment="1">
      <alignment horizontal="right" vertical="center" wrapText="1" indent="1"/>
    </xf>
    <xf numFmtId="0" fontId="24" fillId="0" borderId="41" xfId="0" applyFont="1" applyFill="1" applyBorder="1" applyAlignment="1" applyProtection="1">
      <alignment horizontal="left" vertical="center" wrapText="1" indent="8"/>
      <protection locked="0"/>
    </xf>
    <xf numFmtId="0" fontId="23" fillId="0" borderId="24" xfId="0" applyFont="1" applyFill="1" applyBorder="1" applyAlignment="1" applyProtection="1">
      <alignment vertical="center" wrapText="1"/>
      <protection locked="0"/>
    </xf>
    <xf numFmtId="0" fontId="23" fillId="0" borderId="43" xfId="0" applyFont="1" applyFill="1" applyBorder="1" applyAlignment="1">
      <alignment horizontal="right" vertical="center" wrapText="1" indent="1"/>
    </xf>
    <xf numFmtId="0" fontId="23" fillId="0" borderId="11" xfId="0" applyFont="1" applyFill="1" applyBorder="1" applyAlignment="1" applyProtection="1">
      <alignment vertical="center" wrapText="1"/>
      <protection locked="0"/>
    </xf>
    <xf numFmtId="3" fontId="2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6" xfId="0" applyFont="1" applyFill="1" applyBorder="1" applyAlignment="1">
      <alignment horizontal="right" vertical="center" wrapText="1" indent="1"/>
    </xf>
    <xf numFmtId="0" fontId="22" fillId="0" borderId="46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20" fillId="0" borderId="0" xfId="0" applyFont="1" applyFill="1" applyAlignment="1" applyProtection="1">
      <alignment horizontal="right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79" xfId="0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>
      <alignment horizontal="right" vertical="center" indent="1"/>
    </xf>
    <xf numFmtId="0" fontId="23" fillId="0" borderId="38" xfId="0" applyFont="1" applyBorder="1" applyAlignment="1" applyProtection="1">
      <alignment horizontal="left" vertical="center" indent="1"/>
      <protection locked="0"/>
    </xf>
    <xf numFmtId="3" fontId="50" fillId="0" borderId="39" xfId="0" applyNumberFormat="1" applyFont="1" applyBorder="1" applyAlignment="1" applyProtection="1">
      <alignment horizontal="right" vertical="center" indent="1"/>
      <protection locked="0"/>
    </xf>
    <xf numFmtId="0" fontId="23" fillId="0" borderId="23" xfId="0" applyFont="1" applyFill="1" applyBorder="1" applyAlignment="1">
      <alignment horizontal="right" vertical="center" indent="1"/>
    </xf>
    <xf numFmtId="0" fontId="23" fillId="0" borderId="24" xfId="0" applyFont="1" applyBorder="1" applyAlignment="1" applyProtection="1">
      <alignment horizontal="left" vertical="center" indent="1"/>
      <protection locked="0"/>
    </xf>
    <xf numFmtId="3" fontId="50" fillId="0" borderId="22" xfId="0" applyNumberFormat="1" applyFont="1" applyBorder="1" applyAlignment="1" applyProtection="1">
      <alignment horizontal="right" vertical="center" indent="1"/>
      <protection locked="0"/>
    </xf>
    <xf numFmtId="3" fontId="50" fillId="38" borderId="22" xfId="0" applyNumberFormat="1" applyFont="1" applyFill="1" applyBorder="1" applyAlignment="1" applyProtection="1">
      <alignment horizontal="right" vertical="center" indent="1"/>
      <protection locked="0"/>
    </xf>
    <xf numFmtId="0" fontId="23" fillId="0" borderId="24" xfId="0" applyFont="1" applyFill="1" applyBorder="1" applyAlignment="1" applyProtection="1">
      <alignment horizontal="left" vertical="center" indent="1"/>
      <protection locked="0"/>
    </xf>
    <xf numFmtId="3" fontId="23" fillId="0" borderId="53" xfId="0" applyNumberFormat="1" applyFont="1" applyFill="1" applyBorder="1" applyAlignment="1" applyProtection="1">
      <alignment horizontal="right" vertical="center"/>
      <protection locked="0"/>
    </xf>
    <xf numFmtId="3" fontId="23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>
      <alignment vertical="center"/>
    </xf>
    <xf numFmtId="165" fontId="22" fillId="0" borderId="17" xfId="0" applyNumberFormat="1" applyFont="1" applyFill="1" applyBorder="1" applyAlignment="1">
      <alignment vertical="center" wrapText="1"/>
    </xf>
    <xf numFmtId="165" fontId="22" fillId="0" borderId="58" xfId="0" applyNumberFormat="1" applyFont="1" applyFill="1" applyBorder="1" applyAlignment="1">
      <alignment vertical="center" wrapText="1"/>
    </xf>
    <xf numFmtId="0" fontId="5" fillId="0" borderId="0" xfId="62" applyFill="1" applyProtection="1">
      <alignment/>
      <protection/>
    </xf>
    <xf numFmtId="0" fontId="51" fillId="0" borderId="0" xfId="62" applyFont="1" applyFill="1" applyProtection="1">
      <alignment/>
      <protection/>
    </xf>
    <xf numFmtId="0" fontId="5" fillId="0" borderId="0" xfId="62" applyFill="1" applyAlignment="1" applyProtection="1">
      <alignment horizontal="center"/>
      <protection/>
    </xf>
    <xf numFmtId="0" fontId="5" fillId="0" borderId="0" xfId="62" applyFill="1" applyProtection="1">
      <alignment/>
      <protection locked="0"/>
    </xf>
    <xf numFmtId="0" fontId="51" fillId="0" borderId="0" xfId="62" applyFont="1" applyFill="1" applyProtection="1">
      <alignment/>
      <protection locked="0"/>
    </xf>
    <xf numFmtId="0" fontId="39" fillId="0" borderId="43" xfId="62" applyFont="1" applyFill="1" applyBorder="1" applyAlignment="1" applyProtection="1">
      <alignment horizontal="center" vertical="center" wrapText="1"/>
      <protection locked="0"/>
    </xf>
    <xf numFmtId="0" fontId="39" fillId="0" borderId="11" xfId="62" applyFont="1" applyFill="1" applyBorder="1" applyAlignment="1" applyProtection="1">
      <alignment horizontal="center" vertical="center" wrapText="1"/>
      <protection locked="0"/>
    </xf>
    <xf numFmtId="0" fontId="39" fillId="0" borderId="12" xfId="62" applyFont="1" applyFill="1" applyBorder="1" applyAlignment="1" applyProtection="1">
      <alignment horizontal="center" vertical="center" wrapText="1"/>
      <protection locked="0"/>
    </xf>
    <xf numFmtId="0" fontId="5" fillId="0" borderId="0" xfId="62" applyFill="1" applyAlignment="1" applyProtection="1">
      <alignment horizontal="center" vertical="center"/>
      <protection/>
    </xf>
    <xf numFmtId="0" fontId="25" fillId="0" borderId="37" xfId="62" applyFont="1" applyFill="1" applyBorder="1" applyAlignment="1" applyProtection="1">
      <alignment vertical="center" wrapText="1"/>
      <protection/>
    </xf>
    <xf numFmtId="169" fontId="23" fillId="0" borderId="38" xfId="61" applyNumberFormat="1" applyFont="1" applyFill="1" applyBorder="1" applyAlignment="1" applyProtection="1">
      <alignment horizontal="center" vertical="center"/>
      <protection/>
    </xf>
    <xf numFmtId="170" fontId="54" fillId="0" borderId="38" xfId="62" applyNumberFormat="1" applyFont="1" applyFill="1" applyBorder="1" applyAlignment="1" applyProtection="1">
      <alignment horizontal="right" vertical="center" wrapText="1"/>
      <protection locked="0"/>
    </xf>
    <xf numFmtId="170" fontId="54" fillId="0" borderId="39" xfId="6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2" applyFill="1" applyAlignment="1" applyProtection="1">
      <alignment vertical="center"/>
      <protection/>
    </xf>
    <xf numFmtId="0" fontId="25" fillId="0" borderId="23" xfId="62" applyFont="1" applyFill="1" applyBorder="1" applyAlignment="1" applyProtection="1">
      <alignment vertical="center" wrapText="1"/>
      <protection/>
    </xf>
    <xf numFmtId="169" fontId="23" fillId="0" borderId="24" xfId="61" applyNumberFormat="1" applyFont="1" applyFill="1" applyBorder="1" applyAlignment="1" applyProtection="1">
      <alignment horizontal="center" vertical="center"/>
      <protection/>
    </xf>
    <xf numFmtId="170" fontId="54" fillId="0" borderId="24" xfId="62" applyNumberFormat="1" applyFont="1" applyFill="1" applyBorder="1" applyAlignment="1" applyProtection="1">
      <alignment horizontal="right" vertical="center" wrapText="1"/>
      <protection/>
    </xf>
    <xf numFmtId="170" fontId="54" fillId="0" borderId="22" xfId="62" applyNumberFormat="1" applyFont="1" applyFill="1" applyBorder="1" applyAlignment="1" applyProtection="1">
      <alignment horizontal="right" vertical="center" wrapText="1"/>
      <protection/>
    </xf>
    <xf numFmtId="0" fontId="55" fillId="0" borderId="23" xfId="62" applyFont="1" applyFill="1" applyBorder="1" applyAlignment="1" applyProtection="1">
      <alignment horizontal="left" vertical="center" wrapText="1" indent="1"/>
      <protection/>
    </xf>
    <xf numFmtId="170" fontId="56" fillId="0" borderId="24" xfId="62" applyNumberFormat="1" applyFont="1" applyFill="1" applyBorder="1" applyAlignment="1" applyProtection="1">
      <alignment horizontal="right" vertical="center" wrapText="1"/>
      <protection locked="0"/>
    </xf>
    <xf numFmtId="170" fontId="56" fillId="0" borderId="22" xfId="62" applyNumberFormat="1" applyFont="1" applyFill="1" applyBorder="1" applyAlignment="1" applyProtection="1">
      <alignment horizontal="right" vertical="center" wrapText="1"/>
      <protection locked="0"/>
    </xf>
    <xf numFmtId="170" fontId="57" fillId="0" borderId="24" xfId="62" applyNumberFormat="1" applyFont="1" applyFill="1" applyBorder="1" applyAlignment="1" applyProtection="1">
      <alignment horizontal="right" vertical="center" wrapText="1"/>
      <protection locked="0"/>
    </xf>
    <xf numFmtId="170" fontId="57" fillId="0" borderId="22" xfId="62" applyNumberFormat="1" applyFont="1" applyFill="1" applyBorder="1" applyAlignment="1" applyProtection="1">
      <alignment horizontal="right" vertical="center" wrapText="1"/>
      <protection locked="0"/>
    </xf>
    <xf numFmtId="170" fontId="57" fillId="0" borderId="24" xfId="62" applyNumberFormat="1" applyFont="1" applyFill="1" applyBorder="1" applyAlignment="1" applyProtection="1">
      <alignment horizontal="right" vertical="center" wrapText="1"/>
      <protection/>
    </xf>
    <xf numFmtId="170" fontId="57" fillId="0" borderId="22" xfId="62" applyNumberFormat="1" applyFont="1" applyFill="1" applyBorder="1" applyAlignment="1" applyProtection="1">
      <alignment horizontal="right" vertical="center" wrapText="1"/>
      <protection/>
    </xf>
    <xf numFmtId="0" fontId="25" fillId="0" borderId="43" xfId="62" applyFont="1" applyFill="1" applyBorder="1" applyAlignment="1" applyProtection="1">
      <alignment vertical="center" wrapText="1"/>
      <protection/>
    </xf>
    <xf numFmtId="169" fontId="23" fillId="0" borderId="11" xfId="61" applyNumberFormat="1" applyFont="1" applyFill="1" applyBorder="1" applyAlignment="1" applyProtection="1">
      <alignment horizontal="center" vertical="center"/>
      <protection/>
    </xf>
    <xf numFmtId="170" fontId="54" fillId="0" borderId="11" xfId="62" applyNumberFormat="1" applyFont="1" applyFill="1" applyBorder="1" applyAlignment="1" applyProtection="1">
      <alignment horizontal="right" vertical="center" wrapText="1"/>
      <protection/>
    </xf>
    <xf numFmtId="170" fontId="54" fillId="0" borderId="12" xfId="62" applyNumberFormat="1" applyFont="1" applyFill="1" applyBorder="1" applyAlignment="1" applyProtection="1">
      <alignment horizontal="right" vertical="center" wrapText="1"/>
      <protection/>
    </xf>
    <xf numFmtId="0" fontId="0" fillId="0" borderId="0" xfId="61" applyFill="1" applyAlignment="1" applyProtection="1">
      <alignment vertical="center" wrapText="1"/>
      <protection/>
    </xf>
    <xf numFmtId="0" fontId="16" fillId="0" borderId="0" xfId="61" applyFont="1" applyFill="1" applyAlignment="1" applyProtection="1">
      <alignment horizontal="center" vertic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ill="1" applyAlignment="1" applyProtection="1">
      <alignment vertical="center" wrapText="1"/>
      <protection locked="0"/>
    </xf>
    <xf numFmtId="0" fontId="16" fillId="0" borderId="0" xfId="61" applyFont="1" applyFill="1" applyAlignment="1" applyProtection="1">
      <alignment horizontal="center" vertical="center"/>
      <protection locked="0"/>
    </xf>
    <xf numFmtId="0" fontId="0" fillId="0" borderId="0" xfId="61" applyFill="1" applyAlignment="1" applyProtection="1">
      <alignment vertical="center"/>
      <protection locked="0"/>
    </xf>
    <xf numFmtId="0" fontId="0" fillId="0" borderId="0" xfId="61" applyFill="1" applyAlignment="1" applyProtection="1">
      <alignment horizontal="center" vertical="center"/>
      <protection/>
    </xf>
    <xf numFmtId="49" fontId="22" fillId="0" borderId="43" xfId="61" applyNumberFormat="1" applyFont="1" applyFill="1" applyBorder="1" applyAlignment="1" applyProtection="1">
      <alignment horizontal="center" vertical="center" wrapText="1"/>
      <protection locked="0"/>
    </xf>
    <xf numFmtId="49" fontId="22" fillId="0" borderId="11" xfId="61" applyNumberFormat="1" applyFont="1" applyFill="1" applyBorder="1" applyAlignment="1" applyProtection="1">
      <alignment horizontal="center" vertical="center"/>
      <protection locked="0"/>
    </xf>
    <xf numFmtId="49" fontId="22" fillId="0" borderId="12" xfId="61" applyNumberFormat="1" applyFont="1" applyFill="1" applyBorder="1" applyAlignment="1" applyProtection="1">
      <alignment horizontal="center" vertical="center"/>
      <protection locked="0"/>
    </xf>
    <xf numFmtId="49" fontId="0" fillId="0" borderId="0" xfId="61" applyNumberFormat="1" applyFont="1" applyFill="1" applyAlignment="1" applyProtection="1">
      <alignment horizontal="center" vertical="center"/>
      <protection/>
    </xf>
    <xf numFmtId="169" fontId="23" fillId="0" borderId="20" xfId="61" applyNumberFormat="1" applyFont="1" applyFill="1" applyBorder="1" applyAlignment="1" applyProtection="1">
      <alignment horizontal="center" vertical="center"/>
      <protection/>
    </xf>
    <xf numFmtId="171" fontId="23" fillId="0" borderId="21" xfId="61" applyNumberFormat="1" applyFont="1" applyFill="1" applyBorder="1" applyAlignment="1" applyProtection="1">
      <alignment vertical="center"/>
      <protection locked="0"/>
    </xf>
    <xf numFmtId="171" fontId="23" fillId="0" borderId="22" xfId="61" applyNumberFormat="1" applyFont="1" applyFill="1" applyBorder="1" applyAlignment="1" applyProtection="1">
      <alignment vertical="center"/>
      <protection locked="0"/>
    </xf>
    <xf numFmtId="171" fontId="22" fillId="0" borderId="22" xfId="61" applyNumberFormat="1" applyFont="1" applyFill="1" applyBorder="1" applyAlignment="1" applyProtection="1">
      <alignment vertical="center"/>
      <protection/>
    </xf>
    <xf numFmtId="171" fontId="22" fillId="0" borderId="22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2" fillId="0" borderId="43" xfId="61" applyFont="1" applyFill="1" applyBorder="1" applyAlignment="1" applyProtection="1">
      <alignment horizontal="left" vertical="center" wrapText="1"/>
      <protection/>
    </xf>
    <xf numFmtId="171" fontId="22" fillId="0" borderId="12" xfId="61" applyNumberFormat="1" applyFont="1" applyFill="1" applyBorder="1" applyAlignment="1" applyProtection="1">
      <alignment vertical="center"/>
      <protection/>
    </xf>
    <xf numFmtId="0" fontId="5" fillId="0" borderId="0" xfId="62" applyFill="1">
      <alignment/>
      <protection/>
    </xf>
    <xf numFmtId="0" fontId="5" fillId="0" borderId="0" xfId="62" applyFill="1" applyAlignment="1">
      <alignment/>
      <protection/>
    </xf>
    <xf numFmtId="0" fontId="47" fillId="0" borderId="0" xfId="62" applyFont="1" applyFill="1" applyAlignment="1">
      <alignment horizontal="center"/>
      <protection/>
    </xf>
    <xf numFmtId="0" fontId="26" fillId="0" borderId="13" xfId="62" applyFont="1" applyFill="1" applyBorder="1" applyAlignment="1">
      <alignment horizontal="center" vertical="center"/>
      <protection/>
    </xf>
    <xf numFmtId="0" fontId="19" fillId="0" borderId="14" xfId="61" applyFont="1" applyFill="1" applyBorder="1" applyAlignment="1" applyProtection="1">
      <alignment horizontal="center" vertical="center" textRotation="90"/>
      <protection/>
    </xf>
    <xf numFmtId="0" fontId="26" fillId="0" borderId="14" xfId="62" applyFont="1" applyFill="1" applyBorder="1" applyAlignment="1">
      <alignment horizontal="center" vertical="center" wrapText="1"/>
      <protection/>
    </xf>
    <xf numFmtId="0" fontId="26" fillId="0" borderId="80" xfId="62" applyFont="1" applyFill="1" applyBorder="1" applyAlignment="1">
      <alignment horizontal="center" vertical="center" wrapText="1"/>
      <protection/>
    </xf>
    <xf numFmtId="0" fontId="26" fillId="0" borderId="16" xfId="62" applyFont="1" applyFill="1" applyBorder="1" applyAlignment="1">
      <alignment horizontal="center" vertical="center"/>
      <protection/>
    </xf>
    <xf numFmtId="0" fontId="26" fillId="0" borderId="17" xfId="62" applyFont="1" applyFill="1" applyBorder="1" applyAlignment="1">
      <alignment horizontal="center" vertical="center" wrapText="1"/>
      <protection/>
    </xf>
    <xf numFmtId="0" fontId="26" fillId="0" borderId="58" xfId="62" applyFont="1" applyFill="1" applyBorder="1" applyAlignment="1">
      <alignment horizontal="center" vertical="center" wrapText="1"/>
      <protection/>
    </xf>
    <xf numFmtId="0" fontId="24" fillId="0" borderId="23" xfId="62" applyFont="1" applyFill="1" applyBorder="1" applyProtection="1">
      <alignment/>
      <protection locked="0"/>
    </xf>
    <xf numFmtId="0" fontId="24" fillId="0" borderId="20" xfId="62" applyFont="1" applyFill="1" applyBorder="1" applyAlignment="1">
      <alignment horizontal="right" indent="1"/>
      <protection/>
    </xf>
    <xf numFmtId="3" fontId="24" fillId="0" borderId="20" xfId="62" applyNumberFormat="1" applyFont="1" applyFill="1" applyBorder="1" applyProtection="1">
      <alignment/>
      <protection locked="0"/>
    </xf>
    <xf numFmtId="3" fontId="24" fillId="0" borderId="21" xfId="62" applyNumberFormat="1" applyFont="1" applyFill="1" applyBorder="1" applyProtection="1">
      <alignment/>
      <protection locked="0"/>
    </xf>
    <xf numFmtId="0" fontId="24" fillId="0" borderId="24" xfId="62" applyFont="1" applyFill="1" applyBorder="1" applyAlignment="1">
      <alignment horizontal="right" indent="1"/>
      <protection/>
    </xf>
    <xf numFmtId="3" fontId="24" fillId="0" borderId="24" xfId="62" applyNumberFormat="1" applyFont="1" applyFill="1" applyBorder="1" applyProtection="1">
      <alignment/>
      <protection locked="0"/>
    </xf>
    <xf numFmtId="3" fontId="24" fillId="0" borderId="22" xfId="62" applyNumberFormat="1" applyFont="1" applyFill="1" applyBorder="1" applyProtection="1">
      <alignment/>
      <protection locked="0"/>
    </xf>
    <xf numFmtId="0" fontId="24" fillId="0" borderId="25" xfId="62" applyFont="1" applyFill="1" applyBorder="1" applyProtection="1">
      <alignment/>
      <protection locked="0"/>
    </xf>
    <xf numFmtId="0" fontId="24" fillId="0" borderId="26" xfId="62" applyFont="1" applyFill="1" applyBorder="1" applyAlignment="1">
      <alignment horizontal="right" indent="1"/>
      <protection/>
    </xf>
    <xf numFmtId="3" fontId="24" fillId="0" borderId="26" xfId="62" applyNumberFormat="1" applyFont="1" applyFill="1" applyBorder="1" applyProtection="1">
      <alignment/>
      <protection locked="0"/>
    </xf>
    <xf numFmtId="3" fontId="24" fillId="0" borderId="29" xfId="62" applyNumberFormat="1" applyFont="1" applyFill="1" applyBorder="1" applyProtection="1">
      <alignment/>
      <protection locked="0"/>
    </xf>
    <xf numFmtId="0" fontId="25" fillId="0" borderId="16" xfId="62" applyFont="1" applyFill="1" applyBorder="1" applyProtection="1">
      <alignment/>
      <protection locked="0"/>
    </xf>
    <xf numFmtId="0" fontId="24" fillId="0" borderId="17" xfId="62" applyFont="1" applyFill="1" applyBorder="1" applyAlignment="1">
      <alignment horizontal="right" indent="1"/>
      <protection/>
    </xf>
    <xf numFmtId="3" fontId="24" fillId="0" borderId="17" xfId="62" applyNumberFormat="1" applyFont="1" applyFill="1" applyBorder="1" applyProtection="1">
      <alignment/>
      <protection locked="0"/>
    </xf>
    <xf numFmtId="171" fontId="22" fillId="0" borderId="58" xfId="61" applyNumberFormat="1" applyFont="1" applyFill="1" applyBorder="1" applyAlignment="1" applyProtection="1">
      <alignment vertical="center"/>
      <protection/>
    </xf>
    <xf numFmtId="0" fontId="24" fillId="0" borderId="19" xfId="62" applyFont="1" applyFill="1" applyBorder="1" applyProtection="1">
      <alignment/>
      <protection locked="0"/>
    </xf>
    <xf numFmtId="3" fontId="24" fillId="0" borderId="81" xfId="62" applyNumberFormat="1" applyFont="1" applyFill="1" applyBorder="1">
      <alignment/>
      <protection/>
    </xf>
    <xf numFmtId="0" fontId="58" fillId="0" borderId="0" xfId="62" applyFont="1" applyFill="1">
      <alignment/>
      <protection/>
    </xf>
    <xf numFmtId="0" fontId="59" fillId="0" borderId="0" xfId="62" applyFont="1" applyFill="1">
      <alignment/>
      <protection/>
    </xf>
    <xf numFmtId="0" fontId="60" fillId="0" borderId="0" xfId="0" applyFont="1" applyAlignment="1" applyProtection="1">
      <alignment horizontal="center"/>
      <protection locked="0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0" fontId="60" fillId="0" borderId="17" xfId="0" applyFont="1" applyBorder="1" applyAlignment="1" applyProtection="1">
      <alignment horizontal="center" vertical="center" wrapText="1"/>
      <protection locked="0"/>
    </xf>
    <xf numFmtId="0" fontId="60" fillId="0" borderId="58" xfId="0" applyFont="1" applyBorder="1" applyAlignment="1" applyProtection="1">
      <alignment horizontal="center" vertical="center" wrapText="1"/>
      <protection locked="0"/>
    </xf>
    <xf numFmtId="0" fontId="62" fillId="0" borderId="19" xfId="0" applyFont="1" applyBorder="1" applyAlignment="1" applyProtection="1">
      <alignment horizontal="center" vertical="top" wrapText="1"/>
      <protection/>
    </xf>
    <xf numFmtId="0" fontId="63" fillId="0" borderId="20" xfId="0" applyFont="1" applyBorder="1" applyAlignment="1" applyProtection="1">
      <alignment horizontal="left" vertical="top" wrapText="1"/>
      <protection locked="0"/>
    </xf>
    <xf numFmtId="9" fontId="63" fillId="0" borderId="20" xfId="70" applyFont="1" applyFill="1" applyBorder="1" applyAlignment="1" applyProtection="1">
      <alignment horizontal="center" vertical="center" wrapText="1"/>
      <protection locked="0"/>
    </xf>
    <xf numFmtId="172" fontId="63" fillId="0" borderId="20" xfId="48" applyNumberFormat="1" applyFont="1" applyFill="1" applyBorder="1" applyAlignment="1" applyProtection="1">
      <alignment horizontal="center" vertical="center" wrapText="1"/>
      <protection locked="0"/>
    </xf>
    <xf numFmtId="172" fontId="63" fillId="0" borderId="21" xfId="48" applyNumberFormat="1" applyFont="1" applyFill="1" applyBorder="1" applyAlignment="1" applyProtection="1">
      <alignment horizontal="center" vertical="top" wrapText="1"/>
      <protection locked="0"/>
    </xf>
    <xf numFmtId="0" fontId="62" fillId="0" borderId="23" xfId="0" applyFont="1" applyBorder="1" applyAlignment="1" applyProtection="1">
      <alignment horizontal="center" vertical="top" wrapText="1"/>
      <protection/>
    </xf>
    <xf numFmtId="0" fontId="63" fillId="0" borderId="24" xfId="0" applyFont="1" applyBorder="1" applyAlignment="1" applyProtection="1">
      <alignment horizontal="left" vertical="top" wrapText="1"/>
      <protection locked="0"/>
    </xf>
    <xf numFmtId="9" fontId="63" fillId="0" borderId="24" xfId="70" applyFont="1" applyFill="1" applyBorder="1" applyAlignment="1" applyProtection="1">
      <alignment horizontal="center" vertical="center" wrapText="1"/>
      <protection locked="0"/>
    </xf>
    <xf numFmtId="172" fontId="63" fillId="0" borderId="24" xfId="48" applyNumberFormat="1" applyFont="1" applyFill="1" applyBorder="1" applyAlignment="1" applyProtection="1">
      <alignment horizontal="center" vertical="center" wrapText="1"/>
      <protection locked="0"/>
    </xf>
    <xf numFmtId="172" fontId="63" fillId="0" borderId="22" xfId="48" applyNumberFormat="1" applyFont="1" applyFill="1" applyBorder="1" applyAlignment="1" applyProtection="1">
      <alignment horizontal="center" vertical="top" wrapText="1"/>
      <protection locked="0"/>
    </xf>
    <xf numFmtId="0" fontId="62" fillId="0" borderId="25" xfId="0" applyFont="1" applyBorder="1" applyAlignment="1" applyProtection="1">
      <alignment horizontal="center" vertical="top" wrapText="1"/>
      <protection/>
    </xf>
    <xf numFmtId="0" fontId="63" fillId="0" borderId="26" xfId="0" applyFont="1" applyBorder="1" applyAlignment="1" applyProtection="1">
      <alignment horizontal="left" vertical="top" wrapText="1"/>
      <protection locked="0"/>
    </xf>
    <xf numFmtId="9" fontId="63" fillId="0" borderId="26" xfId="70" applyFont="1" applyFill="1" applyBorder="1" applyAlignment="1" applyProtection="1">
      <alignment horizontal="center" vertical="center" wrapText="1"/>
      <protection locked="0"/>
    </xf>
    <xf numFmtId="172" fontId="63" fillId="0" borderId="26" xfId="48" applyNumberFormat="1" applyFont="1" applyFill="1" applyBorder="1" applyAlignment="1" applyProtection="1">
      <alignment horizontal="center" vertical="center" wrapText="1"/>
      <protection locked="0"/>
    </xf>
    <xf numFmtId="172" fontId="63" fillId="0" borderId="29" xfId="48" applyNumberFormat="1" applyFont="1" applyFill="1" applyBorder="1" applyAlignment="1" applyProtection="1">
      <alignment horizontal="center" vertical="top" wrapText="1"/>
      <protection locked="0"/>
    </xf>
    <xf numFmtId="0" fontId="60" fillId="39" borderId="17" xfId="0" applyFont="1" applyFill="1" applyBorder="1" applyAlignment="1" applyProtection="1">
      <alignment horizontal="center" vertical="top" wrapText="1"/>
      <protection/>
    </xf>
    <xf numFmtId="172" fontId="63" fillId="0" borderId="17" xfId="48" applyNumberFormat="1" applyFont="1" applyFill="1" applyBorder="1" applyAlignment="1" applyProtection="1">
      <alignment horizontal="center" vertical="center" wrapText="1"/>
      <protection/>
    </xf>
    <xf numFmtId="172" fontId="63" fillId="0" borderId="58" xfId="48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Alignment="1">
      <alignment horizontal="center"/>
    </xf>
    <xf numFmtId="0" fontId="64" fillId="0" borderId="0" xfId="0" applyFont="1" applyFill="1" applyAlignment="1">
      <alignment horizontal="right"/>
    </xf>
    <xf numFmtId="0" fontId="30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173" fontId="30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left" vertical="center" indent="5"/>
    </xf>
    <xf numFmtId="173" fontId="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indent="1"/>
    </xf>
    <xf numFmtId="173" fontId="0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4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3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left" vertical="center" wrapText="1" indent="1"/>
      <protection locked="0"/>
    </xf>
    <xf numFmtId="173" fontId="30" fillId="0" borderId="39" xfId="0" applyNumberFormat="1" applyFont="1" applyFill="1" applyBorder="1" applyAlignment="1" applyProtection="1">
      <alignment horizontal="right" vertical="center"/>
      <protection/>
    </xf>
    <xf numFmtId="0" fontId="65" fillId="0" borderId="11" xfId="0" applyFont="1" applyFill="1" applyBorder="1" applyAlignment="1">
      <alignment horizontal="left" vertical="center" indent="5"/>
    </xf>
    <xf numFmtId="0" fontId="23" fillId="0" borderId="0" xfId="0" applyFont="1" applyAlignment="1">
      <alignment wrapText="1"/>
    </xf>
    <xf numFmtId="3" fontId="25" fillId="0" borderId="24" xfId="60" applyNumberFormat="1" applyFont="1" applyFill="1" applyBorder="1">
      <alignment/>
      <protection/>
    </xf>
    <xf numFmtId="3" fontId="25" fillId="0" borderId="24" xfId="60" applyNumberFormat="1" applyFont="1" applyFill="1" applyBorder="1" applyAlignment="1">
      <alignment horizontal="left" vertical="center" wrapText="1"/>
      <protection/>
    </xf>
    <xf numFmtId="0" fontId="23" fillId="0" borderId="24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3" fontId="24" fillId="0" borderId="24" xfId="60" applyNumberFormat="1" applyFont="1" applyFill="1" applyBorder="1" applyAlignment="1">
      <alignment horizontal="right"/>
      <protection/>
    </xf>
    <xf numFmtId="3" fontId="24" fillId="0" borderId="24" xfId="60" applyNumberFormat="1" applyFont="1" applyFill="1" applyBorder="1">
      <alignment/>
      <protection/>
    </xf>
    <xf numFmtId="3" fontId="23" fillId="0" borderId="24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66" fillId="0" borderId="24" xfId="60" applyNumberFormat="1" applyFont="1" applyFill="1" applyBorder="1">
      <alignment/>
      <protection/>
    </xf>
    <xf numFmtId="3" fontId="25" fillId="0" borderId="24" xfId="60" applyNumberFormat="1" applyFont="1" applyFill="1" applyBorder="1" applyAlignment="1">
      <alignment horizontal="right"/>
      <protection/>
    </xf>
    <xf numFmtId="3" fontId="22" fillId="0" borderId="24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3" fontId="46" fillId="0" borderId="24" xfId="60" applyNumberFormat="1" applyFont="1" applyFill="1" applyBorder="1">
      <alignment/>
      <protection/>
    </xf>
    <xf numFmtId="3" fontId="24" fillId="0" borderId="24" xfId="60" applyNumberFormat="1" applyFont="1" applyFill="1" applyBorder="1" applyAlignment="1">
      <alignment/>
      <protection/>
    </xf>
    <xf numFmtId="3" fontId="25" fillId="0" borderId="24" xfId="60" applyNumberFormat="1" applyFont="1" applyFill="1" applyBorder="1" applyAlignment="1">
      <alignment wrapText="1"/>
      <protection/>
    </xf>
    <xf numFmtId="3" fontId="46" fillId="0" borderId="26" xfId="60" applyNumberFormat="1" applyFont="1" applyFill="1" applyBorder="1">
      <alignment/>
      <protection/>
    </xf>
    <xf numFmtId="3" fontId="24" fillId="0" borderId="53" xfId="0" applyNumberFormat="1" applyFont="1" applyFill="1" applyBorder="1" applyAlignment="1">
      <alignment/>
    </xf>
    <xf numFmtId="0" fontId="24" fillId="0" borderId="82" xfId="0" applyFont="1" applyFill="1" applyBorder="1" applyAlignment="1" applyProtection="1">
      <alignment horizontal="left" vertical="center" wrapText="1"/>
      <protection locked="0"/>
    </xf>
    <xf numFmtId="3" fontId="24" fillId="0" borderId="41" xfId="0" applyNumberFormat="1" applyFont="1" applyFill="1" applyBorder="1" applyAlignment="1">
      <alignment/>
    </xf>
    <xf numFmtId="3" fontId="24" fillId="0" borderId="53" xfId="60" applyNumberFormat="1" applyFont="1" applyFill="1" applyBorder="1">
      <alignment/>
      <protection/>
    </xf>
    <xf numFmtId="3" fontId="25" fillId="0" borderId="82" xfId="0" applyNumberFormat="1" applyFont="1" applyFill="1" applyBorder="1" applyAlignment="1" applyProtection="1">
      <alignment horizontal="right" wrapText="1"/>
      <protection locked="0"/>
    </xf>
    <xf numFmtId="3" fontId="25" fillId="0" borderId="47" xfId="60" applyNumberFormat="1" applyFont="1" applyFill="1" applyBorder="1">
      <alignment/>
      <protection/>
    </xf>
    <xf numFmtId="3" fontId="25" fillId="0" borderId="26" xfId="60" applyNumberFormat="1" applyFont="1" applyFill="1" applyBorder="1">
      <alignment/>
      <protection/>
    </xf>
    <xf numFmtId="0" fontId="0" fillId="0" borderId="83" xfId="0" applyFill="1" applyBorder="1" applyAlignment="1">
      <alignment horizontal="left"/>
    </xf>
    <xf numFmtId="0" fontId="0" fillId="0" borderId="84" xfId="0" applyFill="1" applyBorder="1" applyAlignment="1">
      <alignment horizontal="left"/>
    </xf>
    <xf numFmtId="165" fontId="26" fillId="0" borderId="6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4" borderId="0" xfId="0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/>
      <protection locked="0"/>
    </xf>
    <xf numFmtId="0" fontId="13" fillId="0" borderId="0" xfId="59" applyFont="1" applyFill="1" applyBorder="1" applyAlignment="1" applyProtection="1">
      <alignment horizontal="right"/>
      <protection locked="0"/>
    </xf>
    <xf numFmtId="0" fontId="12" fillId="0" borderId="0" xfId="59" applyFont="1" applyFill="1" applyBorder="1" applyAlignment="1" applyProtection="1">
      <alignment horizontal="center"/>
      <protection locked="0"/>
    </xf>
    <xf numFmtId="165" fontId="12" fillId="0" borderId="0" xfId="59" applyNumberFormat="1" applyFont="1" applyFill="1" applyBorder="1" applyAlignment="1" applyProtection="1">
      <alignment horizontal="center" vertical="center"/>
      <protection locked="0"/>
    </xf>
    <xf numFmtId="165" fontId="19" fillId="0" borderId="34" xfId="59" applyNumberFormat="1" applyFont="1" applyFill="1" applyBorder="1" applyAlignment="1" applyProtection="1">
      <alignment horizontal="left" vertical="center"/>
      <protection locked="0"/>
    </xf>
    <xf numFmtId="0" fontId="12" fillId="0" borderId="0" xfId="59" applyFont="1" applyFill="1" applyBorder="1" applyAlignment="1" applyProtection="1">
      <alignment horizontal="center"/>
      <protection/>
    </xf>
    <xf numFmtId="165" fontId="19" fillId="0" borderId="34" xfId="59" applyNumberFormat="1" applyFont="1" applyFill="1" applyBorder="1" applyAlignment="1" applyProtection="1">
      <alignment horizontal="left" vertical="center"/>
      <protection/>
    </xf>
    <xf numFmtId="0" fontId="21" fillId="0" borderId="16" xfId="59" applyFont="1" applyFill="1" applyBorder="1" applyAlignment="1" applyProtection="1">
      <alignment horizontal="center" vertical="center" wrapText="1"/>
      <protection/>
    </xf>
    <xf numFmtId="0" fontId="21" fillId="0" borderId="17" xfId="59" applyFont="1" applyFill="1" applyBorder="1" applyAlignment="1" applyProtection="1">
      <alignment horizontal="center" vertical="center" wrapText="1"/>
      <protection/>
    </xf>
    <xf numFmtId="0" fontId="21" fillId="0" borderId="40" xfId="59" applyFont="1" applyFill="1" applyBorder="1" applyAlignment="1" applyProtection="1">
      <alignment horizontal="center" vertical="center" wrapText="1"/>
      <protection/>
    </xf>
    <xf numFmtId="165" fontId="12" fillId="0" borderId="0" xfId="59" applyNumberFormat="1" applyFont="1" applyFill="1" applyBorder="1" applyAlignment="1" applyProtection="1">
      <alignment horizontal="center" vertical="center"/>
      <protection/>
    </xf>
    <xf numFmtId="165" fontId="19" fillId="0" borderId="34" xfId="59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 locked="0"/>
    </xf>
    <xf numFmtId="16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21" fillId="0" borderId="49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49" xfId="0" applyNumberFormat="1" applyFont="1" applyFill="1" applyBorder="1" applyAlignment="1" applyProtection="1">
      <alignment horizontal="center" vertical="center" wrapText="1"/>
      <protection locked="0"/>
    </xf>
    <xf numFmtId="165" fontId="32" fillId="0" borderId="70" xfId="0" applyNumberFormat="1" applyFont="1" applyFill="1" applyBorder="1" applyAlignment="1" applyProtection="1">
      <alignment horizontal="center" vertical="center" wrapText="1"/>
      <protection/>
    </xf>
    <xf numFmtId="165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165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center" textRotation="180"/>
    </xf>
    <xf numFmtId="0" fontId="0" fillId="0" borderId="0" xfId="0" applyFill="1" applyAlignment="1">
      <alignment/>
    </xf>
    <xf numFmtId="165" fontId="20" fillId="0" borderId="34" xfId="0" applyNumberFormat="1" applyFont="1" applyFill="1" applyBorder="1" applyAlignment="1" applyProtection="1">
      <alignment horizontal="right" vertical="center"/>
      <protection locked="0"/>
    </xf>
    <xf numFmtId="165" fontId="21" fillId="0" borderId="69" xfId="0" applyNumberFormat="1" applyFont="1" applyFill="1" applyBorder="1" applyAlignment="1">
      <alignment horizontal="center" vertical="center"/>
    </xf>
    <xf numFmtId="165" fontId="21" fillId="0" borderId="49" xfId="0" applyNumberFormat="1" applyFont="1" applyFill="1" applyBorder="1" applyAlignment="1">
      <alignment horizontal="center" vertical="center" wrapText="1"/>
    </xf>
    <xf numFmtId="165" fontId="21" fillId="0" borderId="63" xfId="0" applyNumberFormat="1" applyFont="1" applyFill="1" applyBorder="1" applyAlignment="1">
      <alignment horizontal="center" vertical="center" wrapText="1"/>
    </xf>
    <xf numFmtId="165" fontId="22" fillId="0" borderId="49" xfId="0" applyNumberFormat="1" applyFont="1" applyFill="1" applyBorder="1" applyAlignment="1">
      <alignment horizontal="center" vertical="center"/>
    </xf>
    <xf numFmtId="165" fontId="22" fillId="0" borderId="49" xfId="0" applyNumberFormat="1" applyFont="1" applyFill="1" applyBorder="1" applyAlignment="1">
      <alignment horizontal="center" vertical="center" wrapText="1"/>
    </xf>
    <xf numFmtId="165" fontId="21" fillId="0" borderId="49" xfId="0" applyNumberFormat="1" applyFont="1" applyFill="1" applyBorder="1" applyAlignment="1">
      <alignment horizontal="center" vertical="center" wrapText="1"/>
    </xf>
    <xf numFmtId="165" fontId="22" fillId="0" borderId="49" xfId="0" applyNumberFormat="1" applyFont="1" applyFill="1" applyBorder="1" applyAlignment="1" applyProtection="1">
      <alignment horizontal="center" vertical="center" wrapText="1"/>
      <protection locked="0"/>
    </xf>
    <xf numFmtId="165" fontId="30" fillId="0" borderId="69" xfId="0" applyNumberFormat="1" applyFont="1" applyFill="1" applyBorder="1" applyAlignment="1">
      <alignment horizontal="left" vertical="center" wrapText="1" indent="2"/>
    </xf>
    <xf numFmtId="166" fontId="39" fillId="0" borderId="70" xfId="0" applyNumberFormat="1" applyFont="1" applyFill="1" applyBorder="1" applyAlignment="1" applyProtection="1">
      <alignment horizontal="left" vertical="center" wrapText="1"/>
      <protection locked="0"/>
    </xf>
    <xf numFmtId="166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34" xfId="0" applyNumberFormat="1" applyFont="1" applyFill="1" applyBorder="1" applyAlignment="1">
      <alignment horizontal="right" vertical="center"/>
    </xf>
    <xf numFmtId="165" fontId="30" fillId="0" borderId="69" xfId="0" applyNumberFormat="1" applyFont="1" applyFill="1" applyBorder="1" applyAlignment="1">
      <alignment horizontal="center" vertical="center" wrapText="1"/>
    </xf>
    <xf numFmtId="165" fontId="0" fillId="0" borderId="62" xfId="0" applyNumberFormat="1" applyFill="1" applyBorder="1" applyAlignment="1" applyProtection="1">
      <alignment horizontal="left" vertical="center" wrapText="1"/>
      <protection locked="0"/>
    </xf>
    <xf numFmtId="165" fontId="0" fillId="0" borderId="85" xfId="0" applyNumberFormat="1" applyFill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right" vertical="top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165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6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58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34" xfId="0" applyFont="1" applyFill="1" applyBorder="1" applyAlignment="1" applyProtection="1">
      <alignment horizontal="center" vertical="center"/>
      <protection/>
    </xf>
    <xf numFmtId="0" fontId="42" fillId="0" borderId="70" xfId="0" applyFont="1" applyFill="1" applyBorder="1" applyAlignment="1">
      <alignment/>
    </xf>
    <xf numFmtId="0" fontId="21" fillId="0" borderId="17" xfId="59" applyFont="1" applyFill="1" applyBorder="1" applyAlignment="1" applyProtection="1">
      <alignment horizontal="center" vertical="center" wrapText="1"/>
      <protection locked="0"/>
    </xf>
    <xf numFmtId="165" fontId="21" fillId="0" borderId="39" xfId="59" applyNumberFormat="1" applyFont="1" applyFill="1" applyBorder="1" applyAlignment="1" applyProtection="1">
      <alignment horizontal="center" vertical="center"/>
      <protection locked="0"/>
    </xf>
    <xf numFmtId="165" fontId="21" fillId="0" borderId="39" xfId="59" applyNumberFormat="1" applyFont="1" applyFill="1" applyBorder="1" applyAlignment="1" applyProtection="1">
      <alignment horizontal="center" vertical="center"/>
      <protection/>
    </xf>
    <xf numFmtId="0" fontId="21" fillId="0" borderId="16" xfId="59" applyFont="1" applyFill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16" xfId="0" applyNumberFormat="1" applyFont="1" applyFill="1" applyBorder="1" applyAlignment="1" applyProtection="1">
      <alignment horizontal="center" vertical="center" wrapText="1"/>
      <protection/>
    </xf>
    <xf numFmtId="165" fontId="21" fillId="0" borderId="17" xfId="0" applyNumberFormat="1" applyFont="1" applyFill="1" applyBorder="1" applyAlignment="1" applyProtection="1">
      <alignment horizontal="center" vertical="center" wrapText="1"/>
      <protection/>
    </xf>
    <xf numFmtId="165" fontId="21" fillId="0" borderId="39" xfId="0" applyNumberFormat="1" applyFont="1" applyFill="1" applyBorder="1" applyAlignment="1" applyProtection="1">
      <alignment horizontal="center" vertical="center"/>
      <protection/>
    </xf>
    <xf numFmtId="165" fontId="21" fillId="0" borderId="49" xfId="0" applyNumberFormat="1" applyFont="1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21" fillId="0" borderId="49" xfId="0" applyNumberFormat="1" applyFont="1" applyFill="1" applyBorder="1" applyAlignment="1" applyProtection="1">
      <alignment horizontal="center" vertical="center"/>
      <protection locked="0"/>
    </xf>
    <xf numFmtId="165" fontId="21" fillId="0" borderId="69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8" xfId="0" applyFont="1" applyFill="1" applyBorder="1" applyAlignment="1" applyProtection="1">
      <alignment horizontal="center" vertical="center" wrapText="1"/>
      <protection locked="0"/>
    </xf>
    <xf numFmtId="0" fontId="21" fillId="0" borderId="63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 applyProtection="1">
      <alignment horizontal="left" vertical="center"/>
      <protection/>
    </xf>
    <xf numFmtId="0" fontId="21" fillId="0" borderId="63" xfId="0" applyFont="1" applyFill="1" applyBorder="1" applyAlignment="1" applyProtection="1">
      <alignment horizontal="left" vertical="center" wrapText="1"/>
      <protection/>
    </xf>
    <xf numFmtId="0" fontId="30" fillId="0" borderId="16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right"/>
      <protection locked="0"/>
    </xf>
    <xf numFmtId="0" fontId="21" fillId="0" borderId="69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71" xfId="0" applyFont="1" applyFill="1" applyBorder="1" applyAlignment="1" applyProtection="1">
      <alignment horizontal="center" vertical="center" wrapText="1"/>
      <protection locked="0"/>
    </xf>
    <xf numFmtId="0" fontId="21" fillId="0" borderId="4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0" fontId="23" fillId="0" borderId="7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 applyProtection="1">
      <alignment horizontal="right"/>
      <protection locked="0"/>
    </xf>
    <xf numFmtId="0" fontId="21" fillId="0" borderId="16" xfId="0" applyFont="1" applyFill="1" applyBorder="1" applyAlignment="1">
      <alignment horizontal="left" vertical="center" indent="2"/>
    </xf>
    <xf numFmtId="0" fontId="52" fillId="0" borderId="39" xfId="62" applyFont="1" applyFill="1" applyBorder="1" applyAlignment="1" applyProtection="1">
      <alignment horizontal="center" vertical="center" wrapText="1"/>
      <protection locked="0"/>
    </xf>
    <xf numFmtId="0" fontId="52" fillId="0" borderId="22" xfId="62" applyFont="1" applyFill="1" applyBorder="1" applyAlignment="1" applyProtection="1">
      <alignment horizontal="center" wrapText="1"/>
      <protection locked="0"/>
    </xf>
    <xf numFmtId="0" fontId="40" fillId="0" borderId="0" xfId="62" applyFont="1" applyFill="1" applyBorder="1" applyAlignment="1" applyProtection="1">
      <alignment horizontal="right"/>
      <protection locked="0"/>
    </xf>
    <xf numFmtId="0" fontId="47" fillId="0" borderId="0" xfId="62" applyFont="1" applyFill="1" applyBorder="1" applyAlignment="1" applyProtection="1">
      <alignment horizontal="center"/>
      <protection locked="0"/>
    </xf>
    <xf numFmtId="0" fontId="47" fillId="0" borderId="0" xfId="62" applyFont="1" applyFill="1" applyBorder="1" applyAlignment="1" applyProtection="1">
      <alignment horizontal="center" vertical="center" wrapText="1"/>
      <protection locked="0"/>
    </xf>
    <xf numFmtId="0" fontId="52" fillId="0" borderId="0" xfId="62" applyFont="1" applyFill="1" applyBorder="1" applyAlignment="1" applyProtection="1">
      <alignment horizontal="right"/>
      <protection locked="0"/>
    </xf>
    <xf numFmtId="0" fontId="53" fillId="0" borderId="37" xfId="62" applyFont="1" applyFill="1" applyBorder="1" applyAlignment="1" applyProtection="1">
      <alignment horizontal="center" vertical="center" wrapText="1"/>
      <protection locked="0"/>
    </xf>
    <xf numFmtId="0" fontId="19" fillId="0" borderId="38" xfId="61" applyFont="1" applyFill="1" applyBorder="1" applyAlignment="1" applyProtection="1">
      <alignment horizontal="center" vertical="center" textRotation="90"/>
      <protection locked="0"/>
    </xf>
    <xf numFmtId="0" fontId="52" fillId="0" borderId="38" xfId="62" applyFont="1" applyFill="1" applyBorder="1" applyAlignment="1" applyProtection="1">
      <alignment horizontal="center" vertical="center" wrapText="1"/>
      <protection locked="0"/>
    </xf>
    <xf numFmtId="0" fontId="13" fillId="0" borderId="0" xfId="61" applyFont="1" applyFill="1" applyBorder="1" applyAlignment="1" applyProtection="1">
      <alignment horizontal="right" vertical="center" wrapText="1"/>
      <protection locked="0"/>
    </xf>
    <xf numFmtId="0" fontId="30" fillId="0" borderId="0" xfId="61" applyFont="1" applyFill="1" applyBorder="1" applyAlignment="1" applyProtection="1">
      <alignment horizontal="center" vertical="center" wrapText="1"/>
      <protection locked="0"/>
    </xf>
    <xf numFmtId="0" fontId="12" fillId="0" borderId="0" xfId="61" applyFont="1" applyFill="1" applyBorder="1" applyAlignment="1" applyProtection="1">
      <alignment horizontal="center" vertical="center" wrapText="1"/>
      <protection locked="0"/>
    </xf>
    <xf numFmtId="0" fontId="19" fillId="0" borderId="0" xfId="61" applyFont="1" applyFill="1" applyBorder="1" applyAlignment="1" applyProtection="1">
      <alignment horizontal="right" vertical="center"/>
      <protection locked="0"/>
    </xf>
    <xf numFmtId="0" fontId="12" fillId="0" borderId="37" xfId="61" applyFont="1" applyFill="1" applyBorder="1" applyAlignment="1" applyProtection="1">
      <alignment horizontal="center" vertical="center" wrapText="1"/>
      <protection locked="0"/>
    </xf>
    <xf numFmtId="0" fontId="20" fillId="0" borderId="39" xfId="61" applyFont="1" applyFill="1" applyBorder="1" applyAlignment="1" applyProtection="1">
      <alignment horizontal="center" vertical="center" wrapText="1"/>
      <protection locked="0"/>
    </xf>
    <xf numFmtId="0" fontId="40" fillId="0" borderId="0" xfId="62" applyFont="1" applyFill="1" applyBorder="1" applyAlignment="1">
      <alignment horizontal="right"/>
      <protection/>
    </xf>
    <xf numFmtId="0" fontId="47" fillId="0" borderId="0" xfId="62" applyFont="1" applyFill="1" applyBorder="1" applyAlignment="1">
      <alignment horizontal="center"/>
      <protection/>
    </xf>
    <xf numFmtId="0" fontId="47" fillId="0" borderId="0" xfId="62" applyFont="1" applyFill="1" applyBorder="1" applyAlignment="1">
      <alignment horizontal="center" vertical="center" wrapText="1"/>
      <protection/>
    </xf>
    <xf numFmtId="0" fontId="26" fillId="0" borderId="16" xfId="62" applyFont="1" applyFill="1" applyBorder="1" applyAlignment="1">
      <alignment horizontal="left"/>
      <protection/>
    </xf>
    <xf numFmtId="0" fontId="60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textRotation="180"/>
      <protection locked="0"/>
    </xf>
    <xf numFmtId="0" fontId="60" fillId="0" borderId="16" xfId="0" applyFont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 horizontal="center" vertical="top" wrapTex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Magyarázó szöveg" xfId="57"/>
    <cellStyle name="Már látott hiperhivatkozás" xfId="58"/>
    <cellStyle name="Normál_KVRENMUNKA" xfId="59"/>
    <cellStyle name="Normál_Munka5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dxfs count="3"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C6C6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externalLink" Target="externalLinks/externalLink1.xml" /><Relationship Id="rId78" Type="http://schemas.openxmlformats.org/officeDocument/2006/relationships/externalLink" Target="externalLinks/externalLink2.xml" /><Relationship Id="rId7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0517\Z&#225;rsz&#225;mad&#225;s%202018\Z&#225;rsz&#225;mad&#225;s%202018\rendelet%20mell&#233;klet%20&#250;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ti.henriett\AppData\Local\Microsoft\Windows\Temporary%20Internet%20Files\Content.Outlook\FL34ZJN0\M&#225;solat%20eredetijeZ&#193;RSZ&#193;M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>
        <row r="3">
          <cell r="C3" t="str">
            <v>2018. évi előirányzat</v>
          </cell>
        </row>
      </sheetData>
      <sheetData sheetId="10">
        <row r="2">
          <cell r="C2" t="str">
            <v>Forintban!</v>
          </cell>
        </row>
      </sheetData>
      <sheetData sheetId="11">
        <row r="2">
          <cell r="F2" t="str">
            <v>Forintban!</v>
          </cell>
        </row>
        <row r="3">
          <cell r="D3" t="str">
            <v>Felhasználás   2017. XII. 31-ig</v>
          </cell>
          <cell r="E3" t="str">
            <v>2018. évi előirányzat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1">
        <row r="1">
          <cell r="B1">
            <v>2018</v>
          </cell>
        </row>
        <row r="7">
          <cell r="A7" t="str">
            <v>a</v>
          </cell>
          <cell r="B7" t="str">
            <v>…</v>
          </cell>
          <cell r="C7" t="str">
            <v>/</v>
          </cell>
          <cell r="D7" t="str">
            <v>2019.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7"/>
  <sheetViews>
    <sheetView zoomScale="120" zoomScaleNormal="120" zoomScalePageLayoutView="0" workbookViewId="0" topLeftCell="A1">
      <selection activeCell="B12" sqref="B12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2" spans="1:3" ht="18.75" customHeight="1">
      <c r="A2" s="801" t="s">
        <v>0</v>
      </c>
      <c r="B2" s="801"/>
      <c r="C2" s="801"/>
    </row>
    <row r="3" spans="1:3" ht="15">
      <c r="A3" s="1"/>
      <c r="B3" s="2"/>
      <c r="C3" s="1"/>
    </row>
    <row r="4" spans="1:3" ht="14.25">
      <c r="A4" s="3" t="s">
        <v>1</v>
      </c>
      <c r="B4" s="4" t="s">
        <v>2</v>
      </c>
      <c r="C4" s="3" t="s">
        <v>3</v>
      </c>
    </row>
    <row r="5" spans="1:3" ht="12.75">
      <c r="A5" s="5"/>
      <c r="B5" s="5"/>
      <c r="C5" s="5"/>
    </row>
    <row r="6" spans="1:3" ht="18.75">
      <c r="A6" s="802" t="s">
        <v>4</v>
      </c>
      <c r="B6" s="802"/>
      <c r="C6" s="802"/>
    </row>
    <row r="7" spans="1:3" ht="12.75">
      <c r="A7" s="5" t="s">
        <v>5</v>
      </c>
      <c r="B7" s="5" t="s">
        <v>6</v>
      </c>
      <c r="C7" s="6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5" t="s">
        <v>7</v>
      </c>
      <c r="B8" s="5" t="s">
        <v>8</v>
      </c>
      <c r="C8" s="6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5" t="s">
        <v>9</v>
      </c>
      <c r="B9" s="5" t="str">
        <f>CONCATENATE(LOWER('Z_1.1.sz.mell.'!A3))</f>
        <v>2018. évi zárszámadásának pénzügyi mérlege</v>
      </c>
      <c r="C9" s="6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5" t="s">
        <v>10</v>
      </c>
      <c r="B10" s="5" t="str">
        <f>'Z_1.2.sz.mell.'!A3</f>
        <v>2018. ÉVI ZÁRSZÁMADSÁS</v>
      </c>
      <c r="C10" s="6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5" t="s">
        <v>11</v>
      </c>
      <c r="B11" s="5" t="str">
        <f>'Z_1.3.sz.mell.'!A3</f>
        <v>2018. ÉVI ZÁRSZÁMADSÁS</v>
      </c>
      <c r="C11" s="6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5" t="s">
        <v>12</v>
      </c>
      <c r="B12" s="5" t="str">
        <f>'Z_1.4.sz.mell.'!A3</f>
        <v>2018. ÉVI ZÁRSZÁMADSÁS</v>
      </c>
      <c r="C12" s="6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ht="12.75">
      <c r="A13" s="5" t="s">
        <v>13</v>
      </c>
      <c r="B13" s="5" t="s">
        <v>14</v>
      </c>
      <c r="C13" s="6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5" t="s">
        <v>15</v>
      </c>
      <c r="B14" s="5" t="s">
        <v>16</v>
      </c>
      <c r="C14" s="6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5" t="s">
        <v>17</v>
      </c>
      <c r="B15" s="5" t="s">
        <v>18</v>
      </c>
      <c r="C15" s="6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5" t="s">
        <v>19</v>
      </c>
      <c r="B16" s="5" t="s">
        <v>20</v>
      </c>
      <c r="C16" s="6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5" t="s">
        <v>21</v>
      </c>
      <c r="B17" s="5" t="s">
        <v>22</v>
      </c>
      <c r="C17" s="6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5" t="s">
        <v>23</v>
      </c>
      <c r="B18" s="5" t="str">
        <f>'Z_5.sz.mell.'!A2</f>
        <v>Európai uniós támogatással megvalósuló projektek</v>
      </c>
      <c r="C18" s="6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ht="12.75">
      <c r="A19" s="5" t="s">
        <v>24</v>
      </c>
      <c r="B19" s="5" t="s">
        <v>25</v>
      </c>
      <c r="C19" s="6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5" t="s">
        <v>26</v>
      </c>
      <c r="B20" s="5" t="s">
        <v>27</v>
      </c>
      <c r="C20" s="6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ht="12.75">
      <c r="A21" s="5" t="s">
        <v>28</v>
      </c>
      <c r="B21" s="5" t="s">
        <v>29</v>
      </c>
      <c r="C21" s="6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ht="12.75">
      <c r="A22" s="5" t="s">
        <v>30</v>
      </c>
      <c r="B22" s="5" t="s">
        <v>31</v>
      </c>
      <c r="C22" s="6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ht="12.75">
      <c r="A23" s="5" t="s">
        <v>32</v>
      </c>
      <c r="B23" t="str">
        <f>Z_ALAPADATOK!B12</f>
        <v>Balatonvilágosi Szivárvány Óvoda</v>
      </c>
      <c r="C23" s="6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4" spans="1:3" ht="12.75">
      <c r="A24" s="5" t="s">
        <v>33</v>
      </c>
      <c r="B24" t="str">
        <f>Z_ALAPADATOK!B14</f>
        <v>Balatonvilágos Község Önkormányzat Gazdasági Ellátó és Vagyongazdálkodó Szervezete</v>
      </c>
      <c r="C24" s="6" t="str">
        <f ca="1">HYPERLINK(SUBSTITUTE(CELL("address",'Z_6.4.sz.mell'!A1),"'",""),SUBSTITUTE(MID(CELL("address",'Z_6.4.sz.mell'!A1),SEARCH("]",CELL("address",'Z_6.4.sz.mell'!A1),1)+1,LEN(CELL("address",'Z_6.4.sz.mell'!A1))-SEARCH("]",CELL("address",'Z_6.4.sz.mell'!A1),1)),"'",""))</f>
        <v>Z_6.4.sz.mell!$A$1</v>
      </c>
    </row>
    <row r="25" spans="1:3" ht="12.75">
      <c r="A25" s="5" t="s">
        <v>34</v>
      </c>
      <c r="B25" t="str">
        <f>PROPER('Z_7.sz.mell'!A3)</f>
        <v>Költségvetési Szervek Maradványának Alakulása</v>
      </c>
      <c r="C25" s="6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26" spans="1:3" ht="12.75">
      <c r="A26" s="5" t="s">
        <v>35</v>
      </c>
      <c r="B26" t="str">
        <f>'Z_8.sz.mell'!B1</f>
        <v>2018. évi általános működés és ágazati feladatok támogatásának alakulása jogcímenként</v>
      </c>
      <c r="C26" s="6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27" spans="1:3" ht="12.75">
      <c r="A27" s="5" t="s">
        <v>36</v>
      </c>
      <c r="B27" t="str">
        <f>CONCATENATE(PROPER('Z_1.tájékoztató_t.'!A2)," ",LOWER('Z_1.tájékoztató_t.'!A3))</f>
        <v>Balatonvilágos Község Önkormányzata 2019. évi zárszámadásának pénzügyi mérlege</v>
      </c>
      <c r="C27" s="6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28" spans="1:3" ht="12.75">
      <c r="A28" s="5" t="s">
        <v>37</v>
      </c>
      <c r="B28" t="str">
        <f>'Z_2.tájékoztató_t.'!A1</f>
        <v>Többéves kihatással járó döntésekből származó kötzelezettségek célok szerinti, évenkénti bontásban</v>
      </c>
      <c r="C28" s="6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29" spans="1:3" ht="12.75">
      <c r="A29" s="5" t="s">
        <v>38</v>
      </c>
      <c r="B29" t="str">
        <f>'Z_3.tájékoztató_t.'!A1</f>
        <v>Az önkormányzat által nyújtott hitel és kölcsön alakulása lejárat és eszközök szerinti bontásban</v>
      </c>
      <c r="C29" s="6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0" spans="1:3" ht="12.75">
      <c r="A30" s="5" t="s">
        <v>39</v>
      </c>
      <c r="B30" t="str">
        <f>'Z_4.tájékoztató_t.'!A1</f>
        <v>Adósság állomány alakulása lejárat, eszközök, bel- és külföldi hitelezők szerinti bontásban
2018. december 31-én</v>
      </c>
      <c r="C30" s="6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31" spans="1:3" ht="12.75">
      <c r="A31" s="5" t="s">
        <v>40</v>
      </c>
      <c r="B31" t="str">
        <f>'Z_5.tájékoztató_t.'!A3</f>
        <v>Az önkormányzat által adott közvetett támogatások</v>
      </c>
      <c r="C31" s="6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32" spans="1:3" ht="12.75">
      <c r="A32" s="5" t="s">
        <v>41</v>
      </c>
      <c r="B32" t="str">
        <f>CONCATENATE(PROPER('Z_6.tájékoztató_t.'!A3)," ",LOWER('Z_6.tájékoztató_t.'!A4))</f>
        <v>K I M U T A T Á S a 2018. évi céljelleggel juttatott támogatások felhasználásáról</v>
      </c>
      <c r="C32" s="6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33" spans="1:3" ht="12.75">
      <c r="A33" s="5" t="s">
        <v>42</v>
      </c>
      <c r="B33" t="str">
        <f>CONCATENATE(PROPER('Z_7.1.tájékoztató_t.'!A2)," ",'Z_7.1.tájékoztató_t.'!A3)</f>
        <v>Vagyonkimutatás a könyvviteli mérlegben értékkel szerplő eszközökről</v>
      </c>
      <c r="C33" s="6" t="str">
        <f ca="1">HYPERLINK(SUBSTITUTE(CELL("address",'Z_7.1.tájékoztató_t.'!A1),"'",""),SUBSTITUTE(MID(CELL("address",'Z_7.1.tájékoztató_t.'!A1),SEARCH("]",CELL("address",'Z_7.1.tájékoztató_t.'!A1),1)+1,LEN(CELL("address",'Z_7.1.tájékoztató_t.'!A1))-SEARCH("]",CELL("address",'Z_7.1.tájékoztató_t.'!A1),1)),"'",""))</f>
        <v>Z_7.1.tájékoztató_t.!$A$1</v>
      </c>
    </row>
    <row r="34" spans="1:3" ht="12.75">
      <c r="A34" s="5" t="s">
        <v>43</v>
      </c>
      <c r="B34" t="str">
        <f>CONCATENATE(PROPER('Z_7.2.tájékoztató_t.'!A3)," ",'Z_7.2.tájékoztató_t.'!A4)</f>
        <v>Vagyonkimutatás a könyvviteli mérlegben értékkel szereplő forrásokról</v>
      </c>
      <c r="C34" s="6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35" spans="1:3" ht="12.75">
      <c r="A35" s="5" t="s">
        <v>44</v>
      </c>
      <c r="B35" t="str">
        <f>CONCATENATE(PROPER('Z_7.3.tájékoztató_t.'!A3)," ",'Z_7.3.tájékoztató_t.'!A4)</f>
        <v>Vagyonkimutatás az érték nélkül nyilvántartott eszkzözkről</v>
      </c>
      <c r="C35" s="6" t="str">
        <f ca="1">HYPERLINK(SUBSTITUTE(CELL("address",'Z_7.3.tájékoztató_t.'!A1),"'",""),SUBSTITUTE(MID(CELL("address",'Z_7.3.tájékoztató_t.'!A1),SEARCH("]",CELL("address",'Z_7.3.tájékoztató_t.'!A1),1)+1,LEN(CELL("address",'Z_7.3.tájékoztató_t.'!A1))-SEARCH("]",CELL("address",'Z_7.3.tájékoztató_t.'!A1),1)),"'",""))</f>
        <v>Z_7.3.tájékoztató_t.!$A$1</v>
      </c>
    </row>
    <row r="36" spans="1:3" ht="12.75">
      <c r="A36" s="5" t="s">
        <v>45</v>
      </c>
      <c r="B36" t="str">
        <f>CONCATENATE('Z_8.tájékoztató_t.'!A2,'Z_8.tájékoztató_t.'!A3)</f>
        <v>Balatonvilágos Község Önkormányzata tulajdonában álló gazdálkodó szervezetek működéséből származókötelezettségek és részesedések alakulása 2018-ban</v>
      </c>
      <c r="C36" s="6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37" spans="1:3" ht="12.75">
      <c r="A37" s="5" t="s">
        <v>46</v>
      </c>
      <c r="B37" t="s">
        <v>47</v>
      </c>
      <c r="C37" s="6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 selectLockedCells="1" selectUnlockedCells="1"/>
  <mergeCells count="2">
    <mergeCell ref="A2:C2"/>
    <mergeCell ref="A6:C6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="120" zoomScaleNormal="120" zoomScalePageLayoutView="0" workbookViewId="0" topLeftCell="A1">
      <selection activeCell="C19" sqref="C1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" t="s">
        <v>63</v>
      </c>
      <c r="B1" s="15"/>
      <c r="C1" s="15"/>
      <c r="D1" s="15"/>
      <c r="E1" s="225" t="s">
        <v>466</v>
      </c>
    </row>
    <row r="2" spans="1:5" ht="12.75">
      <c r="A2" s="15"/>
      <c r="B2" s="15"/>
      <c r="C2" s="15"/>
      <c r="D2" s="15"/>
      <c r="E2" s="15"/>
    </row>
    <row r="3" spans="1:5" ht="12.75">
      <c r="A3" s="16"/>
      <c r="B3" s="226"/>
      <c r="C3" s="16"/>
      <c r="D3" s="227"/>
      <c r="E3" s="226"/>
    </row>
    <row r="4" spans="1:5" ht="15.75">
      <c r="A4" s="17" t="str">
        <f>+Z_ÖSSZEFÜGGÉSEK!A6</f>
        <v>2018. évi eredeti előirányzat BEVÉTELEK</v>
      </c>
      <c r="B4" s="228"/>
      <c r="C4" s="18"/>
      <c r="D4" s="227"/>
      <c r="E4" s="226"/>
    </row>
    <row r="5" spans="1:5" ht="12.75">
      <c r="A5" s="16"/>
      <c r="B5" s="226"/>
      <c r="C5" s="16"/>
      <c r="D5" s="227"/>
      <c r="E5" s="226"/>
    </row>
    <row r="6" spans="1:5" ht="12.75">
      <c r="A6" s="16" t="s">
        <v>65</v>
      </c>
      <c r="B6" s="226">
        <f>+'Z_1.1.sz.mell.'!C68</f>
        <v>549080031</v>
      </c>
      <c r="C6" s="16" t="s">
        <v>66</v>
      </c>
      <c r="D6" s="227">
        <f>+'Z_2.1.sz.mell'!C18+'Z_2.2.sz.mell'!C17</f>
        <v>549080031</v>
      </c>
      <c r="E6" s="226">
        <f>+B6-D6</f>
        <v>0</v>
      </c>
    </row>
    <row r="7" spans="1:5" ht="12.75">
      <c r="A7" s="16" t="s">
        <v>467</v>
      </c>
      <c r="B7" s="226">
        <f>+'Z_1.1.sz.mell.'!C92</f>
        <v>183872589</v>
      </c>
      <c r="C7" s="16" t="s">
        <v>68</v>
      </c>
      <c r="D7" s="227">
        <f>+'Z_2.1.sz.mell'!C29+'Z_2.2.sz.mell'!C30</f>
        <v>183872589</v>
      </c>
      <c r="E7" s="226">
        <f>+B7-D7</f>
        <v>0</v>
      </c>
    </row>
    <row r="8" spans="1:5" ht="12.75">
      <c r="A8" s="16" t="s">
        <v>468</v>
      </c>
      <c r="B8" s="226">
        <f>+'Z_1.1.sz.mell.'!C93</f>
        <v>732952620</v>
      </c>
      <c r="C8" s="16" t="s">
        <v>70</v>
      </c>
      <c r="D8" s="227">
        <f>+'Z_2.1.sz.mell'!C30+'Z_2.2.sz.mell'!C31</f>
        <v>732952620</v>
      </c>
      <c r="E8" s="226">
        <f>+B8-D8</f>
        <v>0</v>
      </c>
    </row>
    <row r="9" spans="1:5" ht="12.75">
      <c r="A9" s="16"/>
      <c r="B9" s="226"/>
      <c r="C9" s="16"/>
      <c r="D9" s="227"/>
      <c r="E9" s="226"/>
    </row>
    <row r="10" spans="1:5" ht="15.75">
      <c r="A10" s="17" t="str">
        <f>+Z_ÖSSZEFÜGGÉSEK!A13</f>
        <v>2018. évi módosított előirányzat BEVÉTELEK</v>
      </c>
      <c r="B10" s="228"/>
      <c r="C10" s="18"/>
      <c r="D10" s="227"/>
      <c r="E10" s="226"/>
    </row>
    <row r="11" spans="1:5" ht="12.75">
      <c r="A11" s="16"/>
      <c r="B11" s="226"/>
      <c r="C11" s="16"/>
      <c r="D11" s="227"/>
      <c r="E11" s="226"/>
    </row>
    <row r="12" spans="1:5" ht="12.75">
      <c r="A12" s="16" t="s">
        <v>71</v>
      </c>
      <c r="B12" s="226">
        <f>+'Z_1.1.sz.mell.'!D68</f>
        <v>498892833</v>
      </c>
      <c r="C12" s="16" t="s">
        <v>72</v>
      </c>
      <c r="D12" s="227">
        <f>+'Z_2.1.sz.mell'!D18+'Z_2.2.sz.mell'!D17</f>
        <v>498892833</v>
      </c>
      <c r="E12" s="226">
        <f>+B12-D12</f>
        <v>0</v>
      </c>
    </row>
    <row r="13" spans="1:5" ht="12.75">
      <c r="A13" s="16" t="s">
        <v>73</v>
      </c>
      <c r="B13" s="226">
        <f>+'Z_1.1.sz.mell.'!D92</f>
        <v>187985216</v>
      </c>
      <c r="C13" s="16" t="s">
        <v>74</v>
      </c>
      <c r="D13" s="227">
        <f>+'Z_2.1.sz.mell'!D29+'Z_2.2.sz.mell'!D30</f>
        <v>187985216</v>
      </c>
      <c r="E13" s="226">
        <f>+B13-D13</f>
        <v>0</v>
      </c>
    </row>
    <row r="14" spans="1:5" ht="12.75">
      <c r="A14" s="16" t="s">
        <v>75</v>
      </c>
      <c r="B14" s="226">
        <f>+'Z_1.1.sz.mell.'!D93</f>
        <v>686878049</v>
      </c>
      <c r="C14" s="16" t="s">
        <v>76</v>
      </c>
      <c r="D14" s="227">
        <f>+'Z_2.1.sz.mell'!D30+'Z_2.2.sz.mell'!D31</f>
        <v>686878049</v>
      </c>
      <c r="E14" s="226">
        <f>+B14-D14</f>
        <v>0</v>
      </c>
    </row>
    <row r="15" spans="1:5" ht="12.75">
      <c r="A15" s="16"/>
      <c r="B15" s="226"/>
      <c r="C15" s="16"/>
      <c r="D15" s="227"/>
      <c r="E15" s="226"/>
    </row>
    <row r="16" spans="1:5" ht="14.25">
      <c r="A16" s="229" t="str">
        <f>+Z_ÖSSZEFÜGGÉSEK!A19</f>
        <v>2018.évi teljesített BEVÉTELEK</v>
      </c>
      <c r="B16" s="230"/>
      <c r="C16" s="18"/>
      <c r="D16" s="227"/>
      <c r="E16" s="226"/>
    </row>
    <row r="17" spans="1:5" ht="12.75">
      <c r="A17" s="16"/>
      <c r="B17" s="226"/>
      <c r="C17" s="16"/>
      <c r="D17" s="227"/>
      <c r="E17" s="226"/>
    </row>
    <row r="18" spans="1:5" ht="12.75">
      <c r="A18" s="16" t="s">
        <v>77</v>
      </c>
      <c r="B18" s="226">
        <f>+'Z_1.1.sz.mell.'!E68</f>
        <v>489190077</v>
      </c>
      <c r="C18" s="16" t="s">
        <v>78</v>
      </c>
      <c r="D18" s="227">
        <f>+'Z_2.1.sz.mell'!E18+'Z_2.2.sz.mell'!E17</f>
        <v>489190077</v>
      </c>
      <c r="E18" s="226">
        <f>+B18-D18</f>
        <v>0</v>
      </c>
    </row>
    <row r="19" spans="1:5" ht="12.75">
      <c r="A19" s="16" t="s">
        <v>79</v>
      </c>
      <c r="B19" s="226">
        <f>+'Z_1.1.sz.mell.'!E92</f>
        <v>187985216</v>
      </c>
      <c r="C19" s="16" t="s">
        <v>80</v>
      </c>
      <c r="D19" s="227">
        <f>+'Z_2.1.sz.mell'!E29+'Z_2.2.sz.mell'!E30</f>
        <v>187924641</v>
      </c>
      <c r="E19" s="226">
        <f>+B19-D19</f>
        <v>60575</v>
      </c>
    </row>
    <row r="20" spans="1:5" ht="12.75">
      <c r="A20" s="16" t="s">
        <v>81</v>
      </c>
      <c r="B20" s="226">
        <f>+'Z_1.1.sz.mell.'!E93</f>
        <v>677175293</v>
      </c>
      <c r="C20" s="16" t="s">
        <v>82</v>
      </c>
      <c r="D20" s="227">
        <f>+'Z_2.1.sz.mell'!E30+'Z_2.2.sz.mell'!E31</f>
        <v>677114718</v>
      </c>
      <c r="E20" s="226">
        <f>+B20-D20</f>
        <v>60575</v>
      </c>
    </row>
    <row r="21" spans="1:5" ht="12.75">
      <c r="A21" s="16"/>
      <c r="B21" s="226"/>
      <c r="C21" s="16"/>
      <c r="D21" s="227"/>
      <c r="E21" s="226"/>
    </row>
    <row r="22" spans="1:5" ht="15.75">
      <c r="A22" s="17" t="str">
        <f>+Z_ÖSSZEFÜGGÉSEK!A25</f>
        <v>2018. évi eredeti előirányzat KIADÁSOK</v>
      </c>
      <c r="B22" s="228"/>
      <c r="C22" s="18"/>
      <c r="D22" s="227"/>
      <c r="E22" s="226"/>
    </row>
    <row r="23" spans="1:5" ht="12.75">
      <c r="A23" s="16"/>
      <c r="B23" s="226"/>
      <c r="C23" s="16"/>
      <c r="D23" s="227"/>
      <c r="E23" s="226"/>
    </row>
    <row r="24" spans="1:5" ht="12.75">
      <c r="A24" s="16" t="s">
        <v>469</v>
      </c>
      <c r="B24" s="226">
        <f>+'Z_1.1.sz.mell.'!C135</f>
        <v>728900568</v>
      </c>
      <c r="C24" s="16" t="s">
        <v>84</v>
      </c>
      <c r="D24" s="227">
        <f>+'Z_2.1.sz.mell'!G18+'Z_2.2.sz.mell'!G17</f>
        <v>728900568</v>
      </c>
      <c r="E24" s="226">
        <f>+B24-D24</f>
        <v>0</v>
      </c>
    </row>
    <row r="25" spans="1:5" ht="12.75">
      <c r="A25" s="16" t="s">
        <v>85</v>
      </c>
      <c r="B25" s="226">
        <f>+'Z_1.1.sz.mell.'!C160</f>
        <v>4052052</v>
      </c>
      <c r="C25" s="16" t="s">
        <v>86</v>
      </c>
      <c r="D25" s="227">
        <f>+'Z_2.1.sz.mell'!G29+'Z_2.2.sz.mell'!G30</f>
        <v>4052052</v>
      </c>
      <c r="E25" s="226">
        <f>+B25-D25</f>
        <v>0</v>
      </c>
    </row>
    <row r="26" spans="1:5" ht="12.75">
      <c r="A26" s="16" t="s">
        <v>87</v>
      </c>
      <c r="B26" s="226">
        <f>+'Z_1.1.sz.mell.'!C161</f>
        <v>732952620</v>
      </c>
      <c r="C26" s="16" t="s">
        <v>88</v>
      </c>
      <c r="D26" s="227">
        <f>+'Z_2.1.sz.mell'!G30+'Z_2.2.sz.mell'!G31</f>
        <v>732952620</v>
      </c>
      <c r="E26" s="226">
        <f>+B26-D26</f>
        <v>0</v>
      </c>
    </row>
    <row r="27" spans="1:5" ht="12.75">
      <c r="A27" s="16"/>
      <c r="B27" s="226"/>
      <c r="C27" s="16"/>
      <c r="D27" s="227"/>
      <c r="E27" s="226"/>
    </row>
    <row r="28" spans="1:5" ht="15.75">
      <c r="A28" s="17" t="str">
        <f>+Z_ÖSSZEFÜGGÉSEK!A31</f>
        <v>2018. évi módosított előirányzat KIADÁSOK</v>
      </c>
      <c r="B28" s="228"/>
      <c r="C28" s="18"/>
      <c r="D28" s="227"/>
      <c r="E28" s="226"/>
    </row>
    <row r="29" spans="1:5" ht="12.75">
      <c r="A29" s="16"/>
      <c r="B29" s="226"/>
      <c r="C29" s="16"/>
      <c r="D29" s="227"/>
      <c r="E29" s="226"/>
    </row>
    <row r="30" spans="1:5" ht="12.75">
      <c r="A30" s="16" t="s">
        <v>89</v>
      </c>
      <c r="B30" s="226">
        <f>+'Z_1.1.sz.mell.'!D135</f>
        <v>682825997</v>
      </c>
      <c r="C30" s="16" t="s">
        <v>90</v>
      </c>
      <c r="D30" s="227">
        <f>+'Z_2.1.sz.mell'!H18+'Z_2.2.sz.mell'!H17</f>
        <v>682825997</v>
      </c>
      <c r="E30" s="226">
        <f>+B30-D30</f>
        <v>0</v>
      </c>
    </row>
    <row r="31" spans="1:5" ht="12.75">
      <c r="A31" s="16" t="s">
        <v>91</v>
      </c>
      <c r="B31" s="226">
        <f>+'Z_1.1.sz.mell.'!D160</f>
        <v>4052052</v>
      </c>
      <c r="C31" s="16" t="s">
        <v>92</v>
      </c>
      <c r="D31" s="227">
        <f>+'Z_2.1.sz.mell'!H29+'Z_2.2.sz.mell'!H30</f>
        <v>4052052</v>
      </c>
      <c r="E31" s="226">
        <f>+B31-D31</f>
        <v>0</v>
      </c>
    </row>
    <row r="32" spans="1:5" ht="12.75">
      <c r="A32" s="16" t="s">
        <v>93</v>
      </c>
      <c r="B32" s="226">
        <f>+'Z_1.1.sz.mell.'!D161</f>
        <v>686878049</v>
      </c>
      <c r="C32" s="16" t="s">
        <v>94</v>
      </c>
      <c r="D32" s="227">
        <f>+'Z_2.1.sz.mell'!H30+'Z_2.2.sz.mell'!H31</f>
        <v>686878049</v>
      </c>
      <c r="E32" s="226">
        <f>+B32-D32</f>
        <v>0</v>
      </c>
    </row>
    <row r="33" spans="1:5" ht="12.75">
      <c r="A33" s="16"/>
      <c r="B33" s="226"/>
      <c r="C33" s="16"/>
      <c r="D33" s="227"/>
      <c r="E33" s="226"/>
    </row>
    <row r="34" spans="1:5" ht="15.75">
      <c r="A34" s="21" t="str">
        <f>+Z_ÖSSZEFÜGGÉSEK!A37</f>
        <v>2018.évi teljesített KIADÁSOK</v>
      </c>
      <c r="B34" s="228"/>
      <c r="C34" s="18"/>
      <c r="D34" s="227"/>
      <c r="E34" s="226"/>
    </row>
    <row r="35" spans="1:5" ht="12.75">
      <c r="A35" s="16"/>
      <c r="B35" s="226"/>
      <c r="C35" s="16"/>
      <c r="D35" s="227"/>
      <c r="E35" s="226"/>
    </row>
    <row r="36" spans="1:5" ht="12.75">
      <c r="A36" s="16" t="s">
        <v>95</v>
      </c>
      <c r="B36" s="226">
        <f>+'Z_1.1.sz.mell.'!E135</f>
        <v>511217928</v>
      </c>
      <c r="C36" s="16" t="s">
        <v>96</v>
      </c>
      <c r="D36" s="227">
        <f>+'Z_2.1.sz.mell'!I18+'Z_2.2.sz.mell'!I17</f>
        <v>511217928</v>
      </c>
      <c r="E36" s="226">
        <f>+B36-D36</f>
        <v>0</v>
      </c>
    </row>
    <row r="37" spans="1:5" ht="12.75">
      <c r="A37" s="16" t="s">
        <v>97</v>
      </c>
      <c r="B37" s="226">
        <f>+'Z_1.1.sz.mell.'!E160</f>
        <v>4052052</v>
      </c>
      <c r="C37" s="16" t="s">
        <v>98</v>
      </c>
      <c r="D37" s="227">
        <f>+'Z_2.1.sz.mell'!I29+'Z_2.2.sz.mell'!I30</f>
        <v>4052052</v>
      </c>
      <c r="E37" s="226">
        <f>+B37-D37</f>
        <v>0</v>
      </c>
    </row>
    <row r="38" spans="1:5" ht="12.75">
      <c r="A38" s="16" t="s">
        <v>470</v>
      </c>
      <c r="B38" s="226">
        <f>+'Z_1.1.sz.mell.'!E161</f>
        <v>515269980</v>
      </c>
      <c r="C38" s="16" t="s">
        <v>100</v>
      </c>
      <c r="D38" s="227">
        <f>+'Z_2.1.sz.mell'!I30+'Z_2.2.sz.mell'!I31</f>
        <v>515269980</v>
      </c>
      <c r="E38" s="226">
        <f>+B38-D38</f>
        <v>0</v>
      </c>
    </row>
  </sheetData>
  <sheetProtection selectLockedCells="1" selectUnlockedCells="1"/>
  <conditionalFormatting sqref="E3:E15">
    <cfRule type="cellIs" priority="1" dxfId="2" operator="notEqual" stopIfTrue="1">
      <formula>0</formula>
    </cfRule>
  </conditionalFormatting>
  <conditionalFormatting sqref="E3:E38">
    <cfRule type="cellIs" priority="2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39"/>
  <sheetViews>
    <sheetView zoomScale="120" zoomScaleNormal="120" zoomScalePageLayoutView="0" workbookViewId="0" topLeftCell="A25">
      <selection activeCell="I35" sqref="I35"/>
    </sheetView>
  </sheetViews>
  <sheetFormatPr defaultColWidth="9.00390625" defaultRowHeight="12.75"/>
  <cols>
    <col min="1" max="1" width="47.125" style="231" customWidth="1"/>
    <col min="2" max="2" width="15.625" style="232" hidden="1" customWidth="1"/>
    <col min="3" max="3" width="16.375" style="232" customWidth="1"/>
    <col min="4" max="4" width="18.00390625" style="232" hidden="1" customWidth="1"/>
    <col min="5" max="5" width="14.00390625" style="232" customWidth="1"/>
    <col min="6" max="6" width="18.875" style="150" hidden="1" customWidth="1"/>
    <col min="7" max="8" width="14.00390625" style="232" customWidth="1"/>
    <col min="9" max="9" width="13.875" style="232" customWidth="1"/>
    <col min="10" max="10" width="12.875" style="232" customWidth="1"/>
    <col min="11" max="16384" width="9.375" style="232" customWidth="1"/>
  </cols>
  <sheetData>
    <row r="1" spans="1:6" ht="25.5" customHeight="1">
      <c r="A1" s="824" t="s">
        <v>20</v>
      </c>
      <c r="B1" s="824"/>
      <c r="C1" s="824"/>
      <c r="D1" s="824"/>
      <c r="E1" s="824"/>
      <c r="F1" s="824"/>
    </row>
    <row r="2" spans="1:8" ht="22.5" customHeight="1">
      <c r="A2" s="151"/>
      <c r="B2" s="150"/>
      <c r="C2" s="150"/>
      <c r="D2" s="150"/>
      <c r="E2" s="150" t="s">
        <v>471</v>
      </c>
      <c r="F2" s="233" t="str">
        <f>'[1]5.sz.mell.'!C2</f>
        <v>Forintban!</v>
      </c>
      <c r="G2" s="150" t="s">
        <v>471</v>
      </c>
      <c r="H2" s="150" t="s">
        <v>471</v>
      </c>
    </row>
    <row r="3" spans="1:8" s="237" customFormat="1" ht="44.25" customHeight="1">
      <c r="A3" s="234" t="s">
        <v>472</v>
      </c>
      <c r="B3" s="235" t="s">
        <v>473</v>
      </c>
      <c r="C3" s="235" t="s">
        <v>474</v>
      </c>
      <c r="D3" s="235" t="str">
        <f>+CONCATENATE("Felhasználás   ",LEFT('[1]ÖSSZEFÜGGÉSEK'!A5,4)-1,". XII. 31-ig")</f>
        <v>Felhasználás   2017. XII. 31-ig</v>
      </c>
      <c r="E3" s="235" t="str">
        <f>+'[1]1.1.sz.mell.'!C3</f>
        <v>2018. évi előirányzat</v>
      </c>
      <c r="F3" s="236" t="str">
        <f>+CONCATENATE(LEFT('[1]ÖSSZEFÜGGÉSEK'!A5,4),". utáni szükséglet")</f>
        <v>2018. utáni szükséglet</v>
      </c>
      <c r="G3" s="235" t="s">
        <v>475</v>
      </c>
      <c r="H3" s="235" t="s">
        <v>476</v>
      </c>
    </row>
    <row r="4" spans="1:8" s="150" customFormat="1" ht="12" customHeight="1">
      <c r="A4" s="238" t="s">
        <v>109</v>
      </c>
      <c r="B4" s="239" t="s">
        <v>110</v>
      </c>
      <c r="C4" s="239" t="s">
        <v>110</v>
      </c>
      <c r="D4" s="239" t="s">
        <v>112</v>
      </c>
      <c r="E4" s="239" t="s">
        <v>111</v>
      </c>
      <c r="F4" s="240" t="s">
        <v>477</v>
      </c>
      <c r="G4" s="239" t="s">
        <v>113</v>
      </c>
      <c r="H4" s="239" t="s">
        <v>113</v>
      </c>
    </row>
    <row r="5" spans="1:8" ht="15.75" customHeight="1">
      <c r="A5" s="241" t="s">
        <v>478</v>
      </c>
      <c r="B5" s="242"/>
      <c r="C5" s="243" t="s">
        <v>479</v>
      </c>
      <c r="D5" s="242"/>
      <c r="E5" s="242">
        <v>5000000</v>
      </c>
      <c r="F5" s="244">
        <f aca="true" t="shared" si="0" ref="F5:F22">B5-D5-E5</f>
        <v>-5000000</v>
      </c>
      <c r="G5" s="242">
        <v>5000000</v>
      </c>
      <c r="H5" s="242">
        <v>0</v>
      </c>
    </row>
    <row r="6" spans="1:8" ht="15.75" customHeight="1">
      <c r="A6" s="198" t="s">
        <v>480</v>
      </c>
      <c r="B6" s="242"/>
      <c r="C6" s="243" t="s">
        <v>479</v>
      </c>
      <c r="D6" s="242"/>
      <c r="E6" s="242">
        <v>800000</v>
      </c>
      <c r="F6" s="244">
        <f t="shared" si="0"/>
        <v>-800000</v>
      </c>
      <c r="G6" s="242">
        <v>800000</v>
      </c>
      <c r="H6" s="242">
        <v>162000</v>
      </c>
    </row>
    <row r="7" spans="1:8" ht="15.75" customHeight="1">
      <c r="A7" s="241" t="s">
        <v>481</v>
      </c>
      <c r="B7" s="242"/>
      <c r="C7" s="243" t="s">
        <v>479</v>
      </c>
      <c r="D7" s="242"/>
      <c r="E7" s="242">
        <v>143309282</v>
      </c>
      <c r="F7" s="244">
        <f t="shared" si="0"/>
        <v>-143309282</v>
      </c>
      <c r="G7" s="242">
        <v>46041365</v>
      </c>
      <c r="H7" s="242">
        <v>44436177</v>
      </c>
    </row>
    <row r="8" spans="1:8" ht="15.75" customHeight="1">
      <c r="A8" s="245" t="s">
        <v>482</v>
      </c>
      <c r="B8" s="242"/>
      <c r="C8" s="243" t="s">
        <v>483</v>
      </c>
      <c r="D8" s="242"/>
      <c r="E8" s="242">
        <v>1214120</v>
      </c>
      <c r="F8" s="244">
        <f t="shared" si="0"/>
        <v>-1214120</v>
      </c>
      <c r="G8" s="242">
        <v>1214120</v>
      </c>
      <c r="H8" s="242">
        <v>1214120</v>
      </c>
    </row>
    <row r="9" spans="1:8" ht="15.75" customHeight="1">
      <c r="A9" s="241" t="s">
        <v>484</v>
      </c>
      <c r="B9" s="242"/>
      <c r="C9" s="243" t="s">
        <v>479</v>
      </c>
      <c r="D9" s="242"/>
      <c r="E9" s="242">
        <v>130000</v>
      </c>
      <c r="F9" s="244">
        <f t="shared" si="0"/>
        <v>-130000</v>
      </c>
      <c r="G9" s="242">
        <v>130000</v>
      </c>
      <c r="H9" s="242">
        <v>0</v>
      </c>
    </row>
    <row r="10" spans="1:8" ht="15.75" customHeight="1">
      <c r="A10" s="245" t="s">
        <v>485</v>
      </c>
      <c r="B10" s="242"/>
      <c r="C10" s="243" t="s">
        <v>479</v>
      </c>
      <c r="D10" s="242"/>
      <c r="E10" s="242">
        <v>134000</v>
      </c>
      <c r="F10" s="244">
        <f t="shared" si="0"/>
        <v>-134000</v>
      </c>
      <c r="G10" s="242">
        <v>134000</v>
      </c>
      <c r="H10" s="242">
        <v>101473</v>
      </c>
    </row>
    <row r="11" spans="1:8" ht="15.75" customHeight="1">
      <c r="A11" s="241" t="s">
        <v>486</v>
      </c>
      <c r="B11" s="242"/>
      <c r="C11" s="243" t="s">
        <v>479</v>
      </c>
      <c r="D11" s="242"/>
      <c r="E11" s="242">
        <v>640000</v>
      </c>
      <c r="F11" s="244">
        <f t="shared" si="0"/>
        <v>-640000</v>
      </c>
      <c r="G11" s="242">
        <v>640000</v>
      </c>
      <c r="H11" s="242">
        <v>0</v>
      </c>
    </row>
    <row r="12" spans="1:8" ht="15.75" customHeight="1">
      <c r="A12" s="241" t="s">
        <v>487</v>
      </c>
      <c r="B12" s="242"/>
      <c r="C12" s="243" t="s">
        <v>479</v>
      </c>
      <c r="D12" s="242"/>
      <c r="E12" s="242">
        <v>450000</v>
      </c>
      <c r="F12" s="244">
        <f t="shared" si="0"/>
        <v>-450000</v>
      </c>
      <c r="G12" s="242">
        <v>450000</v>
      </c>
      <c r="H12" s="242">
        <v>0</v>
      </c>
    </row>
    <row r="13" spans="1:8" ht="15.75" customHeight="1">
      <c r="A13" s="241" t="s">
        <v>488</v>
      </c>
      <c r="B13" s="242"/>
      <c r="C13" s="243" t="s">
        <v>479</v>
      </c>
      <c r="D13" s="242"/>
      <c r="E13" s="242">
        <v>500000</v>
      </c>
      <c r="F13" s="244">
        <f t="shared" si="0"/>
        <v>-500000</v>
      </c>
      <c r="G13" s="242">
        <v>500000</v>
      </c>
      <c r="H13" s="242">
        <v>158750</v>
      </c>
    </row>
    <row r="14" spans="1:8" ht="15.75" customHeight="1">
      <c r="A14" s="241" t="s">
        <v>489</v>
      </c>
      <c r="B14" s="242"/>
      <c r="C14" s="243" t="s">
        <v>479</v>
      </c>
      <c r="D14" s="242"/>
      <c r="E14" s="242">
        <v>2830600</v>
      </c>
      <c r="F14" s="244">
        <f t="shared" si="0"/>
        <v>-2830600</v>
      </c>
      <c r="G14" s="242">
        <v>2830600</v>
      </c>
      <c r="H14" s="242">
        <v>2829250</v>
      </c>
    </row>
    <row r="15" spans="1:8" ht="15.75" customHeight="1">
      <c r="A15" s="241" t="s">
        <v>490</v>
      </c>
      <c r="B15" s="242"/>
      <c r="C15" s="243" t="s">
        <v>479</v>
      </c>
      <c r="D15" s="242"/>
      <c r="E15" s="242">
        <v>381000</v>
      </c>
      <c r="F15" s="244">
        <f t="shared" si="0"/>
        <v>-381000</v>
      </c>
      <c r="G15" s="242">
        <v>381000</v>
      </c>
      <c r="H15" s="242">
        <v>392801</v>
      </c>
    </row>
    <row r="16" spans="1:8" ht="15.75" customHeight="1">
      <c r="A16" s="241" t="s">
        <v>491</v>
      </c>
      <c r="B16" s="242"/>
      <c r="C16" s="243" t="s">
        <v>479</v>
      </c>
      <c r="D16" s="242"/>
      <c r="E16" s="242">
        <v>6500000</v>
      </c>
      <c r="F16" s="244">
        <f t="shared" si="0"/>
        <v>-6500000</v>
      </c>
      <c r="G16" s="242">
        <v>7499999</v>
      </c>
      <c r="H16" s="242">
        <v>7520940</v>
      </c>
    </row>
    <row r="17" spans="1:8" ht="15.75" customHeight="1">
      <c r="A17" s="241" t="s">
        <v>492</v>
      </c>
      <c r="B17" s="242"/>
      <c r="C17" s="243" t="s">
        <v>479</v>
      </c>
      <c r="D17" s="242"/>
      <c r="E17" s="242">
        <v>5670081</v>
      </c>
      <c r="F17" s="244">
        <f t="shared" si="0"/>
        <v>-5670081</v>
      </c>
      <c r="G17" s="242">
        <v>5670081</v>
      </c>
      <c r="H17" s="242">
        <v>5090369</v>
      </c>
    </row>
    <row r="18" spans="1:8" ht="15.75" customHeight="1">
      <c r="A18" s="241" t="s">
        <v>493</v>
      </c>
      <c r="B18" s="242"/>
      <c r="C18" s="243" t="s">
        <v>479</v>
      </c>
      <c r="D18" s="242"/>
      <c r="E18" s="242">
        <v>2100000</v>
      </c>
      <c r="F18" s="244">
        <f t="shared" si="0"/>
        <v>-2100000</v>
      </c>
      <c r="G18" s="242">
        <v>2176238</v>
      </c>
      <c r="H18" s="242">
        <v>2133500</v>
      </c>
    </row>
    <row r="19" spans="1:8" ht="15.75" customHeight="1">
      <c r="A19" s="241" t="s">
        <v>494</v>
      </c>
      <c r="B19" s="242"/>
      <c r="C19" s="243" t="s">
        <v>479</v>
      </c>
      <c r="D19" s="242"/>
      <c r="E19" s="242">
        <v>10160000</v>
      </c>
      <c r="F19" s="244">
        <f t="shared" si="0"/>
        <v>-10160000</v>
      </c>
      <c r="G19" s="242">
        <v>6835140</v>
      </c>
      <c r="H19" s="242">
        <v>0</v>
      </c>
    </row>
    <row r="20" spans="1:8" ht="15.75" customHeight="1">
      <c r="A20" s="241" t="s">
        <v>495</v>
      </c>
      <c r="B20" s="242"/>
      <c r="C20" s="243" t="s">
        <v>479</v>
      </c>
      <c r="D20" s="242"/>
      <c r="E20" s="242">
        <v>206000</v>
      </c>
      <c r="F20" s="244">
        <f t="shared" si="0"/>
        <v>-206000</v>
      </c>
      <c r="G20" s="242">
        <v>206000</v>
      </c>
      <c r="H20" s="242">
        <v>0</v>
      </c>
    </row>
    <row r="21" spans="1:8" ht="15.75" customHeight="1">
      <c r="A21" s="246" t="s">
        <v>496</v>
      </c>
      <c r="B21" s="242"/>
      <c r="C21" s="243" t="s">
        <v>479</v>
      </c>
      <c r="D21" s="242"/>
      <c r="E21" s="242">
        <v>635000</v>
      </c>
      <c r="F21" s="247">
        <f t="shared" si="0"/>
        <v>-635000</v>
      </c>
      <c r="G21" s="242">
        <v>635000</v>
      </c>
      <c r="H21" s="242">
        <v>624885</v>
      </c>
    </row>
    <row r="22" spans="1:8" ht="15.75" customHeight="1">
      <c r="A22" s="246" t="s">
        <v>497</v>
      </c>
      <c r="B22" s="242"/>
      <c r="C22" s="243" t="s">
        <v>479</v>
      </c>
      <c r="D22" s="242"/>
      <c r="E22" s="242">
        <v>300000</v>
      </c>
      <c r="F22" s="247">
        <f t="shared" si="0"/>
        <v>-300000</v>
      </c>
      <c r="G22" s="242">
        <v>300000</v>
      </c>
      <c r="H22" s="242">
        <v>0</v>
      </c>
    </row>
    <row r="23" spans="1:8" ht="15.75" customHeight="1">
      <c r="A23" s="246" t="s">
        <v>498</v>
      </c>
      <c r="B23" s="242"/>
      <c r="C23" s="243" t="s">
        <v>479</v>
      </c>
      <c r="D23" s="242"/>
      <c r="E23" s="242"/>
      <c r="F23" s="247"/>
      <c r="G23" s="242">
        <v>35969</v>
      </c>
      <c r="H23" s="242">
        <v>36920</v>
      </c>
    </row>
    <row r="24" spans="1:8" ht="15.75" customHeight="1">
      <c r="A24" s="246" t="s">
        <v>499</v>
      </c>
      <c r="B24" s="242"/>
      <c r="C24" s="243" t="s">
        <v>479</v>
      </c>
      <c r="D24" s="242"/>
      <c r="E24" s="242"/>
      <c r="F24" s="247"/>
      <c r="G24" s="242">
        <v>31750</v>
      </c>
      <c r="H24" s="242">
        <v>31750</v>
      </c>
    </row>
    <row r="25" spans="1:8" ht="15.75" customHeight="1">
      <c r="A25" s="246" t="s">
        <v>500</v>
      </c>
      <c r="B25" s="242"/>
      <c r="C25" s="243" t="s">
        <v>479</v>
      </c>
      <c r="D25" s="242"/>
      <c r="E25" s="242"/>
      <c r="F25" s="247"/>
      <c r="G25" s="242">
        <v>3184863</v>
      </c>
      <c r="H25" s="242">
        <v>3071611</v>
      </c>
    </row>
    <row r="26" spans="1:8" ht="15.75" customHeight="1">
      <c r="A26" s="246" t="s">
        <v>501</v>
      </c>
      <c r="B26" s="242"/>
      <c r="C26" s="243" t="s">
        <v>479</v>
      </c>
      <c r="D26" s="242"/>
      <c r="E26" s="242"/>
      <c r="F26" s="247"/>
      <c r="G26" s="242">
        <v>2128200</v>
      </c>
      <c r="H26" s="242">
        <v>1843200</v>
      </c>
    </row>
    <row r="27" spans="1:8" ht="15.75" customHeight="1">
      <c r="A27" s="246" t="s">
        <v>502</v>
      </c>
      <c r="B27" s="242"/>
      <c r="C27" s="243" t="s">
        <v>479</v>
      </c>
      <c r="D27" s="242"/>
      <c r="E27" s="242"/>
      <c r="F27" s="247">
        <f>B27-D27-E27</f>
        <v>0</v>
      </c>
      <c r="G27" s="242">
        <v>107950</v>
      </c>
      <c r="H27" s="242">
        <v>107950</v>
      </c>
    </row>
    <row r="28" spans="1:8" ht="15.75" customHeight="1">
      <c r="A28" s="246" t="s">
        <v>503</v>
      </c>
      <c r="B28" s="242"/>
      <c r="C28" s="243" t="s">
        <v>479</v>
      </c>
      <c r="D28" s="242"/>
      <c r="E28" s="242"/>
      <c r="F28" s="247"/>
      <c r="G28" s="242">
        <v>52705</v>
      </c>
      <c r="H28" s="242">
        <v>52705</v>
      </c>
    </row>
    <row r="29" spans="1:8" ht="15.75" customHeight="1">
      <c r="A29" s="246" t="s">
        <v>504</v>
      </c>
      <c r="B29" s="242"/>
      <c r="C29" s="243" t="s">
        <v>479</v>
      </c>
      <c r="D29" s="242"/>
      <c r="E29" s="242"/>
      <c r="F29" s="247"/>
      <c r="G29" s="242">
        <v>130000</v>
      </c>
      <c r="H29" s="242">
        <v>130000</v>
      </c>
    </row>
    <row r="30" spans="1:8" ht="15.75" customHeight="1">
      <c r="A30" s="246" t="s">
        <v>505</v>
      </c>
      <c r="B30" s="242"/>
      <c r="C30" s="243" t="s">
        <v>479</v>
      </c>
      <c r="D30" s="242"/>
      <c r="E30" s="242"/>
      <c r="F30" s="247"/>
      <c r="G30" s="242">
        <v>3324860</v>
      </c>
      <c r="H30" s="242">
        <v>3324860</v>
      </c>
    </row>
    <row r="31" spans="1:8" ht="15.75" customHeight="1">
      <c r="A31" s="246" t="s">
        <v>506</v>
      </c>
      <c r="B31" s="242"/>
      <c r="C31" s="243" t="s">
        <v>479</v>
      </c>
      <c r="D31" s="242"/>
      <c r="E31" s="242"/>
      <c r="F31" s="247"/>
      <c r="G31" s="242">
        <v>28590</v>
      </c>
      <c r="H31" s="242">
        <v>28590</v>
      </c>
    </row>
    <row r="32" spans="1:8" ht="15.75" customHeight="1">
      <c r="A32" s="246" t="s">
        <v>507</v>
      </c>
      <c r="B32" s="242"/>
      <c r="C32" s="243" t="s">
        <v>479</v>
      </c>
      <c r="D32" s="242"/>
      <c r="E32" s="242"/>
      <c r="F32" s="247"/>
      <c r="G32" s="242">
        <v>1905000</v>
      </c>
      <c r="H32" s="242">
        <v>2069122</v>
      </c>
    </row>
    <row r="33" spans="1:8" ht="15.75" customHeight="1">
      <c r="A33" s="246" t="s">
        <v>508</v>
      </c>
      <c r="B33" s="242"/>
      <c r="C33" s="243" t="s">
        <v>479</v>
      </c>
      <c r="D33" s="242"/>
      <c r="E33" s="242"/>
      <c r="F33" s="247"/>
      <c r="G33" s="242">
        <v>766408</v>
      </c>
      <c r="H33" s="242">
        <v>766408</v>
      </c>
    </row>
    <row r="34" spans="1:8" ht="15.75" customHeight="1">
      <c r="A34" s="246" t="s">
        <v>509</v>
      </c>
      <c r="B34" s="242"/>
      <c r="C34" s="243" t="s">
        <v>479</v>
      </c>
      <c r="D34" s="242"/>
      <c r="E34" s="242"/>
      <c r="F34" s="247"/>
      <c r="G34" s="242">
        <v>40000</v>
      </c>
      <c r="H34" s="242">
        <v>45000</v>
      </c>
    </row>
    <row r="35" spans="1:8" ht="15.75" customHeight="1">
      <c r="A35" s="246" t="s">
        <v>510</v>
      </c>
      <c r="B35" s="242"/>
      <c r="C35" s="243" t="s">
        <v>479</v>
      </c>
      <c r="D35" s="242"/>
      <c r="E35" s="242"/>
      <c r="F35" s="247"/>
      <c r="G35" s="242">
        <v>2262</v>
      </c>
      <c r="H35" s="242">
        <v>0</v>
      </c>
    </row>
    <row r="36" spans="1:8" ht="15.75" customHeight="1">
      <c r="A36" s="246" t="s">
        <v>511</v>
      </c>
      <c r="B36" s="242"/>
      <c r="C36" s="243" t="s">
        <v>479</v>
      </c>
      <c r="D36" s="242"/>
      <c r="E36" s="242"/>
      <c r="F36" s="247"/>
      <c r="G36" s="242">
        <v>78304</v>
      </c>
      <c r="H36" s="242">
        <v>109800</v>
      </c>
    </row>
    <row r="37" spans="1:10" s="250" customFormat="1" ht="18" customHeight="1">
      <c r="A37" s="248" t="s">
        <v>512</v>
      </c>
      <c r="B37" s="242"/>
      <c r="C37" s="243" t="s">
        <v>479</v>
      </c>
      <c r="D37" s="242"/>
      <c r="E37" s="242"/>
      <c r="F37" s="249"/>
      <c r="G37" s="242"/>
      <c r="H37" s="242">
        <v>64135</v>
      </c>
      <c r="J37" s="251"/>
    </row>
    <row r="38" spans="1:8" ht="12.75">
      <c r="A38" s="252" t="s">
        <v>513</v>
      </c>
      <c r="B38" s="253">
        <f>SUM(B5:B22)</f>
        <v>0</v>
      </c>
      <c r="C38" s="254"/>
      <c r="D38" s="253">
        <f>SUM(D5:D22)</f>
        <v>0</v>
      </c>
      <c r="E38" s="253">
        <f>SUM(E5:E27)</f>
        <v>180960083</v>
      </c>
      <c r="F38" s="255">
        <f>SUM(F5:F27)</f>
        <v>-180960083</v>
      </c>
      <c r="G38" s="253">
        <f>SUM(G5:G36)</f>
        <v>93260404</v>
      </c>
      <c r="H38" s="253">
        <f>SUM(H5:H37)</f>
        <v>76346316</v>
      </c>
    </row>
    <row r="39" ht="12.75">
      <c r="A39" s="231" t="s">
        <v>514</v>
      </c>
    </row>
  </sheetData>
  <sheetProtection selectLockedCells="1" selectUnlockedCells="1"/>
  <mergeCells count="1">
    <mergeCell ref="A1:F1"/>
  </mergeCells>
  <printOptions horizontalCentered="1"/>
  <pageMargins left="0.25" right="0.25" top="0.75" bottom="0.75" header="0.3" footer="0.5118055555555555"/>
  <pageSetup fitToHeight="1" fitToWidth="1" horizontalDpi="300" verticalDpi="300" orientation="portrait" paperSize="9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24"/>
  <sheetViews>
    <sheetView zoomScale="120" zoomScaleNormal="120" zoomScalePageLayoutView="0" workbookViewId="0" topLeftCell="A4">
      <selection activeCell="K7" sqref="K7"/>
    </sheetView>
  </sheetViews>
  <sheetFormatPr defaultColWidth="9.00390625" defaultRowHeight="12.75"/>
  <cols>
    <col min="1" max="1" width="38.00390625" style="231" customWidth="1"/>
    <col min="2" max="2" width="15.625" style="232" hidden="1" customWidth="1"/>
    <col min="3" max="3" width="16.375" style="232" customWidth="1"/>
    <col min="4" max="4" width="18.00390625" style="232" hidden="1" customWidth="1"/>
    <col min="5" max="5" width="16.625" style="232" customWidth="1"/>
    <col min="6" max="6" width="18.875" style="232" hidden="1" customWidth="1"/>
    <col min="7" max="8" width="16.625" style="232" customWidth="1"/>
    <col min="9" max="9" width="13.875" style="232" customWidth="1"/>
    <col min="10" max="10" width="5.125" style="232" customWidth="1"/>
    <col min="11" max="11" width="12.875" style="232" customWidth="1"/>
    <col min="12" max="16384" width="9.375" style="232" customWidth="1"/>
  </cols>
  <sheetData>
    <row r="1" spans="1:6" ht="24.75" customHeight="1">
      <c r="A1" s="824" t="s">
        <v>22</v>
      </c>
      <c r="B1" s="824"/>
      <c r="C1" s="824"/>
      <c r="D1" s="824"/>
      <c r="E1" s="824"/>
      <c r="F1" s="824"/>
    </row>
    <row r="2" spans="1:8" ht="23.25" customHeight="1">
      <c r="A2" s="151"/>
      <c r="B2" s="150"/>
      <c r="C2" s="150"/>
      <c r="D2" s="150"/>
      <c r="E2" s="150" t="s">
        <v>471</v>
      </c>
      <c r="F2" s="233" t="str">
        <f>'[1]6.sz.mell.'!F2</f>
        <v>Forintban!</v>
      </c>
      <c r="G2" s="150" t="s">
        <v>471</v>
      </c>
      <c r="H2" s="150" t="s">
        <v>471</v>
      </c>
    </row>
    <row r="3" spans="1:8" s="237" customFormat="1" ht="48.75" customHeight="1">
      <c r="A3" s="234" t="s">
        <v>515</v>
      </c>
      <c r="B3" s="235" t="s">
        <v>473</v>
      </c>
      <c r="C3" s="235" t="s">
        <v>474</v>
      </c>
      <c r="D3" s="235" t="str">
        <f>+'[1]6.sz.mell.'!D3</f>
        <v>Felhasználás   2017. XII. 31-ig</v>
      </c>
      <c r="E3" s="235" t="str">
        <f>+'[1]6.sz.mell.'!E3</f>
        <v>2018. évi előirányzat</v>
      </c>
      <c r="F3" s="256" t="str">
        <f>+CONCATENATE(LEFT('[1]ÖSSZEFÜGGÉSEK'!A5,4),". utáni szükséglet ",CHAR(10),"")</f>
        <v>2018. utáni szükséglet 
</v>
      </c>
      <c r="G3" s="235" t="s">
        <v>475</v>
      </c>
      <c r="H3" s="235" t="s">
        <v>476</v>
      </c>
    </row>
    <row r="4" spans="1:8" s="150" customFormat="1" ht="15" customHeight="1">
      <c r="A4" s="238" t="s">
        <v>109</v>
      </c>
      <c r="B4" s="239" t="s">
        <v>110</v>
      </c>
      <c r="C4" s="239" t="s">
        <v>110</v>
      </c>
      <c r="D4" s="239" t="s">
        <v>112</v>
      </c>
      <c r="E4" s="239" t="s">
        <v>111</v>
      </c>
      <c r="F4" s="257" t="s">
        <v>477</v>
      </c>
      <c r="G4" s="239" t="s">
        <v>113</v>
      </c>
      <c r="H4" s="239" t="s">
        <v>113</v>
      </c>
    </row>
    <row r="5" spans="1:8" ht="15.75" customHeight="1">
      <c r="A5" s="258" t="s">
        <v>516</v>
      </c>
      <c r="B5" s="259"/>
      <c r="C5" s="260" t="s">
        <v>479</v>
      </c>
      <c r="D5" s="259"/>
      <c r="E5" s="259">
        <v>4500001</v>
      </c>
      <c r="F5" s="261">
        <f aca="true" t="shared" si="0" ref="F5:F23">B5-D5-E5</f>
        <v>-4500001</v>
      </c>
      <c r="G5" s="259">
        <v>4500001</v>
      </c>
      <c r="H5" s="259">
        <v>3955709</v>
      </c>
    </row>
    <row r="6" spans="1:8" ht="15.75" customHeight="1">
      <c r="A6" s="258" t="s">
        <v>517</v>
      </c>
      <c r="B6" s="259"/>
      <c r="C6" s="260" t="s">
        <v>479</v>
      </c>
      <c r="D6" s="259"/>
      <c r="E6" s="259">
        <v>2000000</v>
      </c>
      <c r="F6" s="261">
        <f t="shared" si="0"/>
        <v>-2000000</v>
      </c>
      <c r="G6" s="259">
        <v>2000000</v>
      </c>
      <c r="H6" s="259"/>
    </row>
    <row r="7" spans="1:8" ht="15.75" customHeight="1">
      <c r="A7" s="258" t="s">
        <v>518</v>
      </c>
      <c r="B7" s="259"/>
      <c r="C7" s="260" t="s">
        <v>479</v>
      </c>
      <c r="D7" s="259"/>
      <c r="E7" s="259">
        <v>12000000</v>
      </c>
      <c r="F7" s="261">
        <f t="shared" si="0"/>
        <v>-12000000</v>
      </c>
      <c r="G7" s="259">
        <v>29577930</v>
      </c>
      <c r="H7" s="259">
        <v>29051812</v>
      </c>
    </row>
    <row r="8" spans="1:8" ht="15.75" customHeight="1">
      <c r="A8" s="258" t="s">
        <v>519</v>
      </c>
      <c r="B8" s="259"/>
      <c r="C8" s="260" t="s">
        <v>479</v>
      </c>
      <c r="D8" s="259"/>
      <c r="E8" s="259">
        <v>2160256</v>
      </c>
      <c r="F8" s="261">
        <f t="shared" si="0"/>
        <v>-2160256</v>
      </c>
      <c r="G8" s="259">
        <v>2160256</v>
      </c>
      <c r="H8" s="259">
        <v>2160256</v>
      </c>
    </row>
    <row r="9" spans="1:8" ht="15.75" customHeight="1">
      <c r="A9" s="258" t="s">
        <v>520</v>
      </c>
      <c r="B9" s="259"/>
      <c r="C9" s="260" t="s">
        <v>479</v>
      </c>
      <c r="D9" s="259"/>
      <c r="E9" s="259">
        <v>2285102</v>
      </c>
      <c r="F9" s="261">
        <f t="shared" si="0"/>
        <v>-2285102</v>
      </c>
      <c r="G9" s="259">
        <v>2305492</v>
      </c>
      <c r="H9" s="259">
        <v>2877969</v>
      </c>
    </row>
    <row r="10" spans="1:8" ht="15.75" customHeight="1">
      <c r="A10" s="258" t="s">
        <v>521</v>
      </c>
      <c r="B10" s="259"/>
      <c r="C10" s="260" t="s">
        <v>479</v>
      </c>
      <c r="D10" s="259"/>
      <c r="E10" s="259">
        <v>2000000</v>
      </c>
      <c r="F10" s="261">
        <f t="shared" si="0"/>
        <v>-2000000</v>
      </c>
      <c r="G10" s="259">
        <v>2000000</v>
      </c>
      <c r="H10" s="259"/>
    </row>
    <row r="11" spans="1:8" ht="15.75" customHeight="1">
      <c r="A11" s="258" t="s">
        <v>522</v>
      </c>
      <c r="B11" s="259"/>
      <c r="C11" s="260" t="s">
        <v>479</v>
      </c>
      <c r="D11" s="259"/>
      <c r="E11" s="259">
        <v>762000</v>
      </c>
      <c r="F11" s="261">
        <f t="shared" si="0"/>
        <v>-762000</v>
      </c>
      <c r="G11" s="259">
        <v>762000</v>
      </c>
      <c r="H11" s="259"/>
    </row>
    <row r="12" spans="1:8" ht="15.75" customHeight="1">
      <c r="A12" s="258" t="s">
        <v>523</v>
      </c>
      <c r="B12" s="259"/>
      <c r="C12" s="260" t="s">
        <v>479</v>
      </c>
      <c r="D12" s="259"/>
      <c r="E12" s="259">
        <v>381000</v>
      </c>
      <c r="F12" s="261">
        <f t="shared" si="0"/>
        <v>-381000</v>
      </c>
      <c r="G12" s="259">
        <v>381000</v>
      </c>
      <c r="H12" s="259"/>
    </row>
    <row r="13" spans="1:8" ht="15.75" customHeight="1">
      <c r="A13" s="258" t="s">
        <v>524</v>
      </c>
      <c r="B13" s="259"/>
      <c r="C13" s="260" t="s">
        <v>479</v>
      </c>
      <c r="D13" s="259"/>
      <c r="E13" s="259">
        <v>381000</v>
      </c>
      <c r="F13" s="261">
        <f t="shared" si="0"/>
        <v>-381000</v>
      </c>
      <c r="G13" s="259">
        <v>381000</v>
      </c>
      <c r="H13" s="259"/>
    </row>
    <row r="14" spans="1:8" ht="15.75" customHeight="1">
      <c r="A14" s="258" t="s">
        <v>525</v>
      </c>
      <c r="B14" s="259"/>
      <c r="C14" s="260" t="s">
        <v>479</v>
      </c>
      <c r="D14" s="259"/>
      <c r="E14" s="259">
        <v>1275200</v>
      </c>
      <c r="F14" s="261">
        <f t="shared" si="0"/>
        <v>-1275200</v>
      </c>
      <c r="G14" s="259">
        <v>1378400</v>
      </c>
      <c r="H14" s="259">
        <v>2039880</v>
      </c>
    </row>
    <row r="15" spans="1:8" ht="15.75" customHeight="1">
      <c r="A15" s="258" t="s">
        <v>526</v>
      </c>
      <c r="B15" s="259"/>
      <c r="C15" s="260" t="s">
        <v>479</v>
      </c>
      <c r="D15" s="259"/>
      <c r="E15" s="259">
        <v>5125085</v>
      </c>
      <c r="F15" s="261">
        <f t="shared" si="0"/>
        <v>-5125085</v>
      </c>
      <c r="G15" s="259">
        <v>8030395</v>
      </c>
      <c r="H15" s="259">
        <v>8030395</v>
      </c>
    </row>
    <row r="16" spans="1:8" ht="15.75" customHeight="1">
      <c r="A16" s="258" t="s">
        <v>527</v>
      </c>
      <c r="B16" s="259"/>
      <c r="C16" s="260" t="s">
        <v>479</v>
      </c>
      <c r="D16" s="259"/>
      <c r="E16" s="259">
        <v>1270000</v>
      </c>
      <c r="F16" s="261">
        <f t="shared" si="0"/>
        <v>-1270000</v>
      </c>
      <c r="G16" s="259">
        <v>1270000</v>
      </c>
      <c r="H16" s="259">
        <v>422900</v>
      </c>
    </row>
    <row r="17" spans="1:8" ht="15.75" customHeight="1">
      <c r="A17" s="258" t="s">
        <v>528</v>
      </c>
      <c r="B17" s="259"/>
      <c r="C17" s="260" t="s">
        <v>479</v>
      </c>
      <c r="D17" s="259"/>
      <c r="E17" s="259"/>
      <c r="F17" s="261">
        <f t="shared" si="0"/>
        <v>0</v>
      </c>
      <c r="G17" s="259">
        <v>1327472</v>
      </c>
      <c r="H17" s="259">
        <v>1327472</v>
      </c>
    </row>
    <row r="18" spans="1:8" ht="15.75" customHeight="1">
      <c r="A18" s="258" t="s">
        <v>529</v>
      </c>
      <c r="B18" s="259"/>
      <c r="C18" s="260" t="s">
        <v>479</v>
      </c>
      <c r="D18" s="259"/>
      <c r="E18" s="259"/>
      <c r="F18" s="261">
        <f t="shared" si="0"/>
        <v>0</v>
      </c>
      <c r="G18" s="259">
        <v>122911</v>
      </c>
      <c r="H18" s="259">
        <v>122911</v>
      </c>
    </row>
    <row r="19" spans="1:8" ht="15.75" customHeight="1">
      <c r="A19" s="258" t="s">
        <v>530</v>
      </c>
      <c r="B19" s="259"/>
      <c r="C19" s="260" t="s">
        <v>479</v>
      </c>
      <c r="D19" s="259"/>
      <c r="E19" s="259"/>
      <c r="F19" s="261">
        <f t="shared" si="0"/>
        <v>0</v>
      </c>
      <c r="G19" s="259">
        <v>10687050</v>
      </c>
      <c r="H19" s="259">
        <v>7588236</v>
      </c>
    </row>
    <row r="20" spans="1:8" ht="15.75" customHeight="1">
      <c r="A20" s="258" t="s">
        <v>531</v>
      </c>
      <c r="B20" s="259"/>
      <c r="C20" s="260" t="s">
        <v>479</v>
      </c>
      <c r="D20" s="259"/>
      <c r="E20" s="259"/>
      <c r="F20" s="261">
        <f t="shared" si="0"/>
        <v>0</v>
      </c>
      <c r="G20" s="259"/>
      <c r="H20" s="259">
        <v>288964</v>
      </c>
    </row>
    <row r="21" spans="1:8" ht="15.75" customHeight="1">
      <c r="A21" s="258"/>
      <c r="B21" s="259"/>
      <c r="C21" s="260"/>
      <c r="D21" s="259"/>
      <c r="E21" s="259"/>
      <c r="F21" s="261">
        <f t="shared" si="0"/>
        <v>0</v>
      </c>
      <c r="G21" s="259"/>
      <c r="H21" s="259"/>
    </row>
    <row r="22" spans="1:8" ht="15.75" customHeight="1">
      <c r="A22" s="258"/>
      <c r="B22" s="259"/>
      <c r="C22" s="260"/>
      <c r="D22" s="259"/>
      <c r="E22" s="259"/>
      <c r="F22" s="261">
        <f t="shared" si="0"/>
        <v>0</v>
      </c>
      <c r="G22" s="259"/>
      <c r="H22" s="259"/>
    </row>
    <row r="23" spans="1:8" ht="15.75" customHeight="1">
      <c r="A23" s="262"/>
      <c r="B23" s="263"/>
      <c r="C23" s="264"/>
      <c r="D23" s="263"/>
      <c r="E23" s="263"/>
      <c r="F23" s="265">
        <f t="shared" si="0"/>
        <v>0</v>
      </c>
      <c r="G23" s="263"/>
      <c r="H23" s="263"/>
    </row>
    <row r="24" spans="1:11" s="250" customFormat="1" ht="18" customHeight="1">
      <c r="A24" s="266" t="s">
        <v>513</v>
      </c>
      <c r="B24" s="267">
        <f>SUM(B5:B23)</f>
        <v>0</v>
      </c>
      <c r="C24" s="268"/>
      <c r="D24" s="267">
        <f>SUM(D5:D23)</f>
        <v>0</v>
      </c>
      <c r="E24" s="267">
        <f>SUM(E5:E23)</f>
        <v>34139644</v>
      </c>
      <c r="F24" s="269">
        <f>SUM(F5:F23)</f>
        <v>-34139644</v>
      </c>
      <c r="G24" s="267">
        <f>SUM(G5:G23)</f>
        <v>66883907</v>
      </c>
      <c r="H24" s="267">
        <f>SUM(H5:H23)</f>
        <v>57866504</v>
      </c>
      <c r="K24" s="251"/>
    </row>
  </sheetData>
  <sheetProtection selectLockedCells="1" selectUnlockedCells="1"/>
  <mergeCells count="1">
    <mergeCell ref="A1:F1"/>
  </mergeCells>
  <printOptions horizontalCentered="1"/>
  <pageMargins left="0.65" right="0.7875" top="1.2506944444444446" bottom="0.9840277777777777" header="0.7875" footer="0.5118055555555555"/>
  <pageSetup horizontalDpi="300" verticalDpi="300" orientation="landscape" paperSize="9" scale="91"/>
  <headerFooter alignWithMargins="0">
    <oddHeader xml:space="preserve">&amp;R&amp;"Times New Roman CE,Félkövér dőlt"&amp;11 4. melléklet
&amp;"Times New Roman CE,Általános"&amp;10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N35"/>
  <sheetViews>
    <sheetView zoomScale="120" zoomScaleNormal="120" zoomScaleSheetLayoutView="100" zoomScalePageLayoutView="0" workbookViewId="0" topLeftCell="A9">
      <selection activeCell="K14" sqref="K14"/>
    </sheetView>
  </sheetViews>
  <sheetFormatPr defaultColWidth="9.00390625" defaultRowHeight="12.75"/>
  <cols>
    <col min="1" max="1" width="28.50390625" style="270" customWidth="1"/>
    <col min="2" max="13" width="10.00390625" style="270" customWidth="1"/>
    <col min="14" max="14" width="4.00390625" style="270" customWidth="1"/>
    <col min="15" max="16384" width="9.375" style="270" customWidth="1"/>
  </cols>
  <sheetData>
    <row r="1" spans="1:13" ht="15">
      <c r="A1" s="825" t="str">
        <f>CONCATENATE("5. melléklet ",Z_ALAPADATOK!A7," ",Z_ALAPADATOK!B7," ",Z_ALAPADATOK!C7," ",Z_ALAPADATOK!D7," ",Z_ALAPADATOK!E7," ",Z_ALAPADATOK!F7," ",Z_ALAPADATOK!G7," ",Z_ALAPADATOK!H7)</f>
        <v>5. melléklet a … / 2019. ( … ) önkormányzati rendelethez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</row>
    <row r="2" spans="1:13" ht="15.75" customHeight="1">
      <c r="A2" s="826" t="s">
        <v>532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</row>
    <row r="3" spans="1:13" ht="15.75">
      <c r="A3" s="827" t="s">
        <v>533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</row>
    <row r="4" spans="1:14" ht="15.75" customHeight="1">
      <c r="A4" s="828" t="s">
        <v>534</v>
      </c>
      <c r="B4" s="828"/>
      <c r="C4" s="828"/>
      <c r="D4" s="829" t="s">
        <v>535</v>
      </c>
      <c r="E4" s="829"/>
      <c r="F4" s="829"/>
      <c r="G4" s="829"/>
      <c r="H4" s="829"/>
      <c r="I4" s="829"/>
      <c r="J4" s="829"/>
      <c r="K4" s="829"/>
      <c r="L4" s="829"/>
      <c r="M4" s="829"/>
      <c r="N4" s="830"/>
    </row>
    <row r="5" spans="1:14" ht="15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832" t="str">
        <f>'Z_4.sz.mell.'!G4</f>
        <v>E</v>
      </c>
      <c r="M5" s="832"/>
      <c r="N5" s="830"/>
    </row>
    <row r="6" spans="1:14" ht="13.5" customHeight="1">
      <c r="A6" s="833" t="s">
        <v>536</v>
      </c>
      <c r="B6" s="834" t="s">
        <v>537</v>
      </c>
      <c r="C6" s="834"/>
      <c r="D6" s="834"/>
      <c r="E6" s="834"/>
      <c r="F6" s="834"/>
      <c r="G6" s="834"/>
      <c r="H6" s="834"/>
      <c r="I6" s="834"/>
      <c r="J6" s="835" t="s">
        <v>538</v>
      </c>
      <c r="K6" s="835"/>
      <c r="L6" s="835"/>
      <c r="M6" s="835"/>
      <c r="N6" s="830"/>
    </row>
    <row r="7" spans="1:14" ht="15" customHeight="1">
      <c r="A7" s="833"/>
      <c r="B7" s="836" t="s">
        <v>539</v>
      </c>
      <c r="C7" s="837" t="s">
        <v>540</v>
      </c>
      <c r="D7" s="838" t="s">
        <v>541</v>
      </c>
      <c r="E7" s="838"/>
      <c r="F7" s="838"/>
      <c r="G7" s="838"/>
      <c r="H7" s="838"/>
      <c r="I7" s="838"/>
      <c r="J7" s="835"/>
      <c r="K7" s="835"/>
      <c r="L7" s="835"/>
      <c r="M7" s="835"/>
      <c r="N7" s="830"/>
    </row>
    <row r="8" spans="1:14" ht="21">
      <c r="A8" s="833"/>
      <c r="B8" s="836"/>
      <c r="C8" s="837"/>
      <c r="D8" s="273" t="s">
        <v>539</v>
      </c>
      <c r="E8" s="273" t="s">
        <v>540</v>
      </c>
      <c r="F8" s="273" t="s">
        <v>539</v>
      </c>
      <c r="G8" s="273" t="s">
        <v>540</v>
      </c>
      <c r="H8" s="273" t="s">
        <v>539</v>
      </c>
      <c r="I8" s="273" t="s">
        <v>540</v>
      </c>
      <c r="J8" s="835"/>
      <c r="K8" s="835"/>
      <c r="L8" s="835"/>
      <c r="M8" s="835"/>
      <c r="N8" s="830"/>
    </row>
    <row r="9" spans="1:14" ht="32.25" customHeight="1">
      <c r="A9" s="833"/>
      <c r="B9" s="837" t="s">
        <v>542</v>
      </c>
      <c r="C9" s="837"/>
      <c r="D9" s="837" t="str">
        <f>+CONCATENATE(LEFT(Z_ÖSSZEFÜGGÉSEK!A6,4),". előtt")</f>
        <v>2018. előtt</v>
      </c>
      <c r="E9" s="837"/>
      <c r="F9" s="839" t="str">
        <f>+CONCATENATE(LEFT(Z_ÖSSZEFÜGGÉSEK!A6,4),". XII.31.")</f>
        <v>2018. XII.31.</v>
      </c>
      <c r="G9" s="839"/>
      <c r="H9" s="836" t="str">
        <f>+CONCATENATE(LEFT(Z_ÖSSZEFÜGGÉSEK!A6,4),". után")</f>
        <v>2018. után</v>
      </c>
      <c r="I9" s="836"/>
      <c r="J9" s="275" t="str">
        <f>+D9</f>
        <v>2018. előtt</v>
      </c>
      <c r="K9" s="274" t="str">
        <f>+F9</f>
        <v>2018. XII.31.</v>
      </c>
      <c r="L9" s="272" t="s">
        <v>543</v>
      </c>
      <c r="M9" s="274" t="str">
        <f>+CONCATENATE("Teljesítés %-a ",LEFT(Z_ÖSSZEFÜGGÉSEK!A6,4),". XII. 31-ig")</f>
        <v>Teljesítés %-a 2018. XII. 31-ig</v>
      </c>
      <c r="N9" s="830"/>
    </row>
    <row r="10" spans="1:14" ht="12.75">
      <c r="A10" s="276" t="s">
        <v>109</v>
      </c>
      <c r="B10" s="272" t="s">
        <v>110</v>
      </c>
      <c r="C10" s="272" t="s">
        <v>111</v>
      </c>
      <c r="D10" s="277" t="s">
        <v>112</v>
      </c>
      <c r="E10" s="273" t="s">
        <v>113</v>
      </c>
      <c r="F10" s="273" t="s">
        <v>436</v>
      </c>
      <c r="G10" s="273" t="s">
        <v>384</v>
      </c>
      <c r="H10" s="272" t="s">
        <v>385</v>
      </c>
      <c r="I10" s="277" t="s">
        <v>386</v>
      </c>
      <c r="J10" s="277" t="s">
        <v>544</v>
      </c>
      <c r="K10" s="277" t="s">
        <v>545</v>
      </c>
      <c r="L10" s="277" t="s">
        <v>546</v>
      </c>
      <c r="M10" s="278" t="s">
        <v>547</v>
      </c>
      <c r="N10" s="830"/>
    </row>
    <row r="11" spans="1:14" ht="12.75">
      <c r="A11" s="279" t="s">
        <v>548</v>
      </c>
      <c r="B11" s="280"/>
      <c r="C11" s="281"/>
      <c r="D11" s="281"/>
      <c r="E11" s="282"/>
      <c r="F11" s="281"/>
      <c r="G11" s="281"/>
      <c r="H11" s="281"/>
      <c r="I11" s="281"/>
      <c r="J11" s="281"/>
      <c r="K11" s="281"/>
      <c r="L11" s="283">
        <f aca="true" t="shared" si="0" ref="L11:L17">+J11+K11</f>
        <v>0</v>
      </c>
      <c r="M11" s="284">
        <f aca="true" t="shared" si="1" ref="M11:M18">IF((C11&lt;&gt;0),ROUND((L11/C11)*100,1),"")</f>
      </c>
      <c r="N11" s="830"/>
    </row>
    <row r="12" spans="1:14" ht="12.75">
      <c r="A12" s="285" t="s">
        <v>549</v>
      </c>
      <c r="B12" s="286"/>
      <c r="C12" s="287"/>
      <c r="D12" s="287"/>
      <c r="E12" s="287"/>
      <c r="F12" s="287"/>
      <c r="G12" s="287"/>
      <c r="H12" s="287"/>
      <c r="I12" s="287"/>
      <c r="J12" s="287"/>
      <c r="K12" s="287"/>
      <c r="L12" s="288">
        <f t="shared" si="0"/>
        <v>0</v>
      </c>
      <c r="M12" s="289">
        <f t="shared" si="1"/>
      </c>
      <c r="N12" s="830"/>
    </row>
    <row r="13" spans="1:14" ht="12.75">
      <c r="A13" s="290" t="s">
        <v>550</v>
      </c>
      <c r="B13" s="291">
        <v>56669456</v>
      </c>
      <c r="C13" s="291">
        <v>56669456</v>
      </c>
      <c r="D13" s="292"/>
      <c r="E13" s="292"/>
      <c r="F13" s="292"/>
      <c r="G13" s="292"/>
      <c r="H13" s="291">
        <v>88639826</v>
      </c>
      <c r="I13" s="292"/>
      <c r="J13" s="292"/>
      <c r="K13" s="292">
        <v>36327320</v>
      </c>
      <c r="L13" s="288">
        <f t="shared" si="0"/>
        <v>36327320</v>
      </c>
      <c r="M13" s="289">
        <f t="shared" si="1"/>
        <v>64.1</v>
      </c>
      <c r="N13" s="830"/>
    </row>
    <row r="14" spans="1:14" ht="12.75">
      <c r="A14" s="290" t="s">
        <v>551</v>
      </c>
      <c r="B14" s="293"/>
      <c r="C14" s="292"/>
      <c r="D14" s="292"/>
      <c r="E14" s="292"/>
      <c r="F14" s="292"/>
      <c r="G14" s="292"/>
      <c r="H14" s="292"/>
      <c r="I14" s="292"/>
      <c r="J14" s="292"/>
      <c r="K14" s="292"/>
      <c r="L14" s="288">
        <f t="shared" si="0"/>
        <v>0</v>
      </c>
      <c r="M14" s="289">
        <f t="shared" si="1"/>
      </c>
      <c r="N14" s="830"/>
    </row>
    <row r="15" spans="1:14" ht="12.75">
      <c r="A15" s="290" t="s">
        <v>552</v>
      </c>
      <c r="B15" s="293"/>
      <c r="C15" s="292"/>
      <c r="D15" s="292"/>
      <c r="E15" s="292"/>
      <c r="F15" s="292"/>
      <c r="G15" s="292"/>
      <c r="H15" s="292"/>
      <c r="I15" s="292"/>
      <c r="J15" s="292"/>
      <c r="K15" s="292"/>
      <c r="L15" s="288">
        <f t="shared" si="0"/>
        <v>0</v>
      </c>
      <c r="M15" s="289">
        <f t="shared" si="1"/>
      </c>
      <c r="N15" s="830"/>
    </row>
    <row r="16" spans="1:14" ht="12.75">
      <c r="A16" s="290" t="s">
        <v>553</v>
      </c>
      <c r="B16" s="293"/>
      <c r="C16" s="292"/>
      <c r="D16" s="292"/>
      <c r="E16" s="292"/>
      <c r="F16" s="292"/>
      <c r="G16" s="292"/>
      <c r="H16" s="292"/>
      <c r="I16" s="292"/>
      <c r="J16" s="292"/>
      <c r="K16" s="292"/>
      <c r="L16" s="288">
        <f t="shared" si="0"/>
        <v>0</v>
      </c>
      <c r="M16" s="289">
        <f t="shared" si="1"/>
      </c>
      <c r="N16" s="830"/>
    </row>
    <row r="17" spans="1:14" ht="15" customHeight="1">
      <c r="A17" s="294"/>
      <c r="B17" s="295"/>
      <c r="C17" s="296"/>
      <c r="D17" s="296"/>
      <c r="E17" s="296"/>
      <c r="F17" s="296"/>
      <c r="G17" s="296"/>
      <c r="H17" s="296"/>
      <c r="I17" s="296"/>
      <c r="J17" s="296"/>
      <c r="K17" s="296"/>
      <c r="L17" s="288">
        <f t="shared" si="0"/>
        <v>0</v>
      </c>
      <c r="M17" s="297">
        <f t="shared" si="1"/>
      </c>
      <c r="N17" s="830"/>
    </row>
    <row r="18" spans="1:14" ht="12.75">
      <c r="A18" s="298" t="s">
        <v>554</v>
      </c>
      <c r="B18" s="299">
        <f aca="true" t="shared" si="2" ref="B18:L18">B11+SUM(B13:B17)</f>
        <v>56669456</v>
      </c>
      <c r="C18" s="299">
        <f t="shared" si="2"/>
        <v>56669456</v>
      </c>
      <c r="D18" s="299">
        <f t="shared" si="2"/>
        <v>0</v>
      </c>
      <c r="E18" s="299">
        <f t="shared" si="2"/>
        <v>0</v>
      </c>
      <c r="F18" s="299">
        <f t="shared" si="2"/>
        <v>0</v>
      </c>
      <c r="G18" s="299">
        <f t="shared" si="2"/>
        <v>0</v>
      </c>
      <c r="H18" s="299">
        <f t="shared" si="2"/>
        <v>88639826</v>
      </c>
      <c r="I18" s="299">
        <f t="shared" si="2"/>
        <v>0</v>
      </c>
      <c r="J18" s="299">
        <f t="shared" si="2"/>
        <v>0</v>
      </c>
      <c r="K18" s="299">
        <f t="shared" si="2"/>
        <v>36327320</v>
      </c>
      <c r="L18" s="299">
        <f t="shared" si="2"/>
        <v>36327320</v>
      </c>
      <c r="M18" s="300">
        <f t="shared" si="1"/>
        <v>64.1</v>
      </c>
      <c r="N18" s="830"/>
    </row>
    <row r="19" spans="1:14" ht="12.75">
      <c r="A19" s="301"/>
      <c r="B19" s="302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830"/>
    </row>
    <row r="20" spans="1:14" ht="12.75">
      <c r="A20" s="304" t="s">
        <v>555</v>
      </c>
      <c r="B20" s="305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830"/>
    </row>
    <row r="21" spans="1:14" ht="12.75">
      <c r="A21" s="307" t="s">
        <v>556</v>
      </c>
      <c r="B21" s="308">
        <v>1493750</v>
      </c>
      <c r="C21" s="308">
        <v>1493750</v>
      </c>
      <c r="D21" s="309"/>
      <c r="E21" s="310"/>
      <c r="F21" s="309"/>
      <c r="G21" s="309"/>
      <c r="H21" s="308">
        <v>2006250</v>
      </c>
      <c r="I21" s="309"/>
      <c r="J21" s="309"/>
      <c r="K21" s="309">
        <v>1469375</v>
      </c>
      <c r="L21" s="311">
        <f>+J21+K21</f>
        <v>1469375</v>
      </c>
      <c r="M21" s="312">
        <f aca="true" t="shared" si="3" ref="M21:M26">IF((C21&lt;&gt;0),ROUND((L21/C21)*100,1),"")</f>
        <v>98.4</v>
      </c>
      <c r="N21" s="830"/>
    </row>
    <row r="22" spans="1:14" ht="12.75">
      <c r="A22" s="313" t="s">
        <v>557</v>
      </c>
      <c r="B22" s="291">
        <v>46041365</v>
      </c>
      <c r="C22" s="291">
        <v>46041365</v>
      </c>
      <c r="D22" s="314"/>
      <c r="E22" s="314"/>
      <c r="F22" s="314"/>
      <c r="G22" s="314"/>
      <c r="H22" s="291">
        <v>58186593</v>
      </c>
      <c r="I22" s="314"/>
      <c r="J22" s="314"/>
      <c r="K22" s="314">
        <v>44436177</v>
      </c>
      <c r="L22" s="315">
        <f>+J22+K22</f>
        <v>44436177</v>
      </c>
      <c r="M22" s="316">
        <f t="shared" si="3"/>
        <v>96.5</v>
      </c>
      <c r="N22" s="830"/>
    </row>
    <row r="23" spans="1:14" ht="12.75">
      <c r="A23" s="313" t="s">
        <v>558</v>
      </c>
      <c r="B23" s="291">
        <v>11370341</v>
      </c>
      <c r="C23" s="291">
        <v>11370341</v>
      </c>
      <c r="D23" s="314"/>
      <c r="E23" s="314"/>
      <c r="F23" s="314"/>
      <c r="G23" s="314"/>
      <c r="H23" s="291">
        <v>26070983</v>
      </c>
      <c r="I23" s="314"/>
      <c r="J23" s="314"/>
      <c r="K23" s="314">
        <v>9194400</v>
      </c>
      <c r="L23" s="315">
        <f>+J23+K23</f>
        <v>9194400</v>
      </c>
      <c r="M23" s="316">
        <f t="shared" si="3"/>
        <v>80.9</v>
      </c>
      <c r="N23" s="830"/>
    </row>
    <row r="24" spans="1:14" ht="12.75">
      <c r="A24" s="313" t="s">
        <v>559</v>
      </c>
      <c r="B24" s="291">
        <v>140000</v>
      </c>
      <c r="C24" s="291">
        <v>140000</v>
      </c>
      <c r="D24" s="314"/>
      <c r="E24" s="314"/>
      <c r="F24" s="314"/>
      <c r="G24" s="314"/>
      <c r="H24" s="291"/>
      <c r="I24" s="314"/>
      <c r="J24" s="314"/>
      <c r="K24" s="314"/>
      <c r="L24" s="315">
        <f>+J24+K24</f>
        <v>0</v>
      </c>
      <c r="M24" s="316">
        <f t="shared" si="3"/>
        <v>0</v>
      </c>
      <c r="N24" s="830"/>
    </row>
    <row r="25" spans="1:14" ht="12.75">
      <c r="A25" s="317"/>
      <c r="B25" s="318"/>
      <c r="C25" s="319"/>
      <c r="D25" s="319"/>
      <c r="E25" s="319"/>
      <c r="F25" s="319"/>
      <c r="G25" s="319"/>
      <c r="H25" s="319"/>
      <c r="I25" s="319"/>
      <c r="J25" s="319"/>
      <c r="K25" s="319"/>
      <c r="L25" s="315">
        <f>+J25+K25</f>
        <v>0</v>
      </c>
      <c r="M25" s="320">
        <f t="shared" si="3"/>
      </c>
      <c r="N25" s="830"/>
    </row>
    <row r="26" spans="1:14" ht="12.75">
      <c r="A26" s="321" t="s">
        <v>560</v>
      </c>
      <c r="B26" s="322">
        <f aca="true" t="shared" si="4" ref="B26:L26">SUM(B21:B25)</f>
        <v>59045456</v>
      </c>
      <c r="C26" s="322">
        <f t="shared" si="4"/>
        <v>59045456</v>
      </c>
      <c r="D26" s="322">
        <f t="shared" si="4"/>
        <v>0</v>
      </c>
      <c r="E26" s="322">
        <f t="shared" si="4"/>
        <v>0</v>
      </c>
      <c r="F26" s="322">
        <f t="shared" si="4"/>
        <v>0</v>
      </c>
      <c r="G26" s="322">
        <f t="shared" si="4"/>
        <v>0</v>
      </c>
      <c r="H26" s="322">
        <f t="shared" si="4"/>
        <v>86263826</v>
      </c>
      <c r="I26" s="322">
        <f t="shared" si="4"/>
        <v>0</v>
      </c>
      <c r="J26" s="322">
        <f t="shared" si="4"/>
        <v>0</v>
      </c>
      <c r="K26" s="322">
        <f t="shared" si="4"/>
        <v>55099952</v>
      </c>
      <c r="L26" s="322">
        <f t="shared" si="4"/>
        <v>55099952</v>
      </c>
      <c r="M26" s="323">
        <f t="shared" si="3"/>
        <v>93.3</v>
      </c>
      <c r="N26" s="830"/>
    </row>
    <row r="27" spans="1:14" ht="12.75" customHeight="1">
      <c r="A27" s="841" t="s">
        <v>561</v>
      </c>
      <c r="B27" s="841"/>
      <c r="C27" s="841"/>
      <c r="D27" s="841"/>
      <c r="E27" s="841"/>
      <c r="F27" s="841"/>
      <c r="G27" s="841"/>
      <c r="H27" s="841"/>
      <c r="I27" s="841"/>
      <c r="J27" s="841"/>
      <c r="K27" s="841"/>
      <c r="L27" s="841"/>
      <c r="M27" s="841"/>
      <c r="N27" s="830"/>
    </row>
    <row r="28" spans="1:14" ht="5.25" customHeight="1">
      <c r="A28" s="324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830"/>
    </row>
    <row r="29" spans="1:14" ht="15.75">
      <c r="A29" s="842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842"/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2"/>
      <c r="N29" s="830"/>
    </row>
    <row r="30" spans="1:14" ht="12" customHeight="1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843" t="str">
        <f>L5</f>
        <v>E</v>
      </c>
      <c r="M30" s="843"/>
      <c r="N30" s="830"/>
    </row>
    <row r="31" spans="1:14" ht="21.75" customHeight="1">
      <c r="A31" s="844" t="s">
        <v>562</v>
      </c>
      <c r="B31" s="844"/>
      <c r="C31" s="844"/>
      <c r="D31" s="844"/>
      <c r="E31" s="844"/>
      <c r="F31" s="844"/>
      <c r="G31" s="844"/>
      <c r="H31" s="844"/>
      <c r="I31" s="844"/>
      <c r="J31" s="844"/>
      <c r="K31" s="325" t="s">
        <v>563</v>
      </c>
      <c r="L31" s="325" t="s">
        <v>564</v>
      </c>
      <c r="M31" s="325" t="s">
        <v>538</v>
      </c>
      <c r="N31" s="830"/>
    </row>
    <row r="32" spans="1:14" ht="12.75">
      <c r="A32" s="845"/>
      <c r="B32" s="845"/>
      <c r="C32" s="845"/>
      <c r="D32" s="845"/>
      <c r="E32" s="845"/>
      <c r="F32" s="845"/>
      <c r="G32" s="845"/>
      <c r="H32" s="845"/>
      <c r="I32" s="845"/>
      <c r="J32" s="845"/>
      <c r="K32" s="326"/>
      <c r="L32" s="327"/>
      <c r="M32" s="327"/>
      <c r="N32" s="830"/>
    </row>
    <row r="33" spans="1:14" ht="12.75">
      <c r="A33" s="846"/>
      <c r="B33" s="846"/>
      <c r="C33" s="846"/>
      <c r="D33" s="846"/>
      <c r="E33" s="846"/>
      <c r="F33" s="846"/>
      <c r="G33" s="846"/>
      <c r="H33" s="846"/>
      <c r="I33" s="846"/>
      <c r="J33" s="846"/>
      <c r="K33" s="328"/>
      <c r="L33" s="329"/>
      <c r="M33" s="329"/>
      <c r="N33" s="830"/>
    </row>
    <row r="34" spans="1:14" ht="13.5" customHeight="1">
      <c r="A34" s="840" t="s">
        <v>565</v>
      </c>
      <c r="B34" s="840"/>
      <c r="C34" s="840"/>
      <c r="D34" s="840"/>
      <c r="E34" s="840"/>
      <c r="F34" s="840"/>
      <c r="G34" s="840"/>
      <c r="H34" s="840"/>
      <c r="I34" s="840"/>
      <c r="J34" s="840"/>
      <c r="K34" s="330">
        <f>SUM(K32:K33)</f>
        <v>0</v>
      </c>
      <c r="L34" s="330">
        <f>SUM(L32:L33)</f>
        <v>0</v>
      </c>
      <c r="M34" s="330">
        <f>SUM(M32:M33)</f>
        <v>0</v>
      </c>
      <c r="N34" s="830"/>
    </row>
    <row r="35" ht="12.75">
      <c r="N35" s="831"/>
    </row>
  </sheetData>
  <sheetProtection selectLockedCells="1" selectUnlockedCells="1"/>
  <mergeCells count="24">
    <mergeCell ref="A34:J34"/>
    <mergeCell ref="A27:M27"/>
    <mergeCell ref="A29:M29"/>
    <mergeCell ref="L30:M30"/>
    <mergeCell ref="A31:J31"/>
    <mergeCell ref="A32:J32"/>
    <mergeCell ref="A33:J33"/>
    <mergeCell ref="B7:B8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C4"/>
    <mergeCell ref="D4:M4"/>
    <mergeCell ref="N4:N35"/>
    <mergeCell ref="L5:M5"/>
    <mergeCell ref="A6:A9"/>
    <mergeCell ref="B6:I6"/>
    <mergeCell ref="J6:M8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4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58"/>
  <sheetViews>
    <sheetView zoomScale="120" zoomScaleNormal="120" zoomScaleSheetLayoutView="100" zoomScalePageLayoutView="0" workbookViewId="0" topLeftCell="A1">
      <selection activeCell="E111" sqref="E111"/>
    </sheetView>
  </sheetViews>
  <sheetFormatPr defaultColWidth="9.00390625" defaultRowHeight="12.75"/>
  <cols>
    <col min="1" max="1" width="16.125" style="331" customWidth="1"/>
    <col min="2" max="2" width="63.875" style="332" customWidth="1"/>
    <col min="3" max="3" width="14.125" style="333" customWidth="1"/>
    <col min="4" max="5" width="14.125" style="334" customWidth="1"/>
    <col min="6" max="16384" width="9.375" style="334" customWidth="1"/>
  </cols>
  <sheetData>
    <row r="1" spans="1:5" s="336" customFormat="1" ht="16.5" customHeight="1">
      <c r="A1" s="335"/>
      <c r="B1" s="847" t="str">
        <f>CONCATENATE("6.1. melléklet ",Z_ALAPADATOK!A7," ",Z_ALAPADATOK!B7," ",Z_ALAPADATOK!C7," ",Z_ALAPADATOK!D7," ",Z_ALAPADATOK!E7," ",Z_ALAPADATOK!F7," ",Z_ALAPADATOK!G7," ",Z_ALAPADATOK!H7)</f>
        <v>6.1. melléklet a … / 2019. ( … ) önkormányzati rendelethez</v>
      </c>
      <c r="C1" s="847"/>
      <c r="D1" s="847"/>
      <c r="E1" s="847"/>
    </row>
    <row r="2" spans="1:5" s="339" customFormat="1" ht="21" customHeight="1">
      <c r="A2" s="337" t="s">
        <v>382</v>
      </c>
      <c r="B2" s="848" t="str">
        <f>CONCATENATE(Z_ALAPADATOK!A3)</f>
        <v>Balatonvilágos Község Önkormányzata</v>
      </c>
      <c r="C2" s="848"/>
      <c r="D2" s="848"/>
      <c r="E2" s="338" t="s">
        <v>566</v>
      </c>
    </row>
    <row r="3" spans="1:5" s="339" customFormat="1" ht="24.75" customHeight="1">
      <c r="A3" s="337" t="s">
        <v>567</v>
      </c>
      <c r="B3" s="848" t="s">
        <v>568</v>
      </c>
      <c r="C3" s="848"/>
      <c r="D3" s="848"/>
      <c r="E3" s="340" t="s">
        <v>566</v>
      </c>
    </row>
    <row r="4" spans="1:5" s="345" customFormat="1" ht="15.75" customHeight="1">
      <c r="A4" s="341"/>
      <c r="B4" s="341"/>
      <c r="C4" s="342"/>
      <c r="D4" s="343"/>
      <c r="E4" s="344" t="str">
        <f>'Z_4.sz.mell.'!G4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+CONCATENATE("Teljesítés",CHAR(10),LEFT(Z_ÖSSZEFÜGGÉSEK!A6,4),". XII. 31.")</f>
        <v>Teljesítés
2018. XII. 31.</v>
      </c>
    </row>
    <row r="6" spans="1:5" s="354" customFormat="1" ht="12.75" customHeight="1">
      <c r="A6" s="350" t="s">
        <v>109</v>
      </c>
      <c r="B6" s="351" t="s">
        <v>110</v>
      </c>
      <c r="C6" s="351" t="s">
        <v>111</v>
      </c>
      <c r="D6" s="352" t="s">
        <v>112</v>
      </c>
      <c r="E6" s="353" t="s">
        <v>113</v>
      </c>
    </row>
    <row r="7" spans="1:5" s="354" customFormat="1" ht="15.75" customHeight="1">
      <c r="A7" s="849" t="s">
        <v>380</v>
      </c>
      <c r="B7" s="849"/>
      <c r="C7" s="849"/>
      <c r="D7" s="849"/>
      <c r="E7" s="849"/>
    </row>
    <row r="8" spans="1:5" s="354" customFormat="1" ht="12" customHeight="1">
      <c r="A8" s="88" t="s">
        <v>114</v>
      </c>
      <c r="B8" s="37" t="s">
        <v>115</v>
      </c>
      <c r="C8" s="38">
        <f>+C9+C10+C11+C12+C13+C14</f>
        <v>113142467</v>
      </c>
      <c r="D8" s="117">
        <f>+D9+D10+D11+D12+D13+D14</f>
        <v>128291755</v>
      </c>
      <c r="E8" s="39">
        <f>+E9+E10+E11+E12+E13+E14</f>
        <v>128291755</v>
      </c>
    </row>
    <row r="9" spans="1:5" s="356" customFormat="1" ht="12" customHeight="1">
      <c r="A9" s="355" t="s">
        <v>116</v>
      </c>
      <c r="B9" s="42" t="s">
        <v>117</v>
      </c>
      <c r="C9" s="43">
        <v>43438015</v>
      </c>
      <c r="D9" s="43">
        <v>43548669</v>
      </c>
      <c r="E9" s="44">
        <v>43548669</v>
      </c>
    </row>
    <row r="10" spans="1:5" s="358" customFormat="1" ht="12" customHeight="1">
      <c r="A10" s="357" t="s">
        <v>118</v>
      </c>
      <c r="B10" s="46" t="s">
        <v>119</v>
      </c>
      <c r="C10" s="44">
        <v>38684467</v>
      </c>
      <c r="D10" s="44">
        <v>39060767</v>
      </c>
      <c r="E10" s="44">
        <v>39060767</v>
      </c>
    </row>
    <row r="11" spans="1:5" s="358" customFormat="1" ht="12" customHeight="1">
      <c r="A11" s="357" t="s">
        <v>120</v>
      </c>
      <c r="B11" s="46" t="s">
        <v>121</v>
      </c>
      <c r="C11" s="44">
        <v>29219985</v>
      </c>
      <c r="D11" s="44">
        <v>30309228</v>
      </c>
      <c r="E11" s="44">
        <v>30309228</v>
      </c>
    </row>
    <row r="12" spans="1:5" s="358" customFormat="1" ht="12" customHeight="1">
      <c r="A12" s="357" t="s">
        <v>122</v>
      </c>
      <c r="B12" s="46" t="s">
        <v>123</v>
      </c>
      <c r="C12" s="44">
        <v>1800000</v>
      </c>
      <c r="D12" s="44">
        <v>1800000</v>
      </c>
      <c r="E12" s="44">
        <v>1800000</v>
      </c>
    </row>
    <row r="13" spans="1:5" s="358" customFormat="1" ht="12" customHeight="1">
      <c r="A13" s="357" t="s">
        <v>124</v>
      </c>
      <c r="B13" s="46" t="s">
        <v>573</v>
      </c>
      <c r="C13" s="44"/>
      <c r="D13" s="44">
        <v>13573091</v>
      </c>
      <c r="E13" s="44">
        <v>13573091</v>
      </c>
    </row>
    <row r="14" spans="1:5" s="356" customFormat="1" ht="12" customHeight="1">
      <c r="A14" s="359" t="s">
        <v>126</v>
      </c>
      <c r="B14" s="58" t="s">
        <v>127</v>
      </c>
      <c r="C14" s="54"/>
      <c r="D14" s="44"/>
      <c r="E14" s="50"/>
    </row>
    <row r="15" spans="1:5" s="356" customFormat="1" ht="12" customHeight="1">
      <c r="A15" s="88" t="s">
        <v>128</v>
      </c>
      <c r="B15" s="51" t="s">
        <v>129</v>
      </c>
      <c r="C15" s="38">
        <f>+C16+C17+C18+C19+C20</f>
        <v>16079400</v>
      </c>
      <c r="D15" s="117">
        <f>+D16+D17+D18+D19+D20</f>
        <v>18309900</v>
      </c>
      <c r="E15" s="39">
        <f>+E16+E17+E18+E19+E20</f>
        <v>19796458</v>
      </c>
    </row>
    <row r="16" spans="1:5" s="356" customFormat="1" ht="12" customHeight="1">
      <c r="A16" s="355" t="s">
        <v>130</v>
      </c>
      <c r="B16" s="42" t="s">
        <v>131</v>
      </c>
      <c r="C16" s="52"/>
      <c r="D16" s="149"/>
      <c r="E16" s="53"/>
    </row>
    <row r="17" spans="1:5" s="356" customFormat="1" ht="12" customHeight="1">
      <c r="A17" s="357" t="s">
        <v>132</v>
      </c>
      <c r="B17" s="46" t="s">
        <v>133</v>
      </c>
      <c r="C17" s="54"/>
      <c r="D17" s="118"/>
      <c r="E17" s="50"/>
    </row>
    <row r="18" spans="1:5" s="356" customFormat="1" ht="12" customHeight="1">
      <c r="A18" s="357" t="s">
        <v>134</v>
      </c>
      <c r="B18" s="46" t="s">
        <v>135</v>
      </c>
      <c r="C18" s="54"/>
      <c r="D18" s="118"/>
      <c r="E18" s="50"/>
    </row>
    <row r="19" spans="1:5" s="356" customFormat="1" ht="12" customHeight="1">
      <c r="A19" s="357" t="s">
        <v>136</v>
      </c>
      <c r="B19" s="46" t="s">
        <v>137</v>
      </c>
      <c r="C19" s="54"/>
      <c r="D19" s="118"/>
      <c r="E19" s="50"/>
    </row>
    <row r="20" spans="1:5" s="356" customFormat="1" ht="12" customHeight="1">
      <c r="A20" s="357" t="s">
        <v>138</v>
      </c>
      <c r="B20" s="46" t="s">
        <v>139</v>
      </c>
      <c r="C20" s="44">
        <v>16079400</v>
      </c>
      <c r="D20" s="44">
        <v>18309900</v>
      </c>
      <c r="E20" s="44">
        <v>19796458</v>
      </c>
    </row>
    <row r="21" spans="1:5" s="358" customFormat="1" ht="12" customHeight="1">
      <c r="A21" s="359" t="s">
        <v>140</v>
      </c>
      <c r="B21" s="58" t="s">
        <v>141</v>
      </c>
      <c r="C21" s="56"/>
      <c r="D21" s="147"/>
      <c r="E21" s="57"/>
    </row>
    <row r="22" spans="1:5" s="358" customFormat="1" ht="12" customHeight="1">
      <c r="A22" s="88" t="s">
        <v>142</v>
      </c>
      <c r="B22" s="37" t="s">
        <v>143</v>
      </c>
      <c r="C22" s="38">
        <f>+C23+C24+C25+C26+C27</f>
        <v>143309282</v>
      </c>
      <c r="D22" s="117">
        <f>+D23+D24+D25+D26+D27</f>
        <v>56669456</v>
      </c>
      <c r="E22" s="39">
        <f>+E23+E24+E25+E26+E27</f>
        <v>36327320</v>
      </c>
    </row>
    <row r="23" spans="1:5" s="358" customFormat="1" ht="12" customHeight="1">
      <c r="A23" s="355" t="s">
        <v>144</v>
      </c>
      <c r="B23" s="42" t="s">
        <v>145</v>
      </c>
      <c r="C23" s="43">
        <v>143309282</v>
      </c>
      <c r="D23" s="43">
        <v>56669456</v>
      </c>
      <c r="E23" s="43">
        <v>36327320</v>
      </c>
    </row>
    <row r="24" spans="1:5" s="356" customFormat="1" ht="12" customHeight="1">
      <c r="A24" s="357" t="s">
        <v>146</v>
      </c>
      <c r="B24" s="46" t="s">
        <v>147</v>
      </c>
      <c r="C24" s="54"/>
      <c r="D24" s="118"/>
      <c r="E24" s="50"/>
    </row>
    <row r="25" spans="1:5" s="358" customFormat="1" ht="12" customHeight="1">
      <c r="A25" s="357" t="s">
        <v>148</v>
      </c>
      <c r="B25" s="46" t="s">
        <v>149</v>
      </c>
      <c r="C25" s="54"/>
      <c r="D25" s="118"/>
      <c r="E25" s="50"/>
    </row>
    <row r="26" spans="1:5" s="358" customFormat="1" ht="12" customHeight="1">
      <c r="A26" s="357" t="s">
        <v>150</v>
      </c>
      <c r="B26" s="46" t="s">
        <v>151</v>
      </c>
      <c r="C26" s="54"/>
      <c r="D26" s="118"/>
      <c r="E26" s="50"/>
    </row>
    <row r="27" spans="1:5" s="358" customFormat="1" ht="12" customHeight="1">
      <c r="A27" s="357" t="s">
        <v>152</v>
      </c>
      <c r="B27" s="46" t="s">
        <v>153</v>
      </c>
      <c r="C27" s="54"/>
      <c r="D27" s="118"/>
      <c r="E27" s="50"/>
    </row>
    <row r="28" spans="1:5" s="358" customFormat="1" ht="12" customHeight="1">
      <c r="A28" s="359" t="s">
        <v>154</v>
      </c>
      <c r="B28" s="58" t="s">
        <v>155</v>
      </c>
      <c r="C28" s="56"/>
      <c r="D28" s="147"/>
      <c r="E28" s="57"/>
    </row>
    <row r="29" spans="1:5" s="358" customFormat="1" ht="12" customHeight="1">
      <c r="A29" s="88" t="s">
        <v>156</v>
      </c>
      <c r="B29" s="37" t="s">
        <v>157</v>
      </c>
      <c r="C29" s="59">
        <f>SUM(C30:C36)</f>
        <v>196229000</v>
      </c>
      <c r="D29" s="59">
        <f>SUM(D30:D36)</f>
        <v>196229000</v>
      </c>
      <c r="E29" s="60">
        <f>SUM(E30:E36)</f>
        <v>207402966</v>
      </c>
    </row>
    <row r="30" spans="1:5" s="358" customFormat="1" ht="12" customHeight="1">
      <c r="A30" s="355" t="s">
        <v>158</v>
      </c>
      <c r="B30" s="42" t="s">
        <v>159</v>
      </c>
      <c r="C30" s="360">
        <v>141679000</v>
      </c>
      <c r="D30" s="360">
        <v>141679000</v>
      </c>
      <c r="E30" s="43">
        <v>139222737</v>
      </c>
    </row>
    <row r="31" spans="1:5" s="358" customFormat="1" ht="12" customHeight="1">
      <c r="A31" s="357" t="s">
        <v>160</v>
      </c>
      <c r="B31" s="46" t="s">
        <v>161</v>
      </c>
      <c r="C31" s="44">
        <v>20000000</v>
      </c>
      <c r="D31" s="44">
        <v>20000000</v>
      </c>
      <c r="E31" s="44">
        <v>19388110</v>
      </c>
    </row>
    <row r="32" spans="1:5" s="358" customFormat="1" ht="12" customHeight="1">
      <c r="A32" s="357" t="s">
        <v>162</v>
      </c>
      <c r="B32" s="46" t="s">
        <v>163</v>
      </c>
      <c r="C32" s="44">
        <v>30000000</v>
      </c>
      <c r="D32" s="44">
        <v>30000000</v>
      </c>
      <c r="E32" s="44">
        <v>41918668</v>
      </c>
    </row>
    <row r="33" spans="1:5" s="358" customFormat="1" ht="12" customHeight="1">
      <c r="A33" s="357" t="s">
        <v>164</v>
      </c>
      <c r="B33" s="46" t="s">
        <v>165</v>
      </c>
      <c r="C33" s="44"/>
      <c r="D33" s="44"/>
      <c r="E33" s="44"/>
    </row>
    <row r="34" spans="1:5" s="358" customFormat="1" ht="12" customHeight="1">
      <c r="A34" s="357" t="s">
        <v>166</v>
      </c>
      <c r="B34" s="46" t="s">
        <v>167</v>
      </c>
      <c r="C34" s="44">
        <v>3900000</v>
      </c>
      <c r="D34" s="44">
        <v>3900000</v>
      </c>
      <c r="E34" s="44">
        <v>5097370</v>
      </c>
    </row>
    <row r="35" spans="1:5" s="358" customFormat="1" ht="12" customHeight="1">
      <c r="A35" s="357" t="s">
        <v>168</v>
      </c>
      <c r="B35" s="46" t="s">
        <v>169</v>
      </c>
      <c r="C35" s="44"/>
      <c r="D35" s="44"/>
      <c r="E35" s="44"/>
    </row>
    <row r="36" spans="1:5" s="358" customFormat="1" ht="12" customHeight="1">
      <c r="A36" s="359" t="s">
        <v>170</v>
      </c>
      <c r="B36" s="61" t="s">
        <v>171</v>
      </c>
      <c r="C36" s="55">
        <v>650000</v>
      </c>
      <c r="D36" s="55">
        <v>650000</v>
      </c>
      <c r="E36" s="55">
        <v>1776081</v>
      </c>
    </row>
    <row r="37" spans="1:5" s="358" customFormat="1" ht="12" customHeight="1">
      <c r="A37" s="88" t="s">
        <v>172</v>
      </c>
      <c r="B37" s="37" t="s">
        <v>173</v>
      </c>
      <c r="C37" s="38">
        <f>SUM(C38:C48)</f>
        <v>17555072</v>
      </c>
      <c r="D37" s="117">
        <f>SUM(D38:D48)</f>
        <v>22650152</v>
      </c>
      <c r="E37" s="39">
        <f>SUM(E38:E48)</f>
        <v>21543269</v>
      </c>
    </row>
    <row r="38" spans="1:5" s="358" customFormat="1" ht="12" customHeight="1">
      <c r="A38" s="355" t="s">
        <v>174</v>
      </c>
      <c r="B38" s="42" t="s">
        <v>175</v>
      </c>
      <c r="C38" s="43"/>
      <c r="D38" s="43"/>
      <c r="E38" s="53"/>
    </row>
    <row r="39" spans="1:5" s="358" customFormat="1" ht="12" customHeight="1">
      <c r="A39" s="357" t="s">
        <v>176</v>
      </c>
      <c r="B39" s="46" t="s">
        <v>177</v>
      </c>
      <c r="C39" s="44">
        <v>3620680</v>
      </c>
      <c r="D39" s="44">
        <v>4250601</v>
      </c>
      <c r="E39" s="44">
        <v>2593680</v>
      </c>
    </row>
    <row r="40" spans="1:5" s="358" customFormat="1" ht="12" customHeight="1">
      <c r="A40" s="357" t="s">
        <v>178</v>
      </c>
      <c r="B40" s="46" t="s">
        <v>179</v>
      </c>
      <c r="C40" s="44">
        <v>9160000</v>
      </c>
      <c r="D40" s="44">
        <v>9160000</v>
      </c>
      <c r="E40" s="44">
        <v>8815340</v>
      </c>
    </row>
    <row r="41" spans="1:5" s="358" customFormat="1" ht="12" customHeight="1">
      <c r="A41" s="357" t="s">
        <v>180</v>
      </c>
      <c r="B41" s="46" t="s">
        <v>181</v>
      </c>
      <c r="C41" s="44"/>
      <c r="D41" s="44"/>
      <c r="E41" s="44">
        <v>1656921</v>
      </c>
    </row>
    <row r="42" spans="1:5" s="358" customFormat="1" ht="12" customHeight="1">
      <c r="A42" s="357" t="s">
        <v>182</v>
      </c>
      <c r="B42" s="46" t="s">
        <v>183</v>
      </c>
      <c r="C42" s="44"/>
      <c r="D42" s="44"/>
      <c r="E42" s="44"/>
    </row>
    <row r="43" spans="1:5" s="358" customFormat="1" ht="12" customHeight="1">
      <c r="A43" s="357" t="s">
        <v>184</v>
      </c>
      <c r="B43" s="46" t="s">
        <v>185</v>
      </c>
      <c r="C43" s="44">
        <v>4689392</v>
      </c>
      <c r="D43" s="44">
        <v>8029151</v>
      </c>
      <c r="E43" s="44">
        <v>7946375</v>
      </c>
    </row>
    <row r="44" spans="1:5" s="358" customFormat="1" ht="12" customHeight="1">
      <c r="A44" s="357" t="s">
        <v>186</v>
      </c>
      <c r="B44" s="46" t="s">
        <v>187</v>
      </c>
      <c r="C44" s="44"/>
      <c r="D44" s="44"/>
      <c r="E44" s="44"/>
    </row>
    <row r="45" spans="1:5" s="358" customFormat="1" ht="12" customHeight="1">
      <c r="A45" s="357" t="s">
        <v>188</v>
      </c>
      <c r="B45" s="46" t="s">
        <v>189</v>
      </c>
      <c r="C45" s="44">
        <v>85000</v>
      </c>
      <c r="D45" s="44">
        <v>85000</v>
      </c>
      <c r="E45" s="44">
        <v>225</v>
      </c>
    </row>
    <row r="46" spans="1:5" s="358" customFormat="1" ht="12" customHeight="1">
      <c r="A46" s="357" t="s">
        <v>190</v>
      </c>
      <c r="B46" s="46" t="s">
        <v>191</v>
      </c>
      <c r="C46" s="62"/>
      <c r="D46" s="62"/>
      <c r="E46" s="44">
        <v>481</v>
      </c>
    </row>
    <row r="47" spans="1:5" s="358" customFormat="1" ht="12" customHeight="1">
      <c r="A47" s="359" t="s">
        <v>192</v>
      </c>
      <c r="B47" s="58" t="s">
        <v>193</v>
      </c>
      <c r="C47" s="63"/>
      <c r="D47" s="63"/>
      <c r="E47" s="44"/>
    </row>
    <row r="48" spans="1:5" s="358" customFormat="1" ht="12" customHeight="1">
      <c r="A48" s="359" t="s">
        <v>194</v>
      </c>
      <c r="B48" s="58" t="s">
        <v>195</v>
      </c>
      <c r="C48" s="67"/>
      <c r="D48" s="361">
        <v>1125400</v>
      </c>
      <c r="E48" s="143">
        <v>530247</v>
      </c>
    </row>
    <row r="49" spans="1:5" s="358" customFormat="1" ht="12" customHeight="1">
      <c r="A49" s="88" t="s">
        <v>196</v>
      </c>
      <c r="B49" s="37" t="s">
        <v>197</v>
      </c>
      <c r="C49" s="38">
        <f>SUM(C50:C54)</f>
        <v>4588520</v>
      </c>
      <c r="D49" s="117">
        <f>SUM(D50:D54)</f>
        <v>16328080</v>
      </c>
      <c r="E49" s="39">
        <f>SUM(E50:E54)</f>
        <v>16406820</v>
      </c>
    </row>
    <row r="50" spans="1:5" s="358" customFormat="1" ht="12" customHeight="1">
      <c r="A50" s="355" t="s">
        <v>198</v>
      </c>
      <c r="B50" s="42" t="s">
        <v>199</v>
      </c>
      <c r="C50" s="65"/>
      <c r="D50" s="362"/>
      <c r="E50" s="144"/>
    </row>
    <row r="51" spans="1:5" s="358" customFormat="1" ht="12" customHeight="1">
      <c r="A51" s="357" t="s">
        <v>200</v>
      </c>
      <c r="B51" s="46" t="s">
        <v>201</v>
      </c>
      <c r="C51" s="62">
        <v>4588520</v>
      </c>
      <c r="D51" s="62">
        <v>16328080</v>
      </c>
      <c r="E51" s="62">
        <v>16328080</v>
      </c>
    </row>
    <row r="52" spans="1:5" s="358" customFormat="1" ht="12" customHeight="1">
      <c r="A52" s="357" t="s">
        <v>202</v>
      </c>
      <c r="B52" s="46" t="s">
        <v>203</v>
      </c>
      <c r="C52" s="66"/>
      <c r="D52" s="363"/>
      <c r="E52" s="68">
        <v>78740</v>
      </c>
    </row>
    <row r="53" spans="1:5" s="358" customFormat="1" ht="12" customHeight="1">
      <c r="A53" s="357" t="s">
        <v>204</v>
      </c>
      <c r="B53" s="46" t="s">
        <v>205</v>
      </c>
      <c r="C53" s="66"/>
      <c r="D53" s="363"/>
      <c r="E53" s="68"/>
    </row>
    <row r="54" spans="1:5" s="358" customFormat="1" ht="12" customHeight="1">
      <c r="A54" s="359" t="s">
        <v>206</v>
      </c>
      <c r="B54" s="58" t="s">
        <v>207</v>
      </c>
      <c r="C54" s="67"/>
      <c r="D54" s="364"/>
      <c r="E54" s="143"/>
    </row>
    <row r="55" spans="1:5" s="358" customFormat="1" ht="12" customHeight="1">
      <c r="A55" s="88" t="s">
        <v>208</v>
      </c>
      <c r="B55" s="37" t="s">
        <v>209</v>
      </c>
      <c r="C55" s="38">
        <f>SUM(C56:C58)</f>
        <v>1500000</v>
      </c>
      <c r="D55" s="117">
        <f>SUM(D56:D58)</f>
        <v>1500000</v>
      </c>
      <c r="E55" s="39">
        <f>SUM(E56:E58)</f>
        <v>2125400</v>
      </c>
    </row>
    <row r="56" spans="1:5" s="358" customFormat="1" ht="12" customHeight="1">
      <c r="A56" s="355" t="s">
        <v>210</v>
      </c>
      <c r="B56" s="42" t="s">
        <v>211</v>
      </c>
      <c r="C56" s="52"/>
      <c r="D56" s="149"/>
      <c r="E56" s="53"/>
    </row>
    <row r="57" spans="1:5" s="358" customFormat="1" ht="12" customHeight="1">
      <c r="A57" s="357" t="s">
        <v>212</v>
      </c>
      <c r="B57" s="46" t="s">
        <v>213</v>
      </c>
      <c r="C57" s="54"/>
      <c r="D57" s="118"/>
      <c r="E57" s="50"/>
    </row>
    <row r="58" spans="1:5" s="358" customFormat="1" ht="12" customHeight="1">
      <c r="A58" s="357" t="s">
        <v>214</v>
      </c>
      <c r="B58" s="46" t="s">
        <v>215</v>
      </c>
      <c r="C58" s="44">
        <v>1500000</v>
      </c>
      <c r="D58" s="44">
        <v>1500000</v>
      </c>
      <c r="E58" s="50">
        <v>2125400</v>
      </c>
    </row>
    <row r="59" spans="1:5" s="358" customFormat="1" ht="12" customHeight="1">
      <c r="A59" s="359" t="s">
        <v>216</v>
      </c>
      <c r="B59" s="58" t="s">
        <v>217</v>
      </c>
      <c r="C59" s="56"/>
      <c r="D59" s="147"/>
      <c r="E59" s="57"/>
    </row>
    <row r="60" spans="1:5" s="358" customFormat="1" ht="12" customHeight="1">
      <c r="A60" s="88" t="s">
        <v>218</v>
      </c>
      <c r="B60" s="51" t="s">
        <v>219</v>
      </c>
      <c r="C60" s="38">
        <f>SUM(C61:C63)</f>
        <v>6064053</v>
      </c>
      <c r="D60" s="117">
        <f>SUM(D61:D63)</f>
        <v>8302253</v>
      </c>
      <c r="E60" s="39">
        <f>SUM(E61:E63)</f>
        <v>9212473</v>
      </c>
    </row>
    <row r="61" spans="1:5" s="358" customFormat="1" ht="12" customHeight="1">
      <c r="A61" s="355" t="s">
        <v>220</v>
      </c>
      <c r="B61" s="42" t="s">
        <v>221</v>
      </c>
      <c r="C61" s="66"/>
      <c r="D61" s="363"/>
      <c r="E61" s="68"/>
    </row>
    <row r="62" spans="1:5" s="358" customFormat="1" ht="12" customHeight="1">
      <c r="A62" s="357" t="s">
        <v>222</v>
      </c>
      <c r="B62" s="46" t="s">
        <v>223</v>
      </c>
      <c r="C62" s="62">
        <v>6064053</v>
      </c>
      <c r="D62" s="62">
        <v>6064053</v>
      </c>
      <c r="E62" s="68">
        <v>1619356</v>
      </c>
    </row>
    <row r="63" spans="1:5" s="358" customFormat="1" ht="12" customHeight="1">
      <c r="A63" s="357" t="s">
        <v>224</v>
      </c>
      <c r="B63" s="46" t="s">
        <v>225</v>
      </c>
      <c r="C63" s="66"/>
      <c r="D63" s="62">
        <v>2238200</v>
      </c>
      <c r="E63" s="68">
        <v>7593117</v>
      </c>
    </row>
    <row r="64" spans="1:5" s="358" customFormat="1" ht="12" customHeight="1">
      <c r="A64" s="359" t="s">
        <v>226</v>
      </c>
      <c r="B64" s="58" t="s">
        <v>227</v>
      </c>
      <c r="C64" s="66"/>
      <c r="D64" s="363"/>
      <c r="E64" s="68"/>
    </row>
    <row r="65" spans="1:5" s="358" customFormat="1" ht="12" customHeight="1">
      <c r="A65" s="88" t="s">
        <v>365</v>
      </c>
      <c r="B65" s="37" t="s">
        <v>229</v>
      </c>
      <c r="C65" s="59">
        <f>+C8+C15+C22+C29+C37+C49+C55+C60</f>
        <v>498467794</v>
      </c>
      <c r="D65" s="123">
        <f>+D8+D15+D22+D29+D37+D49+D55+D60</f>
        <v>448280596</v>
      </c>
      <c r="E65" s="60">
        <f>+E8+E15+E22+E29+E37+E49+E55+E60</f>
        <v>441106461</v>
      </c>
    </row>
    <row r="66" spans="1:5" s="358" customFormat="1" ht="12" customHeight="1">
      <c r="A66" s="365" t="s">
        <v>574</v>
      </c>
      <c r="B66" s="51" t="s">
        <v>231</v>
      </c>
      <c r="C66" s="38">
        <f>SUM(C67:C69)</f>
        <v>0</v>
      </c>
      <c r="D66" s="117">
        <f>SUM(D67:D69)</f>
        <v>0</v>
      </c>
      <c r="E66" s="39">
        <f>SUM(E67:E69)</f>
        <v>0</v>
      </c>
    </row>
    <row r="67" spans="1:5" s="358" customFormat="1" ht="12" customHeight="1">
      <c r="A67" s="355" t="s">
        <v>232</v>
      </c>
      <c r="B67" s="42" t="s">
        <v>233</v>
      </c>
      <c r="C67" s="66"/>
      <c r="D67" s="363"/>
      <c r="E67" s="68"/>
    </row>
    <row r="68" spans="1:5" s="358" customFormat="1" ht="12" customHeight="1">
      <c r="A68" s="357" t="s">
        <v>234</v>
      </c>
      <c r="B68" s="46" t="s">
        <v>235</v>
      </c>
      <c r="C68" s="66"/>
      <c r="D68" s="363"/>
      <c r="E68" s="68"/>
    </row>
    <row r="69" spans="1:5" s="358" customFormat="1" ht="12" customHeight="1">
      <c r="A69" s="366" t="s">
        <v>236</v>
      </c>
      <c r="B69" s="367" t="s">
        <v>237</v>
      </c>
      <c r="C69" s="368"/>
      <c r="D69" s="369"/>
      <c r="E69" s="370"/>
    </row>
    <row r="70" spans="1:5" s="358" customFormat="1" ht="12" customHeight="1">
      <c r="A70" s="365" t="s">
        <v>238</v>
      </c>
      <c r="B70" s="51" t="s">
        <v>239</v>
      </c>
      <c r="C70" s="38">
        <f>SUM(C71:C74)</f>
        <v>0</v>
      </c>
      <c r="D70" s="38">
        <f>SUM(D71:D74)</f>
        <v>0</v>
      </c>
      <c r="E70" s="39">
        <f>SUM(E71:E74)</f>
        <v>0</v>
      </c>
    </row>
    <row r="71" spans="1:5" s="358" customFormat="1" ht="12" customHeight="1">
      <c r="A71" s="355" t="s">
        <v>240</v>
      </c>
      <c r="B71" s="72" t="s">
        <v>241</v>
      </c>
      <c r="C71" s="66"/>
      <c r="D71" s="66"/>
      <c r="E71" s="68"/>
    </row>
    <row r="72" spans="1:5" s="358" customFormat="1" ht="12" customHeight="1">
      <c r="A72" s="357" t="s">
        <v>242</v>
      </c>
      <c r="B72" s="72" t="s">
        <v>243</v>
      </c>
      <c r="C72" s="66"/>
      <c r="D72" s="66"/>
      <c r="E72" s="68"/>
    </row>
    <row r="73" spans="1:5" s="358" customFormat="1" ht="12" customHeight="1">
      <c r="A73" s="357" t="s">
        <v>244</v>
      </c>
      <c r="B73" s="72" t="s">
        <v>245</v>
      </c>
      <c r="C73" s="66"/>
      <c r="D73" s="66"/>
      <c r="E73" s="68"/>
    </row>
    <row r="74" spans="1:5" s="358" customFormat="1" ht="12" customHeight="1">
      <c r="A74" s="359" t="s">
        <v>246</v>
      </c>
      <c r="B74" s="73" t="s">
        <v>247</v>
      </c>
      <c r="C74" s="66"/>
      <c r="D74" s="66"/>
      <c r="E74" s="68"/>
    </row>
    <row r="75" spans="1:5" s="358" customFormat="1" ht="12" customHeight="1">
      <c r="A75" s="365" t="s">
        <v>248</v>
      </c>
      <c r="B75" s="51" t="s">
        <v>249</v>
      </c>
      <c r="C75" s="38">
        <f>SUM(C76:C77)</f>
        <v>171981058</v>
      </c>
      <c r="D75" s="38">
        <f>SUM(D76:D77)</f>
        <v>171981058</v>
      </c>
      <c r="E75" s="39">
        <f>SUM(E76:E77)</f>
        <v>171981058</v>
      </c>
    </row>
    <row r="76" spans="1:5" s="358" customFormat="1" ht="12" customHeight="1">
      <c r="A76" s="355" t="s">
        <v>250</v>
      </c>
      <c r="B76" s="42" t="s">
        <v>251</v>
      </c>
      <c r="C76" s="62">
        <v>171981058</v>
      </c>
      <c r="D76" s="62">
        <v>171981058</v>
      </c>
      <c r="E76" s="62">
        <v>171981058</v>
      </c>
    </row>
    <row r="77" spans="1:5" s="358" customFormat="1" ht="12" customHeight="1">
      <c r="A77" s="359" t="s">
        <v>252</v>
      </c>
      <c r="B77" s="58" t="s">
        <v>253</v>
      </c>
      <c r="C77" s="66"/>
      <c r="D77" s="66"/>
      <c r="E77" s="68"/>
    </row>
    <row r="78" spans="1:5" s="356" customFormat="1" ht="12" customHeight="1">
      <c r="A78" s="365" t="s">
        <v>254</v>
      </c>
      <c r="B78" s="51" t="s">
        <v>255</v>
      </c>
      <c r="C78" s="38">
        <f>SUM(C79:C81)</f>
        <v>0</v>
      </c>
      <c r="D78" s="38">
        <f>SUM(D79:D81)</f>
        <v>4112627</v>
      </c>
      <c r="E78" s="39">
        <f>SUM(E79:E81)</f>
        <v>4112627</v>
      </c>
    </row>
    <row r="79" spans="1:5" s="358" customFormat="1" ht="12" customHeight="1">
      <c r="A79" s="355" t="s">
        <v>256</v>
      </c>
      <c r="B79" s="42" t="s">
        <v>257</v>
      </c>
      <c r="C79" s="66"/>
      <c r="D79" s="62">
        <v>4112627</v>
      </c>
      <c r="E79" s="62">
        <v>4112627</v>
      </c>
    </row>
    <row r="80" spans="1:5" s="358" customFormat="1" ht="12" customHeight="1">
      <c r="A80" s="357" t="s">
        <v>258</v>
      </c>
      <c r="B80" s="46" t="s">
        <v>259</v>
      </c>
      <c r="C80" s="66"/>
      <c r="D80" s="66"/>
      <c r="E80" s="68"/>
    </row>
    <row r="81" spans="1:5" s="358" customFormat="1" ht="12" customHeight="1">
      <c r="A81" s="359" t="s">
        <v>260</v>
      </c>
      <c r="B81" s="58" t="s">
        <v>261</v>
      </c>
      <c r="C81" s="66"/>
      <c r="D81" s="66"/>
      <c r="E81" s="68"/>
    </row>
    <row r="82" spans="1:5" s="358" customFormat="1" ht="12" customHeight="1">
      <c r="A82" s="365" t="s">
        <v>262</v>
      </c>
      <c r="B82" s="51" t="s">
        <v>263</v>
      </c>
      <c r="C82" s="38">
        <f>SUM(C83:C86)</f>
        <v>0</v>
      </c>
      <c r="D82" s="38">
        <f>SUM(D83:D86)</f>
        <v>0</v>
      </c>
      <c r="E82" s="39">
        <f>SUM(E83:E86)</f>
        <v>0</v>
      </c>
    </row>
    <row r="83" spans="1:5" s="358" customFormat="1" ht="12" customHeight="1">
      <c r="A83" s="371" t="s">
        <v>264</v>
      </c>
      <c r="B83" s="42" t="s">
        <v>265</v>
      </c>
      <c r="C83" s="66"/>
      <c r="D83" s="66"/>
      <c r="E83" s="68"/>
    </row>
    <row r="84" spans="1:5" s="358" customFormat="1" ht="12" customHeight="1">
      <c r="A84" s="372" t="s">
        <v>266</v>
      </c>
      <c r="B84" s="46" t="s">
        <v>267</v>
      </c>
      <c r="C84" s="66"/>
      <c r="D84" s="66"/>
      <c r="E84" s="68"/>
    </row>
    <row r="85" spans="1:5" s="358" customFormat="1" ht="12" customHeight="1">
      <c r="A85" s="372" t="s">
        <v>268</v>
      </c>
      <c r="B85" s="46" t="s">
        <v>269</v>
      </c>
      <c r="C85" s="66"/>
      <c r="D85" s="66"/>
      <c r="E85" s="68"/>
    </row>
    <row r="86" spans="1:5" s="356" customFormat="1" ht="12" customHeight="1">
      <c r="A86" s="373" t="s">
        <v>270</v>
      </c>
      <c r="B86" s="58" t="s">
        <v>271</v>
      </c>
      <c r="C86" s="66"/>
      <c r="D86" s="66"/>
      <c r="E86" s="68"/>
    </row>
    <row r="87" spans="1:5" s="356" customFormat="1" ht="12" customHeight="1">
      <c r="A87" s="365" t="s">
        <v>272</v>
      </c>
      <c r="B87" s="51" t="s">
        <v>273</v>
      </c>
      <c r="C87" s="78"/>
      <c r="D87" s="78"/>
      <c r="E87" s="79"/>
    </row>
    <row r="88" spans="1:5" s="356" customFormat="1" ht="12" customHeight="1">
      <c r="A88" s="365" t="s">
        <v>575</v>
      </c>
      <c r="B88" s="51" t="s">
        <v>275</v>
      </c>
      <c r="C88" s="78"/>
      <c r="D88" s="78"/>
      <c r="E88" s="79"/>
    </row>
    <row r="89" spans="1:5" s="356" customFormat="1" ht="12" customHeight="1">
      <c r="A89" s="365" t="s">
        <v>576</v>
      </c>
      <c r="B89" s="80" t="s">
        <v>277</v>
      </c>
      <c r="C89" s="59">
        <f>+C66+C70+C75+C78+C82+C88+C87</f>
        <v>171981058</v>
      </c>
      <c r="D89" s="59">
        <f>+D66+D70+D75+D78+D82+D88+D87</f>
        <v>176093685</v>
      </c>
      <c r="E89" s="60">
        <f>+E66+E70+E75+E78+E82+E88+E87</f>
        <v>176093685</v>
      </c>
    </row>
    <row r="90" spans="1:5" s="356" customFormat="1" ht="12" customHeight="1">
      <c r="A90" s="374" t="s">
        <v>577</v>
      </c>
      <c r="B90" s="82" t="s">
        <v>578</v>
      </c>
      <c r="C90" s="59">
        <f>+C65+C89</f>
        <v>670448852</v>
      </c>
      <c r="D90" s="59">
        <f>+D65+D89</f>
        <v>624374281</v>
      </c>
      <c r="E90" s="60">
        <f>+E65+E89</f>
        <v>617200146</v>
      </c>
    </row>
    <row r="91" spans="1:3" s="358" customFormat="1" ht="15" customHeight="1">
      <c r="A91" s="375"/>
      <c r="B91" s="376"/>
      <c r="C91" s="377"/>
    </row>
    <row r="92" spans="1:5" s="354" customFormat="1" ht="16.5" customHeight="1">
      <c r="A92" s="849" t="s">
        <v>381</v>
      </c>
      <c r="B92" s="849"/>
      <c r="C92" s="849"/>
      <c r="D92" s="849"/>
      <c r="E92" s="849"/>
    </row>
    <row r="93" spans="1:5" s="378" customFormat="1" ht="12" customHeight="1">
      <c r="A93" s="32" t="s">
        <v>114</v>
      </c>
      <c r="B93" s="92" t="s">
        <v>579</v>
      </c>
      <c r="C93" s="93">
        <f>+C94+C95+C96+C97+C98+C111</f>
        <v>190914632</v>
      </c>
      <c r="D93" s="93">
        <f>+D94+D95+D96+D97+D98+D111</f>
        <v>195782661</v>
      </c>
      <c r="E93" s="94">
        <f>+E94+E95+E96+E97+E98+E111</f>
        <v>117881805</v>
      </c>
    </row>
    <row r="94" spans="1:5" ht="12" customHeight="1">
      <c r="A94" s="379" t="s">
        <v>116</v>
      </c>
      <c r="B94" s="96" t="s">
        <v>284</v>
      </c>
      <c r="C94" s="97">
        <v>9310380</v>
      </c>
      <c r="D94" s="97">
        <v>12490305</v>
      </c>
      <c r="E94" s="55">
        <v>12180696</v>
      </c>
    </row>
    <row r="95" spans="1:5" ht="12" customHeight="1">
      <c r="A95" s="357" t="s">
        <v>118</v>
      </c>
      <c r="B95" s="99" t="s">
        <v>285</v>
      </c>
      <c r="C95" s="44">
        <v>1723000</v>
      </c>
      <c r="D95" s="44">
        <v>2247978</v>
      </c>
      <c r="E95" s="55">
        <v>2051133</v>
      </c>
    </row>
    <row r="96" spans="1:5" ht="12" customHeight="1">
      <c r="A96" s="357" t="s">
        <v>120</v>
      </c>
      <c r="B96" s="99" t="s">
        <v>286</v>
      </c>
      <c r="C96" s="55">
        <v>21608892</v>
      </c>
      <c r="D96" s="55">
        <v>39484298</v>
      </c>
      <c r="E96" s="55">
        <v>33323037</v>
      </c>
    </row>
    <row r="97" spans="1:5" ht="12" customHeight="1">
      <c r="A97" s="357" t="s">
        <v>122</v>
      </c>
      <c r="B97" s="100" t="s">
        <v>287</v>
      </c>
      <c r="C97" s="55">
        <v>10646000</v>
      </c>
      <c r="D97" s="55">
        <v>12089760</v>
      </c>
      <c r="E97" s="55">
        <v>8152744</v>
      </c>
    </row>
    <row r="98" spans="1:5" ht="12" customHeight="1">
      <c r="A98" s="357" t="s">
        <v>288</v>
      </c>
      <c r="B98" s="101" t="s">
        <v>289</v>
      </c>
      <c r="C98" s="55">
        <v>48453208</v>
      </c>
      <c r="D98" s="55">
        <v>63715310</v>
      </c>
      <c r="E98" s="55">
        <v>62174195</v>
      </c>
    </row>
    <row r="99" spans="1:5" ht="12" customHeight="1">
      <c r="A99" s="357" t="s">
        <v>126</v>
      </c>
      <c r="B99" s="99" t="s">
        <v>580</v>
      </c>
      <c r="C99" s="55">
        <v>1702797</v>
      </c>
      <c r="D99" s="55">
        <v>2842770</v>
      </c>
      <c r="E99" s="55">
        <v>2842770</v>
      </c>
    </row>
    <row r="100" spans="1:5" ht="12" customHeight="1">
      <c r="A100" s="357" t="s">
        <v>291</v>
      </c>
      <c r="B100" s="103" t="s">
        <v>292</v>
      </c>
      <c r="C100" s="55"/>
      <c r="D100" s="55"/>
      <c r="E100" s="55"/>
    </row>
    <row r="101" spans="1:5" ht="12" customHeight="1">
      <c r="A101" s="357" t="s">
        <v>293</v>
      </c>
      <c r="B101" s="103" t="s">
        <v>294</v>
      </c>
      <c r="C101" s="55"/>
      <c r="D101" s="55"/>
      <c r="E101" s="55"/>
    </row>
    <row r="102" spans="1:5" ht="12" customHeight="1">
      <c r="A102" s="357" t="s">
        <v>295</v>
      </c>
      <c r="B102" s="103" t="s">
        <v>296</v>
      </c>
      <c r="C102" s="55"/>
      <c r="D102" s="55"/>
      <c r="E102" s="55"/>
    </row>
    <row r="103" spans="1:5" ht="12" customHeight="1">
      <c r="A103" s="357" t="s">
        <v>297</v>
      </c>
      <c r="B103" s="104" t="s">
        <v>298</v>
      </c>
      <c r="C103" s="55"/>
      <c r="D103" s="55"/>
      <c r="E103" s="55"/>
    </row>
    <row r="104" spans="1:5" ht="12" customHeight="1">
      <c r="A104" s="357" t="s">
        <v>299</v>
      </c>
      <c r="B104" s="104" t="s">
        <v>300</v>
      </c>
      <c r="C104" s="55"/>
      <c r="D104" s="55"/>
      <c r="E104" s="55"/>
    </row>
    <row r="105" spans="1:5" ht="12" customHeight="1">
      <c r="A105" s="357" t="s">
        <v>301</v>
      </c>
      <c r="B105" s="103" t="s">
        <v>302</v>
      </c>
      <c r="C105" s="55">
        <v>34165411</v>
      </c>
      <c r="D105" s="55">
        <v>35011540</v>
      </c>
      <c r="E105" s="55">
        <v>34694425</v>
      </c>
    </row>
    <row r="106" spans="1:5" ht="12" customHeight="1">
      <c r="A106" s="357" t="s">
        <v>303</v>
      </c>
      <c r="B106" s="103" t="s">
        <v>304</v>
      </c>
      <c r="C106" s="55"/>
      <c r="D106" s="55"/>
      <c r="E106" s="55"/>
    </row>
    <row r="107" spans="1:5" ht="12" customHeight="1">
      <c r="A107" s="357" t="s">
        <v>305</v>
      </c>
      <c r="B107" s="104" t="s">
        <v>306</v>
      </c>
      <c r="C107" s="55"/>
      <c r="D107" s="55"/>
      <c r="E107" s="55"/>
    </row>
    <row r="108" spans="1:5" ht="12" customHeight="1">
      <c r="A108" s="380" t="s">
        <v>307</v>
      </c>
      <c r="B108" s="102" t="s">
        <v>308</v>
      </c>
      <c r="C108" s="55"/>
      <c r="D108" s="55"/>
      <c r="E108" s="55"/>
    </row>
    <row r="109" spans="1:5" ht="12" customHeight="1">
      <c r="A109" s="357" t="s">
        <v>309</v>
      </c>
      <c r="B109" s="102" t="s">
        <v>310</v>
      </c>
      <c r="C109" s="55"/>
      <c r="D109" s="55"/>
      <c r="E109" s="55"/>
    </row>
    <row r="110" spans="1:5" ht="12" customHeight="1">
      <c r="A110" s="357" t="s">
        <v>311</v>
      </c>
      <c r="B110" s="104" t="s">
        <v>312</v>
      </c>
      <c r="C110" s="44">
        <v>12585000</v>
      </c>
      <c r="D110" s="44">
        <v>25861000</v>
      </c>
      <c r="E110" s="55">
        <v>24637000</v>
      </c>
    </row>
    <row r="111" spans="1:5" ht="12" customHeight="1">
      <c r="A111" s="357" t="s">
        <v>313</v>
      </c>
      <c r="B111" s="100" t="s">
        <v>314</v>
      </c>
      <c r="C111" s="44">
        <v>99173152</v>
      </c>
      <c r="D111" s="44">
        <v>65755010</v>
      </c>
      <c r="E111" s="55"/>
    </row>
    <row r="112" spans="1:5" ht="12" customHeight="1">
      <c r="A112" s="359" t="s">
        <v>315</v>
      </c>
      <c r="B112" s="99" t="s">
        <v>581</v>
      </c>
      <c r="C112" s="55">
        <v>92872967</v>
      </c>
      <c r="D112" s="55">
        <v>59454825</v>
      </c>
      <c r="E112" s="55">
        <v>0</v>
      </c>
    </row>
    <row r="113" spans="1:5" ht="12" customHeight="1">
      <c r="A113" s="366" t="s">
        <v>317</v>
      </c>
      <c r="B113" s="381" t="s">
        <v>582</v>
      </c>
      <c r="C113" s="108">
        <v>6300185</v>
      </c>
      <c r="D113" s="108">
        <v>6300185</v>
      </c>
      <c r="E113" s="55">
        <v>6300185</v>
      </c>
    </row>
    <row r="114" spans="1:5" ht="12" customHeight="1">
      <c r="A114" s="88" t="s">
        <v>128</v>
      </c>
      <c r="B114" s="141" t="s">
        <v>319</v>
      </c>
      <c r="C114" s="38">
        <f>+C115+C117+C119</f>
        <v>176418488</v>
      </c>
      <c r="D114" s="117">
        <f>+D115+D117+D119</f>
        <v>104946874</v>
      </c>
      <c r="E114" s="39">
        <f>+E115+E117+E119</f>
        <v>92611670</v>
      </c>
    </row>
    <row r="115" spans="1:5" ht="12" customHeight="1">
      <c r="A115" s="355" t="s">
        <v>130</v>
      </c>
      <c r="B115" s="99" t="s">
        <v>320</v>
      </c>
      <c r="C115" s="43">
        <v>149523402</v>
      </c>
      <c r="D115" s="43">
        <v>57568547</v>
      </c>
      <c r="E115" s="44">
        <v>50629243</v>
      </c>
    </row>
    <row r="116" spans="1:5" ht="12" customHeight="1">
      <c r="A116" s="355" t="s">
        <v>132</v>
      </c>
      <c r="B116" s="114" t="s">
        <v>321</v>
      </c>
      <c r="C116" s="43">
        <v>143309282</v>
      </c>
      <c r="D116" s="43">
        <v>56669456</v>
      </c>
      <c r="E116" s="44">
        <v>44436177</v>
      </c>
    </row>
    <row r="117" spans="1:5" ht="12" customHeight="1">
      <c r="A117" s="355" t="s">
        <v>134</v>
      </c>
      <c r="B117" s="114" t="s">
        <v>322</v>
      </c>
      <c r="C117" s="44">
        <v>24895086</v>
      </c>
      <c r="D117" s="44">
        <v>45378327</v>
      </c>
      <c r="E117" s="44">
        <v>40396752</v>
      </c>
    </row>
    <row r="118" spans="1:5" ht="12" customHeight="1">
      <c r="A118" s="355" t="s">
        <v>136</v>
      </c>
      <c r="B118" s="114" t="s">
        <v>323</v>
      </c>
      <c r="C118" s="50"/>
      <c r="D118" s="50"/>
      <c r="E118" s="44"/>
    </row>
    <row r="119" spans="1:5" ht="12" customHeight="1">
      <c r="A119" s="355" t="s">
        <v>138</v>
      </c>
      <c r="B119" s="49" t="s">
        <v>324</v>
      </c>
      <c r="C119" s="50">
        <v>2000000</v>
      </c>
      <c r="D119" s="50">
        <v>2000000</v>
      </c>
      <c r="E119" s="44">
        <v>1585675</v>
      </c>
    </row>
    <row r="120" spans="1:5" ht="12" customHeight="1">
      <c r="A120" s="355" t="s">
        <v>140</v>
      </c>
      <c r="B120" s="47" t="s">
        <v>325</v>
      </c>
      <c r="C120" s="50"/>
      <c r="D120" s="50"/>
      <c r="E120" s="44"/>
    </row>
    <row r="121" spans="1:5" ht="12" customHeight="1">
      <c r="A121" s="355" t="s">
        <v>326</v>
      </c>
      <c r="B121" s="115" t="s">
        <v>327</v>
      </c>
      <c r="C121" s="50"/>
      <c r="D121" s="50"/>
      <c r="E121" s="44"/>
    </row>
    <row r="122" spans="1:5" ht="12" customHeight="1">
      <c r="A122" s="355" t="s">
        <v>328</v>
      </c>
      <c r="B122" s="104" t="s">
        <v>300</v>
      </c>
      <c r="C122" s="50"/>
      <c r="D122" s="50"/>
      <c r="E122" s="44"/>
    </row>
    <row r="123" spans="1:5" ht="12" customHeight="1">
      <c r="A123" s="355" t="s">
        <v>329</v>
      </c>
      <c r="B123" s="104" t="s">
        <v>330</v>
      </c>
      <c r="C123" s="50"/>
      <c r="D123" s="50"/>
      <c r="E123" s="44"/>
    </row>
    <row r="124" spans="1:5" ht="12" customHeight="1">
      <c r="A124" s="355" t="s">
        <v>331</v>
      </c>
      <c r="B124" s="104" t="s">
        <v>332</v>
      </c>
      <c r="C124" s="50"/>
      <c r="D124" s="50"/>
      <c r="E124" s="44"/>
    </row>
    <row r="125" spans="1:5" ht="12" customHeight="1">
      <c r="A125" s="355" t="s">
        <v>333</v>
      </c>
      <c r="B125" s="104" t="s">
        <v>306</v>
      </c>
      <c r="C125" s="50">
        <v>2000000</v>
      </c>
      <c r="D125" s="50">
        <v>2000000</v>
      </c>
      <c r="E125" s="44">
        <v>1585675</v>
      </c>
    </row>
    <row r="126" spans="1:5" ht="12" customHeight="1">
      <c r="A126" s="355" t="s">
        <v>334</v>
      </c>
      <c r="B126" s="104" t="s">
        <v>335</v>
      </c>
      <c r="C126" s="50"/>
      <c r="D126" s="50"/>
      <c r="E126" s="44"/>
    </row>
    <row r="127" spans="1:5" ht="12" customHeight="1">
      <c r="A127" s="380" t="s">
        <v>336</v>
      </c>
      <c r="B127" s="104" t="s">
        <v>337</v>
      </c>
      <c r="C127" s="57"/>
      <c r="D127" s="147"/>
      <c r="E127" s="44"/>
    </row>
    <row r="128" spans="1:5" ht="12" customHeight="1">
      <c r="A128" s="88" t="s">
        <v>142</v>
      </c>
      <c r="B128" s="116" t="s">
        <v>338</v>
      </c>
      <c r="C128" s="38">
        <f>+C93+C114</f>
        <v>367333120</v>
      </c>
      <c r="D128" s="117">
        <f>+D93+D114</f>
        <v>300729535</v>
      </c>
      <c r="E128" s="39">
        <f>+E93+E114</f>
        <v>210493475</v>
      </c>
    </row>
    <row r="129" spans="1:5" ht="12" customHeight="1">
      <c r="A129" s="88" t="s">
        <v>339</v>
      </c>
      <c r="B129" s="116" t="s">
        <v>583</v>
      </c>
      <c r="C129" s="38">
        <f>+C130+C131+C132</f>
        <v>0</v>
      </c>
      <c r="D129" s="117">
        <f>+D130+D131+D132</f>
        <v>0</v>
      </c>
      <c r="E129" s="39">
        <f>+E130+E131+E132</f>
        <v>0</v>
      </c>
    </row>
    <row r="130" spans="1:5" s="378" customFormat="1" ht="12" customHeight="1">
      <c r="A130" s="355" t="s">
        <v>158</v>
      </c>
      <c r="B130" s="119" t="s">
        <v>584</v>
      </c>
      <c r="C130" s="54"/>
      <c r="D130" s="118"/>
      <c r="E130" s="50"/>
    </row>
    <row r="131" spans="1:5" ht="12" customHeight="1">
      <c r="A131" s="355" t="s">
        <v>160</v>
      </c>
      <c r="B131" s="119" t="s">
        <v>342</v>
      </c>
      <c r="C131" s="54"/>
      <c r="D131" s="118"/>
      <c r="E131" s="50"/>
    </row>
    <row r="132" spans="1:5" ht="12" customHeight="1">
      <c r="A132" s="380" t="s">
        <v>162</v>
      </c>
      <c r="B132" s="124" t="s">
        <v>585</v>
      </c>
      <c r="C132" s="54"/>
      <c r="D132" s="118"/>
      <c r="E132" s="50"/>
    </row>
    <row r="133" spans="1:5" ht="12" customHeight="1">
      <c r="A133" s="88" t="s">
        <v>172</v>
      </c>
      <c r="B133" s="116" t="s">
        <v>344</v>
      </c>
      <c r="C133" s="38">
        <f>+C134+C135+C136+C137+C138+C139</f>
        <v>0</v>
      </c>
      <c r="D133" s="117">
        <f>+D134+D135+D136+D137+D138+D139</f>
        <v>0</v>
      </c>
      <c r="E133" s="39">
        <f>+E134+E135+E136+E137+E138+E139</f>
        <v>0</v>
      </c>
    </row>
    <row r="134" spans="1:5" ht="12" customHeight="1">
      <c r="A134" s="355" t="s">
        <v>174</v>
      </c>
      <c r="B134" s="119" t="s">
        <v>345</v>
      </c>
      <c r="C134" s="54"/>
      <c r="D134" s="118"/>
      <c r="E134" s="50"/>
    </row>
    <row r="135" spans="1:5" ht="12" customHeight="1">
      <c r="A135" s="355" t="s">
        <v>176</v>
      </c>
      <c r="B135" s="119" t="s">
        <v>346</v>
      </c>
      <c r="C135" s="54"/>
      <c r="D135" s="118"/>
      <c r="E135" s="50"/>
    </row>
    <row r="136" spans="1:5" ht="12" customHeight="1">
      <c r="A136" s="355" t="s">
        <v>178</v>
      </c>
      <c r="B136" s="119" t="s">
        <v>347</v>
      </c>
      <c r="C136" s="54"/>
      <c r="D136" s="118"/>
      <c r="E136" s="50"/>
    </row>
    <row r="137" spans="1:5" ht="12" customHeight="1">
      <c r="A137" s="355" t="s">
        <v>180</v>
      </c>
      <c r="B137" s="119" t="s">
        <v>586</v>
      </c>
      <c r="C137" s="54"/>
      <c r="D137" s="118"/>
      <c r="E137" s="50"/>
    </row>
    <row r="138" spans="1:5" ht="12" customHeight="1">
      <c r="A138" s="355" t="s">
        <v>182</v>
      </c>
      <c r="B138" s="119" t="s">
        <v>349</v>
      </c>
      <c r="C138" s="54"/>
      <c r="D138" s="118"/>
      <c r="E138" s="50"/>
    </row>
    <row r="139" spans="1:5" s="378" customFormat="1" ht="12" customHeight="1">
      <c r="A139" s="380" t="s">
        <v>184</v>
      </c>
      <c r="B139" s="124" t="s">
        <v>350</v>
      </c>
      <c r="C139" s="54"/>
      <c r="D139" s="118"/>
      <c r="E139" s="50"/>
    </row>
    <row r="140" spans="1:11" ht="12" customHeight="1">
      <c r="A140" s="88" t="s">
        <v>196</v>
      </c>
      <c r="B140" s="116" t="s">
        <v>587</v>
      </c>
      <c r="C140" s="59">
        <f>+C141+C142+C144+C145+C143</f>
        <v>4052052</v>
      </c>
      <c r="D140" s="123">
        <f>+D141+D142+D144+D145+D143</f>
        <v>4052052</v>
      </c>
      <c r="E140" s="60">
        <f>+E141+E142+E144+E145+E143</f>
        <v>4052052</v>
      </c>
      <c r="K140" s="382"/>
    </row>
    <row r="141" spans="1:5" ht="12.75">
      <c r="A141" s="355" t="s">
        <v>198</v>
      </c>
      <c r="B141" s="119" t="s">
        <v>352</v>
      </c>
      <c r="C141" s="54"/>
      <c r="D141" s="118"/>
      <c r="E141" s="50"/>
    </row>
    <row r="142" spans="1:5" ht="12" customHeight="1">
      <c r="A142" s="355" t="s">
        <v>200</v>
      </c>
      <c r="B142" s="119" t="s">
        <v>353</v>
      </c>
      <c r="C142" s="50">
        <v>4052052</v>
      </c>
      <c r="D142" s="50">
        <v>4052052</v>
      </c>
      <c r="E142" s="50">
        <v>4052052</v>
      </c>
    </row>
    <row r="143" spans="1:5" ht="12" customHeight="1">
      <c r="A143" s="355" t="s">
        <v>202</v>
      </c>
      <c r="B143" s="119" t="s">
        <v>588</v>
      </c>
      <c r="C143" s="54"/>
      <c r="D143" s="118"/>
      <c r="E143" s="383"/>
    </row>
    <row r="144" spans="1:5" s="378" customFormat="1" ht="12" customHeight="1">
      <c r="A144" s="355" t="s">
        <v>204</v>
      </c>
      <c r="B144" s="119" t="s">
        <v>354</v>
      </c>
      <c r="C144" s="54"/>
      <c r="D144" s="118"/>
      <c r="E144" s="50"/>
    </row>
    <row r="145" spans="1:5" s="378" customFormat="1" ht="12" customHeight="1">
      <c r="A145" s="380" t="s">
        <v>206</v>
      </c>
      <c r="B145" s="124" t="s">
        <v>355</v>
      </c>
      <c r="C145" s="54"/>
      <c r="D145" s="118"/>
      <c r="E145" s="50"/>
    </row>
    <row r="146" spans="1:5" s="378" customFormat="1" ht="12" customHeight="1">
      <c r="A146" s="88" t="s">
        <v>356</v>
      </c>
      <c r="B146" s="116" t="s">
        <v>357</v>
      </c>
      <c r="C146" s="125">
        <f>+C147+C148+C149+C150+C151</f>
        <v>0</v>
      </c>
      <c r="D146" s="126">
        <f>+D147+D148+D149+D150+D151</f>
        <v>0</v>
      </c>
      <c r="E146" s="127">
        <f>+E147+E148+E149+E150+E151</f>
        <v>0</v>
      </c>
    </row>
    <row r="147" spans="1:5" s="378" customFormat="1" ht="12" customHeight="1">
      <c r="A147" s="355" t="s">
        <v>210</v>
      </c>
      <c r="B147" s="119" t="s">
        <v>358</v>
      </c>
      <c r="C147" s="54"/>
      <c r="D147" s="118"/>
      <c r="E147" s="50"/>
    </row>
    <row r="148" spans="1:5" s="378" customFormat="1" ht="12" customHeight="1">
      <c r="A148" s="355" t="s">
        <v>212</v>
      </c>
      <c r="B148" s="119" t="s">
        <v>359</v>
      </c>
      <c r="C148" s="54"/>
      <c r="D148" s="118"/>
      <c r="E148" s="50"/>
    </row>
    <row r="149" spans="1:5" s="378" customFormat="1" ht="12" customHeight="1">
      <c r="A149" s="355" t="s">
        <v>214</v>
      </c>
      <c r="B149" s="119" t="s">
        <v>360</v>
      </c>
      <c r="C149" s="54"/>
      <c r="D149" s="118"/>
      <c r="E149" s="50"/>
    </row>
    <row r="150" spans="1:5" s="378" customFormat="1" ht="12" customHeight="1">
      <c r="A150" s="355" t="s">
        <v>216</v>
      </c>
      <c r="B150" s="119" t="s">
        <v>589</v>
      </c>
      <c r="C150" s="54"/>
      <c r="D150" s="118"/>
      <c r="E150" s="50"/>
    </row>
    <row r="151" spans="1:5" ht="12.75" customHeight="1">
      <c r="A151" s="380" t="s">
        <v>362</v>
      </c>
      <c r="B151" s="124" t="s">
        <v>363</v>
      </c>
      <c r="C151" s="56"/>
      <c r="D151" s="147"/>
      <c r="E151" s="57"/>
    </row>
    <row r="152" spans="1:5" ht="12.75" customHeight="1">
      <c r="A152" s="384" t="s">
        <v>218</v>
      </c>
      <c r="B152" s="116" t="s">
        <v>364</v>
      </c>
      <c r="C152" s="125"/>
      <c r="D152" s="126"/>
      <c r="E152" s="127"/>
    </row>
    <row r="153" spans="1:5" ht="12.75" customHeight="1">
      <c r="A153" s="384" t="s">
        <v>365</v>
      </c>
      <c r="B153" s="116" t="s">
        <v>366</v>
      </c>
      <c r="C153" s="125"/>
      <c r="D153" s="126"/>
      <c r="E153" s="127"/>
    </row>
    <row r="154" spans="1:5" ht="12" customHeight="1">
      <c r="A154" s="88" t="s">
        <v>367</v>
      </c>
      <c r="B154" s="116" t="s">
        <v>368</v>
      </c>
      <c r="C154" s="131">
        <f>+C129+C133+C140+C146+C152+C153</f>
        <v>4052052</v>
      </c>
      <c r="D154" s="132">
        <f>+D129+D133+D140+D146+D152+D153</f>
        <v>4052052</v>
      </c>
      <c r="E154" s="133">
        <f>+E129+E133+E140+E146+E152+E153</f>
        <v>4052052</v>
      </c>
    </row>
    <row r="155" spans="1:5" ht="15" customHeight="1">
      <c r="A155" s="385" t="s">
        <v>369</v>
      </c>
      <c r="B155" s="137" t="s">
        <v>370</v>
      </c>
      <c r="C155" s="131">
        <f>+C128+C154</f>
        <v>371385172</v>
      </c>
      <c r="D155" s="132">
        <f>+D128+D154</f>
        <v>304781587</v>
      </c>
      <c r="E155" s="133">
        <f>+E128+E154</f>
        <v>214545527</v>
      </c>
    </row>
    <row r="156" spans="3:5" ht="12.75">
      <c r="C156" s="386">
        <f>C90-C155</f>
        <v>299063680</v>
      </c>
      <c r="D156" s="386">
        <f>D90-D155</f>
        <v>319592694</v>
      </c>
      <c r="E156" s="333"/>
    </row>
    <row r="157" spans="1:5" ht="15" customHeight="1">
      <c r="A157" s="387" t="s">
        <v>590</v>
      </c>
      <c r="B157" s="388"/>
      <c r="C157" s="389">
        <v>7</v>
      </c>
      <c r="D157" s="389">
        <v>7</v>
      </c>
      <c r="E157" s="390">
        <v>7</v>
      </c>
    </row>
    <row r="158" spans="1:5" ht="14.25" customHeight="1">
      <c r="A158" s="387" t="s">
        <v>591</v>
      </c>
      <c r="B158" s="388"/>
      <c r="C158" s="389">
        <v>0</v>
      </c>
      <c r="D158" s="389">
        <v>0</v>
      </c>
      <c r="E158" s="390">
        <v>0</v>
      </c>
    </row>
  </sheetData>
  <sheetProtection selectLockedCells="1" selectUnlockedCells="1"/>
  <mergeCells count="5">
    <mergeCell ref="B1:E1"/>
    <mergeCell ref="B2:D2"/>
    <mergeCell ref="B3:D3"/>
    <mergeCell ref="A7:E7"/>
    <mergeCell ref="A92:E92"/>
  </mergeCells>
  <printOptions horizontalCentered="1"/>
  <pageMargins left="0.25" right="0.25" top="0.75" bottom="0.75" header="0.5118055555555555" footer="0.5118055555555555"/>
  <pageSetup fitToHeight="0" fitToWidth="1" horizontalDpi="300" verticalDpi="300" orientation="portrait" paperSize="9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58"/>
  <sheetViews>
    <sheetView zoomScale="120" zoomScaleNormal="120" zoomScaleSheetLayoutView="100" zoomScalePageLayoutView="0" workbookViewId="0" topLeftCell="A1">
      <selection activeCell="E111" sqref="E111"/>
    </sheetView>
  </sheetViews>
  <sheetFormatPr defaultColWidth="9.00390625" defaultRowHeight="12.75"/>
  <cols>
    <col min="1" max="1" width="16.125" style="331" customWidth="1"/>
    <col min="2" max="2" width="62.00390625" style="332" customWidth="1"/>
    <col min="3" max="3" width="14.125" style="333" customWidth="1"/>
    <col min="4" max="5" width="14.125" style="334" customWidth="1"/>
    <col min="6" max="16384" width="9.375" style="334" customWidth="1"/>
  </cols>
  <sheetData>
    <row r="1" spans="1:5" s="336" customFormat="1" ht="16.5" customHeight="1">
      <c r="A1" s="335"/>
      <c r="B1" s="847" t="str">
        <f>CONCATENATE("6.1.1. melléklet ",Z_ALAPADATOK!A7," ",Z_ALAPADATOK!B7," ",Z_ALAPADATOK!C7," ",Z_ALAPADATOK!D7," ",Z_ALAPADATOK!E7," ",Z_ALAPADATOK!F7," ",Z_ALAPADATOK!G7," ",Z_ALAPADATOK!H7)</f>
        <v>6.1.1. melléklet a … / 2019. ( … ) önkormányzati rendelethez</v>
      </c>
      <c r="C1" s="847"/>
      <c r="D1" s="847"/>
      <c r="E1" s="847"/>
    </row>
    <row r="2" spans="1:5" s="339" customFormat="1" ht="21" customHeight="1">
      <c r="A2" s="337" t="s">
        <v>382</v>
      </c>
      <c r="B2" s="848" t="str">
        <f>CONCATENATE(Z_ALAPADATOK!A3)</f>
        <v>Balatonvilágos Község Önkormányzata</v>
      </c>
      <c r="C2" s="848"/>
      <c r="D2" s="848"/>
      <c r="E2" s="338" t="s">
        <v>566</v>
      </c>
    </row>
    <row r="3" spans="1:5" s="339" customFormat="1" ht="24.75" customHeight="1">
      <c r="A3" s="337" t="s">
        <v>567</v>
      </c>
      <c r="B3" s="848" t="s">
        <v>592</v>
      </c>
      <c r="C3" s="848"/>
      <c r="D3" s="848"/>
      <c r="E3" s="340" t="s">
        <v>593</v>
      </c>
    </row>
    <row r="4" spans="1:5" s="345" customFormat="1" ht="15.75" customHeight="1">
      <c r="A4" s="341"/>
      <c r="B4" s="341"/>
      <c r="C4" s="342"/>
      <c r="D4" s="343"/>
      <c r="E4" s="342" t="str">
        <f>'Z_6.1.sz.mell'!E4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CONCATENATE('Z_6.1.sz.mell'!E5)</f>
        <v>Teljesítés
2018. XII. 31.</v>
      </c>
    </row>
    <row r="6" spans="1:5" s="354" customFormat="1" ht="12.75" customHeight="1">
      <c r="A6" s="350" t="s">
        <v>109</v>
      </c>
      <c r="B6" s="351" t="s">
        <v>110</v>
      </c>
      <c r="C6" s="351" t="s">
        <v>111</v>
      </c>
      <c r="D6" s="352" t="s">
        <v>112</v>
      </c>
      <c r="E6" s="353" t="s">
        <v>113</v>
      </c>
    </row>
    <row r="7" spans="1:5" s="354" customFormat="1" ht="15.75" customHeight="1">
      <c r="A7" s="849" t="s">
        <v>380</v>
      </c>
      <c r="B7" s="849"/>
      <c r="C7" s="849"/>
      <c r="D7" s="849"/>
      <c r="E7" s="849"/>
    </row>
    <row r="8" spans="1:5" s="354" customFormat="1" ht="12" customHeight="1">
      <c r="A8" s="88" t="s">
        <v>114</v>
      </c>
      <c r="B8" s="37" t="s">
        <v>115</v>
      </c>
      <c r="C8" s="38">
        <f>+C9+C10+C11+C12+C13+C14</f>
        <v>113142467</v>
      </c>
      <c r="D8" s="117">
        <f>+D9+D10+D11+D12+D13+D14</f>
        <v>128291755</v>
      </c>
      <c r="E8" s="39">
        <f>+E9+E10+E11+E12+E13+E14</f>
        <v>128291755</v>
      </c>
    </row>
    <row r="9" spans="1:5" s="356" customFormat="1" ht="12" customHeight="1">
      <c r="A9" s="355" t="s">
        <v>116</v>
      </c>
      <c r="B9" s="42" t="s">
        <v>117</v>
      </c>
      <c r="C9" s="43">
        <v>43438015</v>
      </c>
      <c r="D9" s="43">
        <v>43548669</v>
      </c>
      <c r="E9" s="44">
        <v>43548669</v>
      </c>
    </row>
    <row r="10" spans="1:5" s="358" customFormat="1" ht="12" customHeight="1">
      <c r="A10" s="357" t="s">
        <v>118</v>
      </c>
      <c r="B10" s="46" t="s">
        <v>119</v>
      </c>
      <c r="C10" s="44">
        <v>38684467</v>
      </c>
      <c r="D10" s="44">
        <v>39060767</v>
      </c>
      <c r="E10" s="44">
        <v>39060767</v>
      </c>
    </row>
    <row r="11" spans="1:5" s="358" customFormat="1" ht="12" customHeight="1">
      <c r="A11" s="357" t="s">
        <v>120</v>
      </c>
      <c r="B11" s="46" t="s">
        <v>121</v>
      </c>
      <c r="C11" s="44">
        <v>29219985</v>
      </c>
      <c r="D11" s="44">
        <v>30309228</v>
      </c>
      <c r="E11" s="44">
        <v>30309228</v>
      </c>
    </row>
    <row r="12" spans="1:5" s="358" customFormat="1" ht="12" customHeight="1">
      <c r="A12" s="357" t="s">
        <v>122</v>
      </c>
      <c r="B12" s="46" t="s">
        <v>123</v>
      </c>
      <c r="C12" s="44">
        <v>1800000</v>
      </c>
      <c r="D12" s="44">
        <v>1800000</v>
      </c>
      <c r="E12" s="44">
        <v>1800000</v>
      </c>
    </row>
    <row r="13" spans="1:5" s="358" customFormat="1" ht="12" customHeight="1">
      <c r="A13" s="357" t="s">
        <v>124</v>
      </c>
      <c r="B13" s="46" t="s">
        <v>573</v>
      </c>
      <c r="C13" s="44"/>
      <c r="D13" s="44">
        <v>13573091</v>
      </c>
      <c r="E13" s="44">
        <v>13573091</v>
      </c>
    </row>
    <row r="14" spans="1:5" s="356" customFormat="1" ht="12" customHeight="1">
      <c r="A14" s="359" t="s">
        <v>126</v>
      </c>
      <c r="B14" s="58" t="s">
        <v>127</v>
      </c>
      <c r="C14" s="44"/>
      <c r="D14" s="44"/>
      <c r="E14" s="50"/>
    </row>
    <row r="15" spans="1:5" s="356" customFormat="1" ht="12" customHeight="1">
      <c r="A15" s="88" t="s">
        <v>128</v>
      </c>
      <c r="B15" s="51" t="s">
        <v>129</v>
      </c>
      <c r="C15" s="38">
        <f>+C16+C17+C18+C19+C20</f>
        <v>16079400</v>
      </c>
      <c r="D15" s="117">
        <f>+D16+D17+D18+D19+D20</f>
        <v>18309900</v>
      </c>
      <c r="E15" s="39">
        <f>+E16+E17+E18+E19+E20</f>
        <v>19796458</v>
      </c>
    </row>
    <row r="16" spans="1:5" s="356" customFormat="1" ht="12" customHeight="1">
      <c r="A16" s="355" t="s">
        <v>130</v>
      </c>
      <c r="B16" s="42" t="s">
        <v>131</v>
      </c>
      <c r="C16" s="43"/>
      <c r="D16" s="43"/>
      <c r="E16" s="53"/>
    </row>
    <row r="17" spans="1:5" s="356" customFormat="1" ht="12" customHeight="1">
      <c r="A17" s="357" t="s">
        <v>132</v>
      </c>
      <c r="B17" s="46" t="s">
        <v>133</v>
      </c>
      <c r="C17" s="44"/>
      <c r="D17" s="44"/>
      <c r="E17" s="50"/>
    </row>
    <row r="18" spans="1:5" s="356" customFormat="1" ht="12" customHeight="1">
      <c r="A18" s="357" t="s">
        <v>134</v>
      </c>
      <c r="B18" s="46" t="s">
        <v>135</v>
      </c>
      <c r="C18" s="44"/>
      <c r="D18" s="44"/>
      <c r="E18" s="50"/>
    </row>
    <row r="19" spans="1:5" s="356" customFormat="1" ht="12" customHeight="1">
      <c r="A19" s="357" t="s">
        <v>136</v>
      </c>
      <c r="B19" s="46" t="s">
        <v>137</v>
      </c>
      <c r="C19" s="44"/>
      <c r="D19" s="44"/>
      <c r="E19" s="50"/>
    </row>
    <row r="20" spans="1:5" s="356" customFormat="1" ht="12" customHeight="1">
      <c r="A20" s="357" t="s">
        <v>138</v>
      </c>
      <c r="B20" s="46" t="s">
        <v>139</v>
      </c>
      <c r="C20" s="44">
        <v>16079400</v>
      </c>
      <c r="D20" s="44">
        <v>18309900</v>
      </c>
      <c r="E20" s="44">
        <v>19796458</v>
      </c>
    </row>
    <row r="21" spans="1:5" s="358" customFormat="1" ht="12" customHeight="1">
      <c r="A21" s="359" t="s">
        <v>140</v>
      </c>
      <c r="B21" s="58" t="s">
        <v>141</v>
      </c>
      <c r="C21" s="55"/>
      <c r="D21" s="55"/>
      <c r="E21" s="57"/>
    </row>
    <row r="22" spans="1:5" s="358" customFormat="1" ht="12" customHeight="1">
      <c r="A22" s="88" t="s">
        <v>142</v>
      </c>
      <c r="B22" s="37" t="s">
        <v>143</v>
      </c>
      <c r="C22" s="38">
        <f>+C23+C24+C25+C26+C27</f>
        <v>143309282</v>
      </c>
      <c r="D22" s="117">
        <f>+D23+D24+D25+D26+D27</f>
        <v>56669456</v>
      </c>
      <c r="E22" s="39">
        <f>+E23+E24+E25+E26+E27</f>
        <v>36327320</v>
      </c>
    </row>
    <row r="23" spans="1:5" s="358" customFormat="1" ht="12" customHeight="1">
      <c r="A23" s="355" t="s">
        <v>144</v>
      </c>
      <c r="B23" s="42" t="s">
        <v>145</v>
      </c>
      <c r="C23" s="43">
        <v>143309282</v>
      </c>
      <c r="D23" s="43">
        <v>56669456</v>
      </c>
      <c r="E23" s="43">
        <v>36327320</v>
      </c>
    </row>
    <row r="24" spans="1:5" s="356" customFormat="1" ht="12" customHeight="1">
      <c r="A24" s="357" t="s">
        <v>146</v>
      </c>
      <c r="B24" s="46" t="s">
        <v>147</v>
      </c>
      <c r="C24" s="54"/>
      <c r="D24" s="118"/>
      <c r="E24" s="50"/>
    </row>
    <row r="25" spans="1:5" s="358" customFormat="1" ht="12" customHeight="1">
      <c r="A25" s="357" t="s">
        <v>148</v>
      </c>
      <c r="B25" s="46" t="s">
        <v>149</v>
      </c>
      <c r="C25" s="54"/>
      <c r="D25" s="118"/>
      <c r="E25" s="50"/>
    </row>
    <row r="26" spans="1:5" s="358" customFormat="1" ht="12" customHeight="1">
      <c r="A26" s="357" t="s">
        <v>150</v>
      </c>
      <c r="B26" s="46" t="s">
        <v>151</v>
      </c>
      <c r="C26" s="54"/>
      <c r="D26" s="118"/>
      <c r="E26" s="50"/>
    </row>
    <row r="27" spans="1:5" s="358" customFormat="1" ht="12" customHeight="1">
      <c r="A27" s="357" t="s">
        <v>152</v>
      </c>
      <c r="B27" s="46" t="s">
        <v>153</v>
      </c>
      <c r="C27" s="54"/>
      <c r="D27" s="118"/>
      <c r="E27" s="50"/>
    </row>
    <row r="28" spans="1:5" s="358" customFormat="1" ht="12" customHeight="1">
      <c r="A28" s="359" t="s">
        <v>154</v>
      </c>
      <c r="B28" s="58" t="s">
        <v>155</v>
      </c>
      <c r="C28" s="56"/>
      <c r="D28" s="147"/>
      <c r="E28" s="57"/>
    </row>
    <row r="29" spans="1:5" s="358" customFormat="1" ht="12" customHeight="1">
      <c r="A29" s="88" t="s">
        <v>156</v>
      </c>
      <c r="B29" s="37" t="s">
        <v>157</v>
      </c>
      <c r="C29" s="59">
        <f>SUM(C30:C36)</f>
        <v>196229000</v>
      </c>
      <c r="D29" s="59">
        <f>SUM(D30:D36)</f>
        <v>196229000</v>
      </c>
      <c r="E29" s="60">
        <f>SUM(E30:E36)</f>
        <v>207402966</v>
      </c>
    </row>
    <row r="30" spans="1:5" s="358" customFormat="1" ht="12" customHeight="1">
      <c r="A30" s="355" t="s">
        <v>158</v>
      </c>
      <c r="B30" s="42" t="s">
        <v>159</v>
      </c>
      <c r="C30" s="43">
        <v>141679000</v>
      </c>
      <c r="D30" s="43">
        <v>141679000</v>
      </c>
      <c r="E30" s="43">
        <v>139222737</v>
      </c>
    </row>
    <row r="31" spans="1:5" s="358" customFormat="1" ht="12" customHeight="1">
      <c r="A31" s="357" t="s">
        <v>160</v>
      </c>
      <c r="B31" s="46" t="s">
        <v>161</v>
      </c>
      <c r="C31" s="44">
        <v>20000000</v>
      </c>
      <c r="D31" s="44">
        <v>20000000</v>
      </c>
      <c r="E31" s="44">
        <v>19388110</v>
      </c>
    </row>
    <row r="32" spans="1:5" s="358" customFormat="1" ht="12" customHeight="1">
      <c r="A32" s="357" t="s">
        <v>162</v>
      </c>
      <c r="B32" s="46" t="s">
        <v>163</v>
      </c>
      <c r="C32" s="44">
        <v>30000000</v>
      </c>
      <c r="D32" s="44">
        <v>30000000</v>
      </c>
      <c r="E32" s="44">
        <v>41918668</v>
      </c>
    </row>
    <row r="33" spans="1:5" s="358" customFormat="1" ht="12" customHeight="1">
      <c r="A33" s="357" t="s">
        <v>164</v>
      </c>
      <c r="B33" s="46" t="s">
        <v>165</v>
      </c>
      <c r="C33" s="44"/>
      <c r="D33" s="44"/>
      <c r="E33" s="44"/>
    </row>
    <row r="34" spans="1:5" s="358" customFormat="1" ht="12" customHeight="1">
      <c r="A34" s="357" t="s">
        <v>166</v>
      </c>
      <c r="B34" s="46" t="s">
        <v>167</v>
      </c>
      <c r="C34" s="44">
        <v>3900000</v>
      </c>
      <c r="D34" s="44">
        <v>3900000</v>
      </c>
      <c r="E34" s="44">
        <v>5097370</v>
      </c>
    </row>
    <row r="35" spans="1:5" s="358" customFormat="1" ht="12" customHeight="1">
      <c r="A35" s="357" t="s">
        <v>168</v>
      </c>
      <c r="B35" s="46" t="s">
        <v>169</v>
      </c>
      <c r="C35" s="44"/>
      <c r="D35" s="44"/>
      <c r="E35" s="44"/>
    </row>
    <row r="36" spans="1:5" s="358" customFormat="1" ht="12" customHeight="1">
      <c r="A36" s="359" t="s">
        <v>170</v>
      </c>
      <c r="B36" s="61" t="s">
        <v>171</v>
      </c>
      <c r="C36" s="55">
        <v>650000</v>
      </c>
      <c r="D36" s="55">
        <v>650000</v>
      </c>
      <c r="E36" s="55">
        <v>1776081</v>
      </c>
    </row>
    <row r="37" spans="1:5" s="358" customFormat="1" ht="12" customHeight="1">
      <c r="A37" s="88" t="s">
        <v>172</v>
      </c>
      <c r="B37" s="37" t="s">
        <v>173</v>
      </c>
      <c r="C37" s="38">
        <f>SUM(C38:C48)</f>
        <v>11718200</v>
      </c>
      <c r="D37" s="117">
        <f>SUM(D38:D48)</f>
        <v>12843600</v>
      </c>
      <c r="E37" s="39">
        <f>SUM(E38:E48)</f>
        <v>13393346</v>
      </c>
    </row>
    <row r="38" spans="1:5" s="358" customFormat="1" ht="12" customHeight="1">
      <c r="A38" s="355" t="s">
        <v>174</v>
      </c>
      <c r="B38" s="42" t="s">
        <v>175</v>
      </c>
      <c r="C38" s="43"/>
      <c r="D38" s="43"/>
      <c r="E38" s="53"/>
    </row>
    <row r="39" spans="1:5" s="358" customFormat="1" ht="12" customHeight="1">
      <c r="A39" s="357" t="s">
        <v>176</v>
      </c>
      <c r="B39" s="46" t="s">
        <v>177</v>
      </c>
      <c r="C39" s="44"/>
      <c r="D39" s="44"/>
      <c r="E39" s="50"/>
    </row>
    <row r="40" spans="1:5" s="358" customFormat="1" ht="12" customHeight="1">
      <c r="A40" s="357" t="s">
        <v>178</v>
      </c>
      <c r="B40" s="46" t="s">
        <v>179</v>
      </c>
      <c r="C40" s="44">
        <v>9160000</v>
      </c>
      <c r="D40" s="44">
        <v>9160000</v>
      </c>
      <c r="E40" s="50">
        <v>8815340</v>
      </c>
    </row>
    <row r="41" spans="1:5" s="358" customFormat="1" ht="12" customHeight="1">
      <c r="A41" s="357" t="s">
        <v>180</v>
      </c>
      <c r="B41" s="46" t="s">
        <v>181</v>
      </c>
      <c r="C41" s="44"/>
      <c r="D41" s="44"/>
      <c r="E41" s="50">
        <v>1656921</v>
      </c>
    </row>
    <row r="42" spans="1:5" s="358" customFormat="1" ht="12" customHeight="1">
      <c r="A42" s="357" t="s">
        <v>182</v>
      </c>
      <c r="B42" s="46" t="s">
        <v>183</v>
      </c>
      <c r="C42" s="44"/>
      <c r="D42" s="44"/>
      <c r="E42" s="50"/>
    </row>
    <row r="43" spans="1:5" s="358" customFormat="1" ht="12" customHeight="1">
      <c r="A43" s="357" t="s">
        <v>184</v>
      </c>
      <c r="B43" s="46" t="s">
        <v>185</v>
      </c>
      <c r="C43" s="44">
        <v>2473200</v>
      </c>
      <c r="D43" s="44">
        <v>2473200</v>
      </c>
      <c r="E43" s="50">
        <f>'Z_6.1.sz.mell'!E43-'Z_6.1.2.sz.mell'!E43</f>
        <v>2390132</v>
      </c>
    </row>
    <row r="44" spans="1:5" s="358" customFormat="1" ht="12" customHeight="1">
      <c r="A44" s="357" t="s">
        <v>186</v>
      </c>
      <c r="B44" s="46" t="s">
        <v>187</v>
      </c>
      <c r="C44" s="44"/>
      <c r="D44" s="44"/>
      <c r="E44" s="50"/>
    </row>
    <row r="45" spans="1:5" s="358" customFormat="1" ht="12" customHeight="1">
      <c r="A45" s="357" t="s">
        <v>188</v>
      </c>
      <c r="B45" s="46" t="s">
        <v>189</v>
      </c>
      <c r="C45" s="44">
        <v>85000</v>
      </c>
      <c r="D45" s="44">
        <v>85000</v>
      </c>
      <c r="E45" s="50">
        <v>225</v>
      </c>
    </row>
    <row r="46" spans="1:5" s="358" customFormat="1" ht="12" customHeight="1">
      <c r="A46" s="357" t="s">
        <v>190</v>
      </c>
      <c r="B46" s="46" t="s">
        <v>191</v>
      </c>
      <c r="C46" s="62"/>
      <c r="D46" s="62"/>
      <c r="E46" s="68">
        <v>481</v>
      </c>
    </row>
    <row r="47" spans="1:5" s="358" customFormat="1" ht="12" customHeight="1">
      <c r="A47" s="359" t="s">
        <v>192</v>
      </c>
      <c r="B47" s="58" t="s">
        <v>193</v>
      </c>
      <c r="C47" s="63"/>
      <c r="D47" s="63"/>
      <c r="E47" s="143"/>
    </row>
    <row r="48" spans="1:5" s="358" customFormat="1" ht="12" customHeight="1">
      <c r="A48" s="359" t="s">
        <v>194</v>
      </c>
      <c r="B48" s="58" t="s">
        <v>195</v>
      </c>
      <c r="C48" s="63"/>
      <c r="D48" s="63">
        <v>1125400</v>
      </c>
      <c r="E48" s="143">
        <v>530247</v>
      </c>
    </row>
    <row r="49" spans="1:5" s="358" customFormat="1" ht="12" customHeight="1">
      <c r="A49" s="88" t="s">
        <v>196</v>
      </c>
      <c r="B49" s="37" t="s">
        <v>197</v>
      </c>
      <c r="C49" s="38">
        <f>SUM(C50:C54)</f>
        <v>0</v>
      </c>
      <c r="D49" s="117">
        <f>SUM(D50:D54)</f>
        <v>0</v>
      </c>
      <c r="E49" s="39">
        <f>SUM(E50:E54)</f>
        <v>0</v>
      </c>
    </row>
    <row r="50" spans="1:5" s="358" customFormat="1" ht="12" customHeight="1">
      <c r="A50" s="355" t="s">
        <v>198</v>
      </c>
      <c r="B50" s="42" t="s">
        <v>199</v>
      </c>
      <c r="C50" s="65"/>
      <c r="D50" s="362"/>
      <c r="E50" s="144"/>
    </row>
    <row r="51" spans="1:5" s="358" customFormat="1" ht="12" customHeight="1">
      <c r="A51" s="357" t="s">
        <v>200</v>
      </c>
      <c r="B51" s="46" t="s">
        <v>201</v>
      </c>
      <c r="C51" s="66"/>
      <c r="D51" s="363"/>
      <c r="E51" s="68"/>
    </row>
    <row r="52" spans="1:5" s="358" customFormat="1" ht="12" customHeight="1">
      <c r="A52" s="357" t="s">
        <v>202</v>
      </c>
      <c r="B52" s="46" t="s">
        <v>203</v>
      </c>
      <c r="C52" s="66"/>
      <c r="D52" s="363"/>
      <c r="E52" s="68"/>
    </row>
    <row r="53" spans="1:5" s="358" customFormat="1" ht="12" customHeight="1">
      <c r="A53" s="357" t="s">
        <v>204</v>
      </c>
      <c r="B53" s="46" t="s">
        <v>205</v>
      </c>
      <c r="C53" s="66"/>
      <c r="D53" s="363"/>
      <c r="E53" s="68"/>
    </row>
    <row r="54" spans="1:5" s="358" customFormat="1" ht="12" customHeight="1">
      <c r="A54" s="359" t="s">
        <v>206</v>
      </c>
      <c r="B54" s="58" t="s">
        <v>207</v>
      </c>
      <c r="C54" s="67"/>
      <c r="D54" s="364"/>
      <c r="E54" s="143"/>
    </row>
    <row r="55" spans="1:5" s="358" customFormat="1" ht="12" customHeight="1">
      <c r="A55" s="88" t="s">
        <v>208</v>
      </c>
      <c r="B55" s="37" t="s">
        <v>209</v>
      </c>
      <c r="C55" s="38">
        <f>SUM(C56:C58)</f>
        <v>1500000</v>
      </c>
      <c r="D55" s="117">
        <f>SUM(D56:D58)</f>
        <v>1500000</v>
      </c>
      <c r="E55" s="39">
        <f>SUM(E56:E58)</f>
        <v>2125400</v>
      </c>
    </row>
    <row r="56" spans="1:5" s="358" customFormat="1" ht="12" customHeight="1">
      <c r="A56" s="355" t="s">
        <v>210</v>
      </c>
      <c r="B56" s="42" t="s">
        <v>211</v>
      </c>
      <c r="C56" s="52"/>
      <c r="D56" s="149"/>
      <c r="E56" s="53"/>
    </row>
    <row r="57" spans="1:5" s="358" customFormat="1" ht="12" customHeight="1">
      <c r="A57" s="357" t="s">
        <v>212</v>
      </c>
      <c r="B57" s="46" t="s">
        <v>213</v>
      </c>
      <c r="C57" s="54"/>
      <c r="D57" s="118"/>
      <c r="E57" s="50"/>
    </row>
    <row r="58" spans="1:5" s="358" customFormat="1" ht="12" customHeight="1">
      <c r="A58" s="357" t="s">
        <v>214</v>
      </c>
      <c r="B58" s="46" t="s">
        <v>215</v>
      </c>
      <c r="C58" s="44">
        <v>1500000</v>
      </c>
      <c r="D58" s="44">
        <v>1500000</v>
      </c>
      <c r="E58" s="44">
        <v>2125400</v>
      </c>
    </row>
    <row r="59" spans="1:5" s="358" customFormat="1" ht="12" customHeight="1">
      <c r="A59" s="359" t="s">
        <v>216</v>
      </c>
      <c r="B59" s="58" t="s">
        <v>217</v>
      </c>
      <c r="C59" s="56"/>
      <c r="D59" s="147"/>
      <c r="E59" s="57"/>
    </row>
    <row r="60" spans="1:5" s="358" customFormat="1" ht="12" customHeight="1">
      <c r="A60" s="88" t="s">
        <v>218</v>
      </c>
      <c r="B60" s="51" t="s">
        <v>219</v>
      </c>
      <c r="C60" s="38">
        <f>SUM(C61:C63)</f>
        <v>6064053</v>
      </c>
      <c r="D60" s="117">
        <f>SUM(D61:D63)</f>
        <v>6064053</v>
      </c>
      <c r="E60" s="39">
        <f>SUM(E61:E63)</f>
        <v>1619356</v>
      </c>
    </row>
    <row r="61" spans="1:5" s="358" customFormat="1" ht="12" customHeight="1">
      <c r="A61" s="355" t="s">
        <v>220</v>
      </c>
      <c r="B61" s="42" t="s">
        <v>221</v>
      </c>
      <c r="C61" s="66"/>
      <c r="D61" s="363"/>
      <c r="E61" s="68"/>
    </row>
    <row r="62" spans="1:5" s="358" customFormat="1" ht="12" customHeight="1">
      <c r="A62" s="357" t="s">
        <v>222</v>
      </c>
      <c r="B62" s="46" t="s">
        <v>223</v>
      </c>
      <c r="C62" s="62">
        <v>6064053</v>
      </c>
      <c r="D62" s="62">
        <v>6064053</v>
      </c>
      <c r="E62" s="62">
        <v>1619356</v>
      </c>
    </row>
    <row r="63" spans="1:5" s="358" customFormat="1" ht="12" customHeight="1">
      <c r="A63" s="357" t="s">
        <v>224</v>
      </c>
      <c r="B63" s="46" t="s">
        <v>225</v>
      </c>
      <c r="C63" s="66"/>
      <c r="D63" s="363"/>
      <c r="E63" s="68"/>
    </row>
    <row r="64" spans="1:5" s="358" customFormat="1" ht="12" customHeight="1">
      <c r="A64" s="359" t="s">
        <v>226</v>
      </c>
      <c r="B64" s="58" t="s">
        <v>227</v>
      </c>
      <c r="C64" s="66"/>
      <c r="D64" s="363"/>
      <c r="E64" s="68"/>
    </row>
    <row r="65" spans="1:5" s="358" customFormat="1" ht="12" customHeight="1">
      <c r="A65" s="88" t="s">
        <v>365</v>
      </c>
      <c r="B65" s="37" t="s">
        <v>229</v>
      </c>
      <c r="C65" s="59">
        <f>+C8+C15+C22+C29+C37+C49+C55+C60</f>
        <v>488042402</v>
      </c>
      <c r="D65" s="123">
        <f>+D8+D15+D22+D29+D37+D49+D55+D60</f>
        <v>419907764</v>
      </c>
      <c r="E65" s="60">
        <f>+E8+E15+E22+E29+E37+E49+E55+E60</f>
        <v>408956601</v>
      </c>
    </row>
    <row r="66" spans="1:5" s="358" customFormat="1" ht="12" customHeight="1">
      <c r="A66" s="365" t="s">
        <v>574</v>
      </c>
      <c r="B66" s="51" t="s">
        <v>231</v>
      </c>
      <c r="C66" s="38">
        <f>SUM(C67:C69)</f>
        <v>0</v>
      </c>
      <c r="D66" s="117">
        <f>SUM(D67:D69)</f>
        <v>0</v>
      </c>
      <c r="E66" s="39">
        <f>SUM(E67:E69)</f>
        <v>0</v>
      </c>
    </row>
    <row r="67" spans="1:5" s="358" customFormat="1" ht="12" customHeight="1">
      <c r="A67" s="355" t="s">
        <v>232</v>
      </c>
      <c r="B67" s="42" t="s">
        <v>233</v>
      </c>
      <c r="C67" s="66"/>
      <c r="D67" s="363"/>
      <c r="E67" s="68"/>
    </row>
    <row r="68" spans="1:5" s="358" customFormat="1" ht="12" customHeight="1">
      <c r="A68" s="357" t="s">
        <v>234</v>
      </c>
      <c r="B68" s="46" t="s">
        <v>235</v>
      </c>
      <c r="C68" s="66"/>
      <c r="D68" s="363"/>
      <c r="E68" s="68"/>
    </row>
    <row r="69" spans="1:5" s="358" customFormat="1" ht="12" customHeight="1">
      <c r="A69" s="366" t="s">
        <v>236</v>
      </c>
      <c r="B69" s="367" t="s">
        <v>594</v>
      </c>
      <c r="C69" s="368"/>
      <c r="D69" s="369"/>
      <c r="E69" s="370"/>
    </row>
    <row r="70" spans="1:5" s="358" customFormat="1" ht="12" customHeight="1">
      <c r="A70" s="365" t="s">
        <v>238</v>
      </c>
      <c r="B70" s="51" t="s">
        <v>239</v>
      </c>
      <c r="C70" s="38">
        <f>SUM(C71:C74)</f>
        <v>0</v>
      </c>
      <c r="D70" s="38">
        <f>SUM(D71:D74)</f>
        <v>0</v>
      </c>
      <c r="E70" s="39">
        <f>SUM(E71:E74)</f>
        <v>0</v>
      </c>
    </row>
    <row r="71" spans="1:5" s="358" customFormat="1" ht="12" customHeight="1">
      <c r="A71" s="355" t="s">
        <v>240</v>
      </c>
      <c r="B71" s="72" t="s">
        <v>241</v>
      </c>
      <c r="C71" s="66"/>
      <c r="D71" s="66"/>
      <c r="E71" s="68"/>
    </row>
    <row r="72" spans="1:5" s="358" customFormat="1" ht="12" customHeight="1">
      <c r="A72" s="357" t="s">
        <v>242</v>
      </c>
      <c r="B72" s="72" t="s">
        <v>243</v>
      </c>
      <c r="C72" s="66"/>
      <c r="D72" s="66"/>
      <c r="E72" s="68"/>
    </row>
    <row r="73" spans="1:5" s="358" customFormat="1" ht="12" customHeight="1">
      <c r="A73" s="357" t="s">
        <v>244</v>
      </c>
      <c r="B73" s="72" t="s">
        <v>245</v>
      </c>
      <c r="C73" s="66"/>
      <c r="D73" s="66"/>
      <c r="E73" s="68"/>
    </row>
    <row r="74" spans="1:5" s="358" customFormat="1" ht="12" customHeight="1">
      <c r="A74" s="359" t="s">
        <v>246</v>
      </c>
      <c r="B74" s="73" t="s">
        <v>247</v>
      </c>
      <c r="C74" s="66"/>
      <c r="D74" s="66"/>
      <c r="E74" s="68"/>
    </row>
    <row r="75" spans="1:5" s="358" customFormat="1" ht="12" customHeight="1">
      <c r="A75" s="365" t="s">
        <v>248</v>
      </c>
      <c r="B75" s="51" t="s">
        <v>249</v>
      </c>
      <c r="C75" s="38">
        <f>SUM(C76:C77)</f>
        <v>171981058</v>
      </c>
      <c r="D75" s="38">
        <f>SUM(D76:D77)</f>
        <v>171981058</v>
      </c>
      <c r="E75" s="39">
        <f>SUM(E76:E77)</f>
        <v>171981058</v>
      </c>
    </row>
    <row r="76" spans="1:5" s="358" customFormat="1" ht="12" customHeight="1">
      <c r="A76" s="355" t="s">
        <v>250</v>
      </c>
      <c r="B76" s="42" t="s">
        <v>251</v>
      </c>
      <c r="C76" s="62">
        <v>171981058</v>
      </c>
      <c r="D76" s="62">
        <v>171981058</v>
      </c>
      <c r="E76" s="68">
        <v>171981058</v>
      </c>
    </row>
    <row r="77" spans="1:5" s="358" customFormat="1" ht="12" customHeight="1">
      <c r="A77" s="359" t="s">
        <v>252</v>
      </c>
      <c r="B77" s="58" t="s">
        <v>253</v>
      </c>
      <c r="C77" s="66"/>
      <c r="D77" s="66"/>
      <c r="E77" s="68"/>
    </row>
    <row r="78" spans="1:5" s="356" customFormat="1" ht="12" customHeight="1">
      <c r="A78" s="365" t="s">
        <v>254</v>
      </c>
      <c r="B78" s="51" t="s">
        <v>255</v>
      </c>
      <c r="C78" s="38">
        <f>SUM(C79:C81)</f>
        <v>0</v>
      </c>
      <c r="D78" s="38">
        <f>SUM(D79:D81)</f>
        <v>4112627</v>
      </c>
      <c r="E78" s="39">
        <f>SUM(E79:E81)</f>
        <v>4052052</v>
      </c>
    </row>
    <row r="79" spans="1:5" s="358" customFormat="1" ht="12" customHeight="1">
      <c r="A79" s="355" t="s">
        <v>256</v>
      </c>
      <c r="B79" s="42" t="s">
        <v>257</v>
      </c>
      <c r="C79" s="66"/>
      <c r="D79" s="62">
        <v>4112627</v>
      </c>
      <c r="E79" s="62">
        <v>4052052</v>
      </c>
    </row>
    <row r="80" spans="1:5" s="358" customFormat="1" ht="12" customHeight="1">
      <c r="A80" s="357" t="s">
        <v>258</v>
      </c>
      <c r="B80" s="46" t="s">
        <v>259</v>
      </c>
      <c r="C80" s="66"/>
      <c r="D80" s="66"/>
      <c r="E80" s="68"/>
    </row>
    <row r="81" spans="1:5" s="358" customFormat="1" ht="12" customHeight="1">
      <c r="A81" s="359" t="s">
        <v>260</v>
      </c>
      <c r="B81" s="58" t="s">
        <v>261</v>
      </c>
      <c r="C81" s="66"/>
      <c r="D81" s="66"/>
      <c r="E81" s="68"/>
    </row>
    <row r="82" spans="1:5" s="358" customFormat="1" ht="12" customHeight="1">
      <c r="A82" s="365" t="s">
        <v>262</v>
      </c>
      <c r="B82" s="51" t="s">
        <v>263</v>
      </c>
      <c r="C82" s="38">
        <f>SUM(C83:C86)</f>
        <v>0</v>
      </c>
      <c r="D82" s="38">
        <f>SUM(D83:D86)</f>
        <v>0</v>
      </c>
      <c r="E82" s="39">
        <f>SUM(E83:E86)</f>
        <v>0</v>
      </c>
    </row>
    <row r="83" spans="1:5" s="358" customFormat="1" ht="12" customHeight="1">
      <c r="A83" s="371" t="s">
        <v>264</v>
      </c>
      <c r="B83" s="42" t="s">
        <v>265</v>
      </c>
      <c r="C83" s="66"/>
      <c r="D83" s="66"/>
      <c r="E83" s="68"/>
    </row>
    <row r="84" spans="1:5" s="358" customFormat="1" ht="12" customHeight="1">
      <c r="A84" s="372" t="s">
        <v>266</v>
      </c>
      <c r="B84" s="46" t="s">
        <v>267</v>
      </c>
      <c r="C84" s="66"/>
      <c r="D84" s="66"/>
      <c r="E84" s="68"/>
    </row>
    <row r="85" spans="1:5" s="358" customFormat="1" ht="12" customHeight="1">
      <c r="A85" s="372" t="s">
        <v>268</v>
      </c>
      <c r="B85" s="46" t="s">
        <v>269</v>
      </c>
      <c r="C85" s="66"/>
      <c r="D85" s="66"/>
      <c r="E85" s="68"/>
    </row>
    <row r="86" spans="1:5" s="356" customFormat="1" ht="12" customHeight="1">
      <c r="A86" s="373" t="s">
        <v>270</v>
      </c>
      <c r="B86" s="58" t="s">
        <v>271</v>
      </c>
      <c r="C86" s="66"/>
      <c r="D86" s="66"/>
      <c r="E86" s="68"/>
    </row>
    <row r="87" spans="1:5" s="356" customFormat="1" ht="12" customHeight="1">
      <c r="A87" s="365" t="s">
        <v>272</v>
      </c>
      <c r="B87" s="51" t="s">
        <v>273</v>
      </c>
      <c r="C87" s="78"/>
      <c r="D87" s="78"/>
      <c r="E87" s="79"/>
    </row>
    <row r="88" spans="1:5" s="356" customFormat="1" ht="12" customHeight="1">
      <c r="A88" s="365" t="s">
        <v>575</v>
      </c>
      <c r="B88" s="51" t="s">
        <v>275</v>
      </c>
      <c r="C88" s="78"/>
      <c r="D88" s="78"/>
      <c r="E88" s="79"/>
    </row>
    <row r="89" spans="1:5" s="356" customFormat="1" ht="12" customHeight="1">
      <c r="A89" s="365" t="s">
        <v>576</v>
      </c>
      <c r="B89" s="80" t="s">
        <v>277</v>
      </c>
      <c r="C89" s="59">
        <f>+C66+C70+C75+C78+C82+C88+C87</f>
        <v>171981058</v>
      </c>
      <c r="D89" s="59">
        <f>+D66+D70+D75+D78+D82+D88+D87</f>
        <v>176093685</v>
      </c>
      <c r="E89" s="60">
        <f>+E66+E70+E75+E78+E82+E88+E87</f>
        <v>176033110</v>
      </c>
    </row>
    <row r="90" spans="1:5" s="356" customFormat="1" ht="12" customHeight="1">
      <c r="A90" s="374" t="s">
        <v>577</v>
      </c>
      <c r="B90" s="82" t="s">
        <v>578</v>
      </c>
      <c r="C90" s="59">
        <f>+C65+C89</f>
        <v>660023460</v>
      </c>
      <c r="D90" s="59">
        <f>+D65+D89</f>
        <v>596001449</v>
      </c>
      <c r="E90" s="60">
        <f>+E65+E89</f>
        <v>584989711</v>
      </c>
    </row>
    <row r="91" spans="1:3" s="358" customFormat="1" ht="15" customHeight="1">
      <c r="A91" s="375"/>
      <c r="B91" s="376"/>
      <c r="C91" s="377"/>
    </row>
    <row r="92" spans="1:5" s="354" customFormat="1" ht="16.5" customHeight="1">
      <c r="A92" s="849" t="s">
        <v>381</v>
      </c>
      <c r="B92" s="849"/>
      <c r="C92" s="849"/>
      <c r="D92" s="849"/>
      <c r="E92" s="849"/>
    </row>
    <row r="93" spans="1:5" s="378" customFormat="1" ht="12" customHeight="1">
      <c r="A93" s="32" t="s">
        <v>114</v>
      </c>
      <c r="B93" s="92" t="s">
        <v>579</v>
      </c>
      <c r="C93" s="93">
        <f>+C94+C95+C96+C97+C98+C111</f>
        <v>179281432</v>
      </c>
      <c r="D93" s="93">
        <f>+D94+D95+D96+D97+D98+D111</f>
        <v>195782661</v>
      </c>
      <c r="E93" s="94">
        <f>+E94+E95+E96+E97+E98+E111</f>
        <v>117881805</v>
      </c>
    </row>
    <row r="94" spans="1:5" ht="12" customHeight="1">
      <c r="A94" s="379" t="s">
        <v>116</v>
      </c>
      <c r="B94" s="96" t="s">
        <v>284</v>
      </c>
      <c r="C94" s="97">
        <v>9310380</v>
      </c>
      <c r="D94" s="97">
        <v>12490305</v>
      </c>
      <c r="E94" s="55">
        <v>12180696</v>
      </c>
    </row>
    <row r="95" spans="1:5" ht="12" customHeight="1">
      <c r="A95" s="357" t="s">
        <v>118</v>
      </c>
      <c r="B95" s="99" t="s">
        <v>285</v>
      </c>
      <c r="C95" s="44">
        <v>1723000</v>
      </c>
      <c r="D95" s="44">
        <v>2247978</v>
      </c>
      <c r="E95" s="55">
        <v>2051133</v>
      </c>
    </row>
    <row r="96" spans="1:5" ht="12" customHeight="1">
      <c r="A96" s="357" t="s">
        <v>120</v>
      </c>
      <c r="B96" s="99" t="s">
        <v>286</v>
      </c>
      <c r="C96" s="55">
        <v>9975692</v>
      </c>
      <c r="D96" s="55">
        <v>39484298</v>
      </c>
      <c r="E96" s="55">
        <v>33323037</v>
      </c>
    </row>
    <row r="97" spans="1:5" ht="12" customHeight="1">
      <c r="A97" s="357" t="s">
        <v>122</v>
      </c>
      <c r="B97" s="100" t="s">
        <v>287</v>
      </c>
      <c r="C97" s="55">
        <v>10646000</v>
      </c>
      <c r="D97" s="55">
        <v>12089760</v>
      </c>
      <c r="E97" s="55">
        <v>8152744</v>
      </c>
    </row>
    <row r="98" spans="1:5" ht="12" customHeight="1">
      <c r="A98" s="357" t="s">
        <v>288</v>
      </c>
      <c r="B98" s="101" t="s">
        <v>289</v>
      </c>
      <c r="C98" s="55">
        <v>48453208</v>
      </c>
      <c r="D98" s="55">
        <v>63715310</v>
      </c>
      <c r="E98" s="55">
        <v>62174195</v>
      </c>
    </row>
    <row r="99" spans="1:5" ht="12" customHeight="1">
      <c r="A99" s="357" t="s">
        <v>126</v>
      </c>
      <c r="B99" s="99" t="s">
        <v>580</v>
      </c>
      <c r="C99" s="55">
        <v>1702797</v>
      </c>
      <c r="D99" s="55">
        <v>2842770</v>
      </c>
      <c r="E99" s="55">
        <v>2842770</v>
      </c>
    </row>
    <row r="100" spans="1:5" ht="12" customHeight="1">
      <c r="A100" s="357" t="s">
        <v>291</v>
      </c>
      <c r="B100" s="103" t="s">
        <v>292</v>
      </c>
      <c r="C100" s="55"/>
      <c r="D100" s="55"/>
      <c r="E100" s="55"/>
    </row>
    <row r="101" spans="1:5" ht="12" customHeight="1">
      <c r="A101" s="357" t="s">
        <v>293</v>
      </c>
      <c r="B101" s="103" t="s">
        <v>294</v>
      </c>
      <c r="C101" s="55"/>
      <c r="D101" s="55"/>
      <c r="E101" s="55"/>
    </row>
    <row r="102" spans="1:5" ht="12" customHeight="1">
      <c r="A102" s="357" t="s">
        <v>295</v>
      </c>
      <c r="B102" s="103" t="s">
        <v>296</v>
      </c>
      <c r="C102" s="55"/>
      <c r="D102" s="55"/>
      <c r="E102" s="55"/>
    </row>
    <row r="103" spans="1:5" ht="12" customHeight="1">
      <c r="A103" s="357" t="s">
        <v>297</v>
      </c>
      <c r="B103" s="104" t="s">
        <v>298</v>
      </c>
      <c r="C103" s="55"/>
      <c r="D103" s="55"/>
      <c r="E103" s="55"/>
    </row>
    <row r="104" spans="1:5" ht="12" customHeight="1">
      <c r="A104" s="357" t="s">
        <v>299</v>
      </c>
      <c r="B104" s="104" t="s">
        <v>300</v>
      </c>
      <c r="C104" s="55"/>
      <c r="D104" s="55"/>
      <c r="E104" s="55"/>
    </row>
    <row r="105" spans="1:5" ht="12" customHeight="1">
      <c r="A105" s="357" t="s">
        <v>301</v>
      </c>
      <c r="B105" s="103" t="s">
        <v>302</v>
      </c>
      <c r="C105" s="55">
        <v>34165411</v>
      </c>
      <c r="D105" s="55">
        <v>35011540</v>
      </c>
      <c r="E105" s="55">
        <v>34694425</v>
      </c>
    </row>
    <row r="106" spans="1:5" ht="12" customHeight="1">
      <c r="A106" s="357" t="s">
        <v>303</v>
      </c>
      <c r="B106" s="103" t="s">
        <v>304</v>
      </c>
      <c r="C106" s="55"/>
      <c r="D106" s="55"/>
      <c r="E106" s="55"/>
    </row>
    <row r="107" spans="1:5" ht="12" customHeight="1">
      <c r="A107" s="357" t="s">
        <v>305</v>
      </c>
      <c r="B107" s="104" t="s">
        <v>306</v>
      </c>
      <c r="C107" s="55"/>
      <c r="D107" s="55"/>
      <c r="E107" s="55"/>
    </row>
    <row r="108" spans="1:5" ht="12" customHeight="1">
      <c r="A108" s="380" t="s">
        <v>307</v>
      </c>
      <c r="B108" s="102" t="s">
        <v>308</v>
      </c>
      <c r="C108" s="55"/>
      <c r="D108" s="55"/>
      <c r="E108" s="55"/>
    </row>
    <row r="109" spans="1:5" ht="12" customHeight="1">
      <c r="A109" s="357" t="s">
        <v>309</v>
      </c>
      <c r="B109" s="102" t="s">
        <v>310</v>
      </c>
      <c r="C109" s="55"/>
      <c r="D109" s="55"/>
      <c r="E109" s="55"/>
    </row>
    <row r="110" spans="1:5" ht="12" customHeight="1">
      <c r="A110" s="357" t="s">
        <v>311</v>
      </c>
      <c r="B110" s="104" t="s">
        <v>312</v>
      </c>
      <c r="C110" s="44">
        <v>12585000</v>
      </c>
      <c r="D110" s="44">
        <v>25861000</v>
      </c>
      <c r="E110" s="55">
        <v>24637000</v>
      </c>
    </row>
    <row r="111" spans="1:5" ht="12" customHeight="1">
      <c r="A111" s="357" t="s">
        <v>313</v>
      </c>
      <c r="B111" s="100" t="s">
        <v>314</v>
      </c>
      <c r="C111" s="44">
        <v>99173152</v>
      </c>
      <c r="D111" s="44">
        <v>65755010</v>
      </c>
      <c r="E111" s="55"/>
    </row>
    <row r="112" spans="1:5" ht="12" customHeight="1">
      <c r="A112" s="359" t="s">
        <v>315</v>
      </c>
      <c r="B112" s="99" t="s">
        <v>581</v>
      </c>
      <c r="C112" s="55">
        <v>92872967</v>
      </c>
      <c r="D112" s="55">
        <v>59454825</v>
      </c>
      <c r="E112" s="55">
        <v>0</v>
      </c>
    </row>
    <row r="113" spans="1:5" ht="12" customHeight="1">
      <c r="A113" s="366" t="s">
        <v>317</v>
      </c>
      <c r="B113" s="381" t="s">
        <v>582</v>
      </c>
      <c r="C113" s="108">
        <v>6300185</v>
      </c>
      <c r="D113" s="108">
        <v>6300185</v>
      </c>
      <c r="E113" s="55"/>
    </row>
    <row r="114" spans="1:5" ht="12" customHeight="1">
      <c r="A114" s="88" t="s">
        <v>128</v>
      </c>
      <c r="B114" s="141" t="s">
        <v>319</v>
      </c>
      <c r="C114" s="38">
        <f>+C115+C117+C119</f>
        <v>186051688</v>
      </c>
      <c r="D114" s="117">
        <f>+D115+D117+D119</f>
        <v>102946874</v>
      </c>
      <c r="E114" s="39">
        <f>+E115+E117+E119</f>
        <v>91025995</v>
      </c>
    </row>
    <row r="115" spans="1:5" ht="12" customHeight="1">
      <c r="A115" s="355" t="s">
        <v>130</v>
      </c>
      <c r="B115" s="99" t="s">
        <v>320</v>
      </c>
      <c r="C115" s="43">
        <v>161156602</v>
      </c>
      <c r="D115" s="43">
        <v>57568547</v>
      </c>
      <c r="E115" s="44">
        <v>50629243</v>
      </c>
    </row>
    <row r="116" spans="1:5" ht="12" customHeight="1">
      <c r="A116" s="355" t="s">
        <v>132</v>
      </c>
      <c r="B116" s="114" t="s">
        <v>321</v>
      </c>
      <c r="C116" s="43">
        <v>143309282</v>
      </c>
      <c r="D116" s="43">
        <v>56669456</v>
      </c>
      <c r="E116" s="44">
        <v>44436177</v>
      </c>
    </row>
    <row r="117" spans="1:5" ht="12" customHeight="1">
      <c r="A117" s="355" t="s">
        <v>134</v>
      </c>
      <c r="B117" s="114" t="s">
        <v>322</v>
      </c>
      <c r="C117" s="44">
        <v>24895086</v>
      </c>
      <c r="D117" s="44">
        <v>45378327</v>
      </c>
      <c r="E117" s="44">
        <v>40396752</v>
      </c>
    </row>
    <row r="118" spans="1:5" ht="12" customHeight="1">
      <c r="A118" s="355" t="s">
        <v>136</v>
      </c>
      <c r="B118" s="114" t="s">
        <v>323</v>
      </c>
      <c r="C118" s="50"/>
      <c r="D118" s="118"/>
      <c r="E118" s="50"/>
    </row>
    <row r="119" spans="1:5" ht="12" customHeight="1">
      <c r="A119" s="355" t="s">
        <v>138</v>
      </c>
      <c r="B119" s="49" t="s">
        <v>324</v>
      </c>
      <c r="C119" s="54"/>
      <c r="D119" s="118"/>
      <c r="E119" s="50"/>
    </row>
    <row r="120" spans="1:5" ht="12" customHeight="1">
      <c r="A120" s="355" t="s">
        <v>140</v>
      </c>
      <c r="B120" s="47" t="s">
        <v>325</v>
      </c>
      <c r="C120" s="54"/>
      <c r="D120" s="118"/>
      <c r="E120" s="50"/>
    </row>
    <row r="121" spans="1:5" ht="12" customHeight="1">
      <c r="A121" s="355" t="s">
        <v>326</v>
      </c>
      <c r="B121" s="115" t="s">
        <v>327</v>
      </c>
      <c r="C121" s="54"/>
      <c r="D121" s="118"/>
      <c r="E121" s="50"/>
    </row>
    <row r="122" spans="1:5" ht="12" customHeight="1">
      <c r="A122" s="355" t="s">
        <v>328</v>
      </c>
      <c r="B122" s="104" t="s">
        <v>300</v>
      </c>
      <c r="C122" s="54"/>
      <c r="D122" s="118"/>
      <c r="E122" s="50"/>
    </row>
    <row r="123" spans="1:5" ht="12" customHeight="1">
      <c r="A123" s="355" t="s">
        <v>329</v>
      </c>
      <c r="B123" s="104" t="s">
        <v>330</v>
      </c>
      <c r="C123" s="54"/>
      <c r="D123" s="118"/>
      <c r="E123" s="50"/>
    </row>
    <row r="124" spans="1:5" ht="12" customHeight="1">
      <c r="A124" s="355" t="s">
        <v>331</v>
      </c>
      <c r="B124" s="104" t="s">
        <v>332</v>
      </c>
      <c r="C124" s="54"/>
      <c r="D124" s="118"/>
      <c r="E124" s="50"/>
    </row>
    <row r="125" spans="1:5" ht="12" customHeight="1">
      <c r="A125" s="355" t="s">
        <v>333</v>
      </c>
      <c r="B125" s="104" t="s">
        <v>306</v>
      </c>
      <c r="C125" s="54"/>
      <c r="D125" s="118"/>
      <c r="E125" s="50"/>
    </row>
    <row r="126" spans="1:5" ht="12" customHeight="1">
      <c r="A126" s="355" t="s">
        <v>334</v>
      </c>
      <c r="B126" s="104" t="s">
        <v>335</v>
      </c>
      <c r="C126" s="54"/>
      <c r="D126" s="118"/>
      <c r="E126" s="50"/>
    </row>
    <row r="127" spans="1:5" ht="12" customHeight="1">
      <c r="A127" s="380" t="s">
        <v>336</v>
      </c>
      <c r="B127" s="104" t="s">
        <v>337</v>
      </c>
      <c r="C127" s="56"/>
      <c r="D127" s="147"/>
      <c r="E127" s="57"/>
    </row>
    <row r="128" spans="1:5" ht="12" customHeight="1">
      <c r="A128" s="88" t="s">
        <v>142</v>
      </c>
      <c r="B128" s="116" t="s">
        <v>338</v>
      </c>
      <c r="C128" s="38">
        <f>+C93+C114</f>
        <v>365333120</v>
      </c>
      <c r="D128" s="117">
        <f>+D93+D114</f>
        <v>298729535</v>
      </c>
      <c r="E128" s="39">
        <f>+E93+E114</f>
        <v>208907800</v>
      </c>
    </row>
    <row r="129" spans="1:5" ht="12" customHeight="1">
      <c r="A129" s="88" t="s">
        <v>339</v>
      </c>
      <c r="B129" s="116" t="s">
        <v>583</v>
      </c>
      <c r="C129" s="38">
        <f>+C130+C131+C132</f>
        <v>0</v>
      </c>
      <c r="D129" s="117">
        <f>+D130+D131+D132</f>
        <v>0</v>
      </c>
      <c r="E129" s="39">
        <f>+E130+E131+E132</f>
        <v>0</v>
      </c>
    </row>
    <row r="130" spans="1:5" s="378" customFormat="1" ht="12" customHeight="1">
      <c r="A130" s="355" t="s">
        <v>158</v>
      </c>
      <c r="B130" s="119" t="s">
        <v>584</v>
      </c>
      <c r="C130" s="54"/>
      <c r="D130" s="118"/>
      <c r="E130" s="50"/>
    </row>
    <row r="131" spans="1:5" ht="12" customHeight="1">
      <c r="A131" s="355" t="s">
        <v>160</v>
      </c>
      <c r="B131" s="119" t="s">
        <v>342</v>
      </c>
      <c r="C131" s="54"/>
      <c r="D131" s="118"/>
      <c r="E131" s="50"/>
    </row>
    <row r="132" spans="1:5" ht="12" customHeight="1">
      <c r="A132" s="380" t="s">
        <v>162</v>
      </c>
      <c r="B132" s="124" t="s">
        <v>585</v>
      </c>
      <c r="C132" s="54"/>
      <c r="D132" s="118"/>
      <c r="E132" s="50"/>
    </row>
    <row r="133" spans="1:5" ht="12" customHeight="1">
      <c r="A133" s="88" t="s">
        <v>172</v>
      </c>
      <c r="B133" s="116" t="s">
        <v>344</v>
      </c>
      <c r="C133" s="38">
        <f>+C134+C135+C136+C137+C138+C139</f>
        <v>0</v>
      </c>
      <c r="D133" s="117">
        <f>+D134+D135+D136+D137+D138+D139</f>
        <v>0</v>
      </c>
      <c r="E133" s="39">
        <f>+E134+E135+E136+E137+E138+E139</f>
        <v>0</v>
      </c>
    </row>
    <row r="134" spans="1:5" ht="12" customHeight="1">
      <c r="A134" s="355" t="s">
        <v>174</v>
      </c>
      <c r="B134" s="119" t="s">
        <v>345</v>
      </c>
      <c r="C134" s="54"/>
      <c r="D134" s="118"/>
      <c r="E134" s="50"/>
    </row>
    <row r="135" spans="1:5" ht="12" customHeight="1">
      <c r="A135" s="355" t="s">
        <v>176</v>
      </c>
      <c r="B135" s="119" t="s">
        <v>346</v>
      </c>
      <c r="C135" s="54"/>
      <c r="D135" s="118"/>
      <c r="E135" s="50"/>
    </row>
    <row r="136" spans="1:5" ht="12" customHeight="1">
      <c r="A136" s="355" t="s">
        <v>178</v>
      </c>
      <c r="B136" s="119" t="s">
        <v>347</v>
      </c>
      <c r="C136" s="54"/>
      <c r="D136" s="118"/>
      <c r="E136" s="50"/>
    </row>
    <row r="137" spans="1:5" ht="12" customHeight="1">
      <c r="A137" s="355" t="s">
        <v>180</v>
      </c>
      <c r="B137" s="119" t="s">
        <v>586</v>
      </c>
      <c r="C137" s="54"/>
      <c r="D137" s="118"/>
      <c r="E137" s="50"/>
    </row>
    <row r="138" spans="1:5" ht="12" customHeight="1">
      <c r="A138" s="355" t="s">
        <v>182</v>
      </c>
      <c r="B138" s="119" t="s">
        <v>349</v>
      </c>
      <c r="C138" s="54"/>
      <c r="D138" s="118"/>
      <c r="E138" s="50"/>
    </row>
    <row r="139" spans="1:5" s="378" customFormat="1" ht="12" customHeight="1">
      <c r="A139" s="380" t="s">
        <v>184</v>
      </c>
      <c r="B139" s="124" t="s">
        <v>350</v>
      </c>
      <c r="C139" s="54"/>
      <c r="D139" s="118"/>
      <c r="E139" s="50"/>
    </row>
    <row r="140" spans="1:11" ht="12" customHeight="1">
      <c r="A140" s="88" t="s">
        <v>196</v>
      </c>
      <c r="B140" s="116" t="s">
        <v>587</v>
      </c>
      <c r="C140" s="59">
        <f>+C141+C142+C144+C145+C143</f>
        <v>4052052</v>
      </c>
      <c r="D140" s="123">
        <f>+D141+D142+D144+D145+D143</f>
        <v>4052052</v>
      </c>
      <c r="E140" s="60">
        <f>+E141+E142+E144+E145+E143</f>
        <v>4052052</v>
      </c>
      <c r="K140" s="382"/>
    </row>
    <row r="141" spans="1:5" ht="12.75">
      <c r="A141" s="355" t="s">
        <v>198</v>
      </c>
      <c r="B141" s="119" t="s">
        <v>352</v>
      </c>
      <c r="C141" s="54"/>
      <c r="D141" s="118"/>
      <c r="E141" s="50"/>
    </row>
    <row r="142" spans="1:5" ht="12" customHeight="1">
      <c r="A142" s="355" t="s">
        <v>200</v>
      </c>
      <c r="B142" s="119" t="s">
        <v>353</v>
      </c>
      <c r="C142" s="54">
        <v>4052052</v>
      </c>
      <c r="D142" s="118">
        <v>4052052</v>
      </c>
      <c r="E142" s="50">
        <v>4052052</v>
      </c>
    </row>
    <row r="143" spans="1:5" ht="12" customHeight="1">
      <c r="A143" s="355" t="s">
        <v>202</v>
      </c>
      <c r="B143" s="119" t="s">
        <v>588</v>
      </c>
      <c r="C143" s="54"/>
      <c r="D143" s="118"/>
      <c r="E143" s="50"/>
    </row>
    <row r="144" spans="1:5" s="378" customFormat="1" ht="12" customHeight="1">
      <c r="A144" s="355" t="s">
        <v>204</v>
      </c>
      <c r="B144" s="119" t="s">
        <v>354</v>
      </c>
      <c r="C144" s="54"/>
      <c r="D144" s="118"/>
      <c r="E144" s="50"/>
    </row>
    <row r="145" spans="1:5" s="378" customFormat="1" ht="12" customHeight="1">
      <c r="A145" s="380" t="s">
        <v>206</v>
      </c>
      <c r="B145" s="124" t="s">
        <v>355</v>
      </c>
      <c r="C145" s="54"/>
      <c r="D145" s="118"/>
      <c r="E145" s="50"/>
    </row>
    <row r="146" spans="1:5" s="378" customFormat="1" ht="12" customHeight="1">
      <c r="A146" s="88" t="s">
        <v>356</v>
      </c>
      <c r="B146" s="116" t="s">
        <v>357</v>
      </c>
      <c r="C146" s="125">
        <f>+C147+C148+C149+C150+C151</f>
        <v>0</v>
      </c>
      <c r="D146" s="126">
        <f>+D147+D148+D149+D150+D151</f>
        <v>0</v>
      </c>
      <c r="E146" s="127">
        <f>+E147+E148+E149+E150+E151</f>
        <v>0</v>
      </c>
    </row>
    <row r="147" spans="1:5" s="378" customFormat="1" ht="12" customHeight="1">
      <c r="A147" s="355" t="s">
        <v>210</v>
      </c>
      <c r="B147" s="119" t="s">
        <v>358</v>
      </c>
      <c r="C147" s="54"/>
      <c r="D147" s="118"/>
      <c r="E147" s="50"/>
    </row>
    <row r="148" spans="1:5" s="378" customFormat="1" ht="12" customHeight="1">
      <c r="A148" s="355" t="s">
        <v>212</v>
      </c>
      <c r="B148" s="119" t="s">
        <v>359</v>
      </c>
      <c r="C148" s="54"/>
      <c r="D148" s="118"/>
      <c r="E148" s="50"/>
    </row>
    <row r="149" spans="1:5" s="378" customFormat="1" ht="12" customHeight="1">
      <c r="A149" s="355" t="s">
        <v>214</v>
      </c>
      <c r="B149" s="119" t="s">
        <v>360</v>
      </c>
      <c r="C149" s="54"/>
      <c r="D149" s="118"/>
      <c r="E149" s="50"/>
    </row>
    <row r="150" spans="1:5" s="378" customFormat="1" ht="12" customHeight="1">
      <c r="A150" s="355" t="s">
        <v>216</v>
      </c>
      <c r="B150" s="119" t="s">
        <v>589</v>
      </c>
      <c r="C150" s="54"/>
      <c r="D150" s="118"/>
      <c r="E150" s="50"/>
    </row>
    <row r="151" spans="1:5" ht="12.75" customHeight="1">
      <c r="A151" s="380" t="s">
        <v>362</v>
      </c>
      <c r="B151" s="124" t="s">
        <v>363</v>
      </c>
      <c r="C151" s="56"/>
      <c r="D151" s="147"/>
      <c r="E151" s="57"/>
    </row>
    <row r="152" spans="1:5" ht="12.75" customHeight="1">
      <c r="A152" s="384" t="s">
        <v>218</v>
      </c>
      <c r="B152" s="116" t="s">
        <v>364</v>
      </c>
      <c r="C152" s="125"/>
      <c r="D152" s="126"/>
      <c r="E152" s="127"/>
    </row>
    <row r="153" spans="1:5" ht="12.75" customHeight="1">
      <c r="A153" s="384" t="s">
        <v>365</v>
      </c>
      <c r="B153" s="116" t="s">
        <v>366</v>
      </c>
      <c r="C153" s="125"/>
      <c r="D153" s="126"/>
      <c r="E153" s="127"/>
    </row>
    <row r="154" spans="1:5" ht="12" customHeight="1">
      <c r="A154" s="88" t="s">
        <v>367</v>
      </c>
      <c r="B154" s="116" t="s">
        <v>368</v>
      </c>
      <c r="C154" s="131">
        <f>+C129+C133+C140+C146+C152+C153</f>
        <v>4052052</v>
      </c>
      <c r="D154" s="132">
        <f>+D129+D133+D140+D146+D152+D153</f>
        <v>4052052</v>
      </c>
      <c r="E154" s="133">
        <f>+E129+E133+E140+E146+E152+E153</f>
        <v>4052052</v>
      </c>
    </row>
    <row r="155" spans="1:5" ht="15" customHeight="1">
      <c r="A155" s="385" t="s">
        <v>369</v>
      </c>
      <c r="B155" s="137" t="s">
        <v>370</v>
      </c>
      <c r="C155" s="131">
        <f>+C128+C154</f>
        <v>369385172</v>
      </c>
      <c r="D155" s="132">
        <f>+D128+D154</f>
        <v>302781587</v>
      </c>
      <c r="E155" s="133">
        <f>+E128+E154</f>
        <v>212959852</v>
      </c>
    </row>
    <row r="156" spans="3:5" ht="12.75">
      <c r="C156" s="386">
        <f>C90-C155</f>
        <v>290638288</v>
      </c>
      <c r="D156" s="386">
        <f>D90-D155</f>
        <v>293219862</v>
      </c>
      <c r="E156" s="333"/>
    </row>
    <row r="157" spans="1:5" ht="15" customHeight="1">
      <c r="A157" s="391" t="s">
        <v>590</v>
      </c>
      <c r="B157" s="392"/>
      <c r="C157" s="389">
        <v>7</v>
      </c>
      <c r="D157" s="389">
        <v>7</v>
      </c>
      <c r="E157" s="390">
        <v>7</v>
      </c>
    </row>
    <row r="158" spans="1:5" ht="14.25" customHeight="1">
      <c r="A158" s="393" t="s">
        <v>591</v>
      </c>
      <c r="B158" s="394"/>
      <c r="C158" s="389">
        <v>0</v>
      </c>
      <c r="D158" s="389">
        <v>0</v>
      </c>
      <c r="E158" s="390">
        <v>0</v>
      </c>
    </row>
  </sheetData>
  <sheetProtection selectLockedCells="1" selectUnlockedCells="1"/>
  <mergeCells count="5">
    <mergeCell ref="B1:E1"/>
    <mergeCell ref="B2:D2"/>
    <mergeCell ref="B3:D3"/>
    <mergeCell ref="A7:E7"/>
    <mergeCell ref="A92:E92"/>
  </mergeCells>
  <printOptions horizontalCentered="1"/>
  <pageMargins left="0.25" right="0.25" top="0.75" bottom="0.75" header="0.5118055555555555" footer="0.5118055555555555"/>
  <pageSetup fitToHeight="0" fitToWidth="1" horizontalDpi="300" verticalDpi="300" orientation="portrait" paperSize="9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58"/>
  <sheetViews>
    <sheetView zoomScale="120" zoomScaleNormal="120" zoomScaleSheetLayoutView="100" zoomScalePageLayoutView="0" workbookViewId="0" topLeftCell="A104">
      <selection activeCell="E48" sqref="E48"/>
    </sheetView>
  </sheetViews>
  <sheetFormatPr defaultColWidth="9.00390625" defaultRowHeight="12.75"/>
  <cols>
    <col min="1" max="1" width="16.125" style="331" customWidth="1"/>
    <col min="2" max="2" width="62.00390625" style="332" customWidth="1"/>
    <col min="3" max="3" width="14.125" style="333" customWidth="1"/>
    <col min="4" max="5" width="14.125" style="334" customWidth="1"/>
    <col min="6" max="16384" width="9.375" style="334" customWidth="1"/>
  </cols>
  <sheetData>
    <row r="1" spans="1:5" s="336" customFormat="1" ht="16.5" customHeight="1">
      <c r="A1" s="335"/>
      <c r="B1" s="395"/>
      <c r="C1" s="396"/>
      <c r="D1" s="396"/>
      <c r="E1" s="397" t="str">
        <f>CONCATENATE("6.1.2. melléklet ",Z_ALAPADATOK!A7," ",Z_ALAPADATOK!B7," ",Z_ALAPADATOK!C7," ",Z_ALAPADATOK!D7," ",Z_ALAPADATOK!E7," ",Z_ALAPADATOK!F7," ",Z_ALAPADATOK!G7," ",Z_ALAPADATOK!H7)</f>
        <v>6.1.2. melléklet a … / 2019. ( … ) önkormányzati rendelethez</v>
      </c>
    </row>
    <row r="2" spans="1:5" s="339" customFormat="1" ht="21" customHeight="1">
      <c r="A2" s="337" t="s">
        <v>382</v>
      </c>
      <c r="B2" s="848" t="str">
        <f>CONCATENATE(Z_ALAPADATOK!A3)</f>
        <v>Balatonvilágos Község Önkormányzata</v>
      </c>
      <c r="C2" s="848"/>
      <c r="D2" s="848"/>
      <c r="E2" s="338" t="s">
        <v>566</v>
      </c>
    </row>
    <row r="3" spans="1:5" s="339" customFormat="1" ht="24.75" customHeight="1">
      <c r="A3" s="337" t="s">
        <v>567</v>
      </c>
      <c r="B3" s="848" t="s">
        <v>29</v>
      </c>
      <c r="C3" s="848"/>
      <c r="D3" s="848"/>
      <c r="E3" s="340" t="s">
        <v>593</v>
      </c>
    </row>
    <row r="4" spans="1:5" s="345" customFormat="1" ht="15.75" customHeight="1">
      <c r="A4" s="341"/>
      <c r="B4" s="341"/>
      <c r="C4" s="342"/>
      <c r="D4" s="343"/>
      <c r="E4" s="342" t="str">
        <f>'Z_6.1.1.sz.mell'!E4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CONCATENATE('Z_6.1.1.sz.mell'!E5)</f>
        <v>Teljesítés
2018. XII. 31.</v>
      </c>
    </row>
    <row r="6" spans="1:5" s="354" customFormat="1" ht="12.75" customHeight="1">
      <c r="A6" s="350" t="s">
        <v>109</v>
      </c>
      <c r="B6" s="351" t="s">
        <v>110</v>
      </c>
      <c r="C6" s="351" t="s">
        <v>111</v>
      </c>
      <c r="D6" s="352" t="s">
        <v>112</v>
      </c>
      <c r="E6" s="353" t="s">
        <v>113</v>
      </c>
    </row>
    <row r="7" spans="1:5" s="354" customFormat="1" ht="15.75" customHeight="1">
      <c r="A7" s="849" t="s">
        <v>380</v>
      </c>
      <c r="B7" s="849"/>
      <c r="C7" s="849"/>
      <c r="D7" s="849"/>
      <c r="E7" s="849"/>
    </row>
    <row r="8" spans="1:5" s="354" customFormat="1" ht="12" customHeight="1">
      <c r="A8" s="88" t="s">
        <v>114</v>
      </c>
      <c r="B8" s="37" t="s">
        <v>115</v>
      </c>
      <c r="C8" s="38">
        <f>+C9+C10+C11+C12+C13+C14</f>
        <v>0</v>
      </c>
      <c r="D8" s="117">
        <f>+D9+D10+D11+D12+D13+D14</f>
        <v>0</v>
      </c>
      <c r="E8" s="39">
        <f>+E9+E10+E11+E12+E13+E14</f>
        <v>0</v>
      </c>
    </row>
    <row r="9" spans="1:5" s="356" customFormat="1" ht="12" customHeight="1">
      <c r="A9" s="355" t="s">
        <v>116</v>
      </c>
      <c r="B9" s="42" t="s">
        <v>117</v>
      </c>
      <c r="C9" s="52"/>
      <c r="D9" s="149"/>
      <c r="E9" s="53"/>
    </row>
    <row r="10" spans="1:5" s="358" customFormat="1" ht="12" customHeight="1">
      <c r="A10" s="357" t="s">
        <v>118</v>
      </c>
      <c r="B10" s="46" t="s">
        <v>119</v>
      </c>
      <c r="C10" s="54"/>
      <c r="D10" s="118"/>
      <c r="E10" s="50"/>
    </row>
    <row r="11" spans="1:5" s="358" customFormat="1" ht="12" customHeight="1">
      <c r="A11" s="357" t="s">
        <v>120</v>
      </c>
      <c r="B11" s="46" t="s">
        <v>121</v>
      </c>
      <c r="C11" s="54"/>
      <c r="D11" s="118"/>
      <c r="E11" s="50"/>
    </row>
    <row r="12" spans="1:5" s="358" customFormat="1" ht="12" customHeight="1">
      <c r="A12" s="357" t="s">
        <v>122</v>
      </c>
      <c r="B12" s="46" t="s">
        <v>123</v>
      </c>
      <c r="C12" s="54"/>
      <c r="D12" s="118"/>
      <c r="E12" s="50"/>
    </row>
    <row r="13" spans="1:5" s="358" customFormat="1" ht="12" customHeight="1">
      <c r="A13" s="357" t="s">
        <v>124</v>
      </c>
      <c r="B13" s="46" t="s">
        <v>573</v>
      </c>
      <c r="C13" s="54"/>
      <c r="D13" s="118"/>
      <c r="E13" s="50"/>
    </row>
    <row r="14" spans="1:5" s="356" customFormat="1" ht="12" customHeight="1">
      <c r="A14" s="359" t="s">
        <v>126</v>
      </c>
      <c r="B14" s="58" t="s">
        <v>127</v>
      </c>
      <c r="C14" s="54"/>
      <c r="D14" s="118"/>
      <c r="E14" s="50"/>
    </row>
    <row r="15" spans="1:5" s="356" customFormat="1" ht="12" customHeight="1">
      <c r="A15" s="88" t="s">
        <v>128</v>
      </c>
      <c r="B15" s="51" t="s">
        <v>129</v>
      </c>
      <c r="C15" s="38">
        <f>+C16+C17+C18+C19+C20</f>
        <v>0</v>
      </c>
      <c r="D15" s="117">
        <f>+D16+D17+D18+D19+D20</f>
        <v>0</v>
      </c>
      <c r="E15" s="39">
        <f>+E16+E17+E18+E19+E20</f>
        <v>0</v>
      </c>
    </row>
    <row r="16" spans="1:5" s="356" customFormat="1" ht="12" customHeight="1">
      <c r="A16" s="355" t="s">
        <v>130</v>
      </c>
      <c r="B16" s="42" t="s">
        <v>131</v>
      </c>
      <c r="C16" s="52"/>
      <c r="D16" s="149"/>
      <c r="E16" s="53"/>
    </row>
    <row r="17" spans="1:5" s="356" customFormat="1" ht="12" customHeight="1">
      <c r="A17" s="357" t="s">
        <v>132</v>
      </c>
      <c r="B17" s="46" t="s">
        <v>133</v>
      </c>
      <c r="C17" s="54"/>
      <c r="D17" s="118"/>
      <c r="E17" s="50"/>
    </row>
    <row r="18" spans="1:5" s="356" customFormat="1" ht="12" customHeight="1">
      <c r="A18" s="357" t="s">
        <v>134</v>
      </c>
      <c r="B18" s="46" t="s">
        <v>135</v>
      </c>
      <c r="C18" s="54"/>
      <c r="D18" s="118"/>
      <c r="E18" s="50"/>
    </row>
    <row r="19" spans="1:5" s="356" customFormat="1" ht="12" customHeight="1">
      <c r="A19" s="357" t="s">
        <v>136</v>
      </c>
      <c r="B19" s="46" t="s">
        <v>137</v>
      </c>
      <c r="C19" s="54"/>
      <c r="D19" s="118"/>
      <c r="E19" s="50"/>
    </row>
    <row r="20" spans="1:5" s="356" customFormat="1" ht="12" customHeight="1">
      <c r="A20" s="357" t="s">
        <v>138</v>
      </c>
      <c r="B20" s="46" t="s">
        <v>139</v>
      </c>
      <c r="C20" s="54"/>
      <c r="D20" s="118"/>
      <c r="E20" s="50"/>
    </row>
    <row r="21" spans="1:5" s="358" customFormat="1" ht="12" customHeight="1">
      <c r="A21" s="359" t="s">
        <v>140</v>
      </c>
      <c r="B21" s="58" t="s">
        <v>141</v>
      </c>
      <c r="C21" s="56"/>
      <c r="D21" s="147"/>
      <c r="E21" s="57"/>
    </row>
    <row r="22" spans="1:5" s="358" customFormat="1" ht="12" customHeight="1">
      <c r="A22" s="88" t="s">
        <v>142</v>
      </c>
      <c r="B22" s="37" t="s">
        <v>143</v>
      </c>
      <c r="C22" s="38">
        <f>+C23+C24+C25+C26+C27</f>
        <v>0</v>
      </c>
      <c r="D22" s="117">
        <f>+D23+D24+D25+D26+D27</f>
        <v>0</v>
      </c>
      <c r="E22" s="39">
        <f>+E23+E24+E25+E26+E27</f>
        <v>0</v>
      </c>
    </row>
    <row r="23" spans="1:5" s="358" customFormat="1" ht="12" customHeight="1">
      <c r="A23" s="355" t="s">
        <v>144</v>
      </c>
      <c r="B23" s="42" t="s">
        <v>145</v>
      </c>
      <c r="C23" s="52"/>
      <c r="D23" s="149"/>
      <c r="E23" s="53"/>
    </row>
    <row r="24" spans="1:5" s="356" customFormat="1" ht="12" customHeight="1">
      <c r="A24" s="357" t="s">
        <v>146</v>
      </c>
      <c r="B24" s="46" t="s">
        <v>147</v>
      </c>
      <c r="C24" s="54"/>
      <c r="D24" s="118"/>
      <c r="E24" s="50"/>
    </row>
    <row r="25" spans="1:5" s="358" customFormat="1" ht="12" customHeight="1">
      <c r="A25" s="357" t="s">
        <v>148</v>
      </c>
      <c r="B25" s="46" t="s">
        <v>149</v>
      </c>
      <c r="C25" s="54"/>
      <c r="D25" s="118"/>
      <c r="E25" s="50"/>
    </row>
    <row r="26" spans="1:5" s="358" customFormat="1" ht="12" customHeight="1">
      <c r="A26" s="357" t="s">
        <v>150</v>
      </c>
      <c r="B26" s="46" t="s">
        <v>151</v>
      </c>
      <c r="C26" s="54"/>
      <c r="D26" s="118"/>
      <c r="E26" s="50"/>
    </row>
    <row r="27" spans="1:5" s="358" customFormat="1" ht="12" customHeight="1">
      <c r="A27" s="357" t="s">
        <v>152</v>
      </c>
      <c r="B27" s="46" t="s">
        <v>153</v>
      </c>
      <c r="C27" s="54"/>
      <c r="D27" s="118"/>
      <c r="E27" s="50"/>
    </row>
    <row r="28" spans="1:5" s="358" customFormat="1" ht="12" customHeight="1">
      <c r="A28" s="359" t="s">
        <v>154</v>
      </c>
      <c r="B28" s="58" t="s">
        <v>155</v>
      </c>
      <c r="C28" s="56"/>
      <c r="D28" s="147"/>
      <c r="E28" s="57"/>
    </row>
    <row r="29" spans="1:5" s="358" customFormat="1" ht="12" customHeight="1">
      <c r="A29" s="88" t="s">
        <v>156</v>
      </c>
      <c r="B29" s="37" t="s">
        <v>157</v>
      </c>
      <c r="C29" s="59">
        <f>SUM(C30:C36)</f>
        <v>0</v>
      </c>
      <c r="D29" s="59">
        <f>SUM(D30:D36)</f>
        <v>0</v>
      </c>
      <c r="E29" s="60">
        <f>SUM(E30:E36)</f>
        <v>0</v>
      </c>
    </row>
    <row r="30" spans="1:5" s="358" customFormat="1" ht="12" customHeight="1">
      <c r="A30" s="355" t="s">
        <v>158</v>
      </c>
      <c r="B30" s="42" t="s">
        <v>159</v>
      </c>
      <c r="C30" s="52">
        <f>+C31+C32+C33</f>
        <v>0</v>
      </c>
      <c r="D30" s="52">
        <f>+D31+D32+D33</f>
        <v>0</v>
      </c>
      <c r="E30" s="53">
        <f>+E31+E32+E33</f>
        <v>0</v>
      </c>
    </row>
    <row r="31" spans="1:5" s="358" customFormat="1" ht="12" customHeight="1">
      <c r="A31" s="357" t="s">
        <v>160</v>
      </c>
      <c r="B31" s="46" t="s">
        <v>161</v>
      </c>
      <c r="C31" s="54"/>
      <c r="D31" s="54"/>
      <c r="E31" s="50"/>
    </row>
    <row r="32" spans="1:5" s="358" customFormat="1" ht="12" customHeight="1">
      <c r="A32" s="357" t="s">
        <v>162</v>
      </c>
      <c r="B32" s="46" t="s">
        <v>163</v>
      </c>
      <c r="C32" s="54"/>
      <c r="D32" s="54"/>
      <c r="E32" s="50"/>
    </row>
    <row r="33" spans="1:5" s="358" customFormat="1" ht="12" customHeight="1">
      <c r="A33" s="357" t="s">
        <v>164</v>
      </c>
      <c r="B33" s="46" t="s">
        <v>165</v>
      </c>
      <c r="C33" s="54"/>
      <c r="D33" s="54"/>
      <c r="E33" s="50"/>
    </row>
    <row r="34" spans="1:5" s="358" customFormat="1" ht="12" customHeight="1">
      <c r="A34" s="357" t="s">
        <v>166</v>
      </c>
      <c r="B34" s="46" t="s">
        <v>167</v>
      </c>
      <c r="C34" s="54"/>
      <c r="D34" s="54"/>
      <c r="E34" s="50"/>
    </row>
    <row r="35" spans="1:5" s="358" customFormat="1" ht="12" customHeight="1">
      <c r="A35" s="357" t="s">
        <v>168</v>
      </c>
      <c r="B35" s="46" t="s">
        <v>169</v>
      </c>
      <c r="C35" s="54"/>
      <c r="D35" s="54"/>
      <c r="E35" s="50"/>
    </row>
    <row r="36" spans="1:5" s="358" customFormat="1" ht="12" customHeight="1">
      <c r="A36" s="359" t="s">
        <v>170</v>
      </c>
      <c r="B36" s="61" t="s">
        <v>171</v>
      </c>
      <c r="C36" s="56"/>
      <c r="D36" s="56"/>
      <c r="E36" s="57"/>
    </row>
    <row r="37" spans="1:5" s="358" customFormat="1" ht="12" customHeight="1">
      <c r="A37" s="88" t="s">
        <v>172</v>
      </c>
      <c r="B37" s="37" t="s">
        <v>173</v>
      </c>
      <c r="C37" s="38">
        <f>SUM(C38:C48)</f>
        <v>5836872</v>
      </c>
      <c r="D37" s="117">
        <f>SUM(D38:D48)</f>
        <v>9806552</v>
      </c>
      <c r="E37" s="39">
        <f>SUM(E38:E48)</f>
        <v>9806844</v>
      </c>
    </row>
    <row r="38" spans="1:5" s="358" customFormat="1" ht="12" customHeight="1">
      <c r="A38" s="355" t="s">
        <v>174</v>
      </c>
      <c r="B38" s="42" t="s">
        <v>175</v>
      </c>
      <c r="C38" s="43"/>
      <c r="D38" s="149"/>
      <c r="E38" s="44"/>
    </row>
    <row r="39" spans="1:5" s="358" customFormat="1" ht="12" customHeight="1">
      <c r="A39" s="357" t="s">
        <v>176</v>
      </c>
      <c r="B39" s="46" t="s">
        <v>177</v>
      </c>
      <c r="C39" s="44">
        <v>3620680</v>
      </c>
      <c r="D39" s="44">
        <v>4250601</v>
      </c>
      <c r="E39" s="44">
        <v>4250601</v>
      </c>
    </row>
    <row r="40" spans="1:5" s="358" customFormat="1" ht="12" customHeight="1">
      <c r="A40" s="357" t="s">
        <v>178</v>
      </c>
      <c r="B40" s="46" t="s">
        <v>179</v>
      </c>
      <c r="C40" s="44"/>
      <c r="D40" s="44"/>
      <c r="E40" s="44"/>
    </row>
    <row r="41" spans="1:5" s="358" customFormat="1" ht="12" customHeight="1">
      <c r="A41" s="357" t="s">
        <v>180</v>
      </c>
      <c r="B41" s="46" t="s">
        <v>181</v>
      </c>
      <c r="C41" s="44"/>
      <c r="D41" s="44"/>
      <c r="E41" s="44"/>
    </row>
    <row r="42" spans="1:5" s="358" customFormat="1" ht="12" customHeight="1">
      <c r="A42" s="357" t="s">
        <v>182</v>
      </c>
      <c r="B42" s="46" t="s">
        <v>183</v>
      </c>
      <c r="C42" s="44"/>
      <c r="D42" s="44"/>
      <c r="E42" s="44"/>
    </row>
    <row r="43" spans="1:5" s="358" customFormat="1" ht="12" customHeight="1">
      <c r="A43" s="357" t="s">
        <v>184</v>
      </c>
      <c r="B43" s="46" t="s">
        <v>185</v>
      </c>
      <c r="C43" s="44">
        <v>2216192</v>
      </c>
      <c r="D43" s="44">
        <v>5555951</v>
      </c>
      <c r="E43" s="44">
        <v>5556243</v>
      </c>
    </row>
    <row r="44" spans="1:5" s="358" customFormat="1" ht="12" customHeight="1">
      <c r="A44" s="357" t="s">
        <v>186</v>
      </c>
      <c r="B44" s="46" t="s">
        <v>187</v>
      </c>
      <c r="C44" s="44"/>
      <c r="D44" s="118"/>
      <c r="E44" s="44"/>
    </row>
    <row r="45" spans="1:5" s="358" customFormat="1" ht="12" customHeight="1">
      <c r="A45" s="357" t="s">
        <v>188</v>
      </c>
      <c r="B45" s="46" t="s">
        <v>189</v>
      </c>
      <c r="C45" s="44"/>
      <c r="D45" s="118"/>
      <c r="E45" s="44"/>
    </row>
    <row r="46" spans="1:5" s="358" customFormat="1" ht="12" customHeight="1">
      <c r="A46" s="357" t="s">
        <v>190</v>
      </c>
      <c r="B46" s="46" t="s">
        <v>191</v>
      </c>
      <c r="C46" s="62"/>
      <c r="D46" s="363"/>
      <c r="E46" s="44"/>
    </row>
    <row r="47" spans="1:5" s="358" customFormat="1" ht="12" customHeight="1">
      <c r="A47" s="359" t="s">
        <v>192</v>
      </c>
      <c r="B47" s="58" t="s">
        <v>193</v>
      </c>
      <c r="C47" s="63"/>
      <c r="D47" s="364"/>
      <c r="E47" s="44"/>
    </row>
    <row r="48" spans="1:5" s="358" customFormat="1" ht="12" customHeight="1">
      <c r="A48" s="359" t="s">
        <v>194</v>
      </c>
      <c r="B48" s="58" t="s">
        <v>195</v>
      </c>
      <c r="C48" s="63"/>
      <c r="D48" s="364"/>
      <c r="E48" s="44"/>
    </row>
    <row r="49" spans="1:5" s="358" customFormat="1" ht="12" customHeight="1">
      <c r="A49" s="88" t="s">
        <v>196</v>
      </c>
      <c r="B49" s="37" t="s">
        <v>197</v>
      </c>
      <c r="C49" s="38">
        <f>SUM(C50:C54)</f>
        <v>4588520</v>
      </c>
      <c r="D49" s="117">
        <f>SUM(D50:D54)</f>
        <v>16328080</v>
      </c>
      <c r="E49" s="39">
        <f>SUM(E50:E54)</f>
        <v>16524930</v>
      </c>
    </row>
    <row r="50" spans="1:5" s="358" customFormat="1" ht="12" customHeight="1">
      <c r="A50" s="355" t="s">
        <v>198</v>
      </c>
      <c r="B50" s="42" t="s">
        <v>199</v>
      </c>
      <c r="C50" s="65"/>
      <c r="D50" s="362"/>
      <c r="E50" s="144"/>
    </row>
    <row r="51" spans="1:5" s="358" customFormat="1" ht="12" customHeight="1">
      <c r="A51" s="357" t="s">
        <v>200</v>
      </c>
      <c r="B51" s="46" t="s">
        <v>201</v>
      </c>
      <c r="C51" s="62">
        <v>4588520</v>
      </c>
      <c r="D51" s="62">
        <v>16328080</v>
      </c>
      <c r="E51" s="62">
        <v>16328080</v>
      </c>
    </row>
    <row r="52" spans="1:5" s="358" customFormat="1" ht="12" customHeight="1">
      <c r="A52" s="357" t="s">
        <v>202</v>
      </c>
      <c r="B52" s="46" t="s">
        <v>203</v>
      </c>
      <c r="C52" s="66"/>
      <c r="D52" s="363"/>
      <c r="E52" s="62">
        <v>196850</v>
      </c>
    </row>
    <row r="53" spans="1:5" s="358" customFormat="1" ht="12" customHeight="1">
      <c r="A53" s="357" t="s">
        <v>204</v>
      </c>
      <c r="B53" s="46" t="s">
        <v>205</v>
      </c>
      <c r="C53" s="66"/>
      <c r="D53" s="363"/>
      <c r="E53" s="68"/>
    </row>
    <row r="54" spans="1:5" s="358" customFormat="1" ht="12" customHeight="1">
      <c r="A54" s="359" t="s">
        <v>206</v>
      </c>
      <c r="B54" s="58" t="s">
        <v>207</v>
      </c>
      <c r="C54" s="67"/>
      <c r="D54" s="364"/>
      <c r="E54" s="143"/>
    </row>
    <row r="55" spans="1:5" s="358" customFormat="1" ht="12" customHeight="1">
      <c r="A55" s="88" t="s">
        <v>208</v>
      </c>
      <c r="B55" s="37" t="s">
        <v>209</v>
      </c>
      <c r="C55" s="38">
        <f>SUM(C56:C58)</f>
        <v>0</v>
      </c>
      <c r="D55" s="117">
        <f>SUM(D56:D58)</f>
        <v>0</v>
      </c>
      <c r="E55" s="39">
        <f>SUM(E56:E58)</f>
        <v>0</v>
      </c>
    </row>
    <row r="56" spans="1:5" s="358" customFormat="1" ht="12" customHeight="1">
      <c r="A56" s="355" t="s">
        <v>210</v>
      </c>
      <c r="B56" s="42" t="s">
        <v>211</v>
      </c>
      <c r="C56" s="52"/>
      <c r="D56" s="149"/>
      <c r="E56" s="53"/>
    </row>
    <row r="57" spans="1:5" s="358" customFormat="1" ht="12" customHeight="1">
      <c r="A57" s="357" t="s">
        <v>212</v>
      </c>
      <c r="B57" s="46" t="s">
        <v>213</v>
      </c>
      <c r="C57" s="54"/>
      <c r="D57" s="118"/>
      <c r="E57" s="50"/>
    </row>
    <row r="58" spans="1:5" s="358" customFormat="1" ht="12" customHeight="1">
      <c r="A58" s="357" t="s">
        <v>214</v>
      </c>
      <c r="B58" s="46" t="s">
        <v>215</v>
      </c>
      <c r="C58" s="54"/>
      <c r="D58" s="118"/>
      <c r="E58" s="50"/>
    </row>
    <row r="59" spans="1:5" s="358" customFormat="1" ht="12" customHeight="1">
      <c r="A59" s="359" t="s">
        <v>216</v>
      </c>
      <c r="B59" s="58" t="s">
        <v>217</v>
      </c>
      <c r="C59" s="56"/>
      <c r="D59" s="147"/>
      <c r="E59" s="57"/>
    </row>
    <row r="60" spans="1:5" s="358" customFormat="1" ht="12" customHeight="1">
      <c r="A60" s="88" t="s">
        <v>218</v>
      </c>
      <c r="B60" s="51" t="s">
        <v>219</v>
      </c>
      <c r="C60" s="38">
        <f>SUM(C61:C63)</f>
        <v>0</v>
      </c>
      <c r="D60" s="117">
        <f>SUM(D61:D63)</f>
        <v>2238200</v>
      </c>
      <c r="E60" s="39">
        <f>SUM(E61:E63)</f>
        <v>7593117</v>
      </c>
    </row>
    <row r="61" spans="1:5" s="358" customFormat="1" ht="12" customHeight="1">
      <c r="A61" s="355" t="s">
        <v>220</v>
      </c>
      <c r="B61" s="42" t="s">
        <v>221</v>
      </c>
      <c r="C61" s="66"/>
      <c r="D61" s="363"/>
      <c r="E61" s="68"/>
    </row>
    <row r="62" spans="1:5" s="358" customFormat="1" ht="12" customHeight="1">
      <c r="A62" s="357" t="s">
        <v>222</v>
      </c>
      <c r="B62" s="46" t="s">
        <v>223</v>
      </c>
      <c r="C62" s="66"/>
      <c r="D62" s="363"/>
      <c r="E62" s="68"/>
    </row>
    <row r="63" spans="1:5" s="358" customFormat="1" ht="12" customHeight="1">
      <c r="A63" s="357" t="s">
        <v>224</v>
      </c>
      <c r="B63" s="46" t="s">
        <v>225</v>
      </c>
      <c r="C63" s="66"/>
      <c r="D63" s="62">
        <v>2238200</v>
      </c>
      <c r="E63" s="62">
        <v>7593117</v>
      </c>
    </row>
    <row r="64" spans="1:5" s="358" customFormat="1" ht="12" customHeight="1">
      <c r="A64" s="359" t="s">
        <v>226</v>
      </c>
      <c r="B64" s="58" t="s">
        <v>227</v>
      </c>
      <c r="C64" s="66"/>
      <c r="D64" s="363"/>
      <c r="E64" s="68"/>
    </row>
    <row r="65" spans="1:5" s="358" customFormat="1" ht="12" customHeight="1">
      <c r="A65" s="88" t="s">
        <v>365</v>
      </c>
      <c r="B65" s="37" t="s">
        <v>229</v>
      </c>
      <c r="C65" s="59">
        <f>+C8+C15+C22+C29+C37+C49+C55+C60</f>
        <v>10425392</v>
      </c>
      <c r="D65" s="123">
        <f>+D8+D15+D22+D29+D37+D49+D55+D60</f>
        <v>28372832</v>
      </c>
      <c r="E65" s="60">
        <f>+E8+E15+E22+E29+E37+E49+E55+E60</f>
        <v>33924891</v>
      </c>
    </row>
    <row r="66" spans="1:5" s="358" customFormat="1" ht="12" customHeight="1">
      <c r="A66" s="365" t="s">
        <v>574</v>
      </c>
      <c r="B66" s="51" t="s">
        <v>231</v>
      </c>
      <c r="C66" s="38">
        <f>SUM(C67:C69)</f>
        <v>0</v>
      </c>
      <c r="D66" s="117">
        <f>SUM(D67:D69)</f>
        <v>0</v>
      </c>
      <c r="E66" s="39">
        <f>SUM(E67:E69)</f>
        <v>0</v>
      </c>
    </row>
    <row r="67" spans="1:5" s="358" customFormat="1" ht="12" customHeight="1">
      <c r="A67" s="355" t="s">
        <v>232</v>
      </c>
      <c r="B67" s="42" t="s">
        <v>233</v>
      </c>
      <c r="C67" s="66"/>
      <c r="D67" s="363"/>
      <c r="E67" s="68"/>
    </row>
    <row r="68" spans="1:5" s="358" customFormat="1" ht="12" customHeight="1">
      <c r="A68" s="357" t="s">
        <v>234</v>
      </c>
      <c r="B68" s="46" t="s">
        <v>235</v>
      </c>
      <c r="C68" s="66"/>
      <c r="D68" s="363"/>
      <c r="E68" s="68"/>
    </row>
    <row r="69" spans="1:5" s="358" customFormat="1" ht="12" customHeight="1">
      <c r="A69" s="359" t="s">
        <v>236</v>
      </c>
      <c r="B69" s="398" t="s">
        <v>594</v>
      </c>
      <c r="C69" s="66"/>
      <c r="D69" s="369"/>
      <c r="E69" s="68"/>
    </row>
    <row r="70" spans="1:5" s="358" customFormat="1" ht="12" customHeight="1">
      <c r="A70" s="365" t="s">
        <v>238</v>
      </c>
      <c r="B70" s="51" t="s">
        <v>239</v>
      </c>
      <c r="C70" s="38">
        <f>SUM(C71:C74)</f>
        <v>0</v>
      </c>
      <c r="D70" s="38">
        <f>SUM(D71:D74)</f>
        <v>0</v>
      </c>
      <c r="E70" s="39">
        <f>SUM(E71:E74)</f>
        <v>0</v>
      </c>
    </row>
    <row r="71" spans="1:5" s="358" customFormat="1" ht="12" customHeight="1">
      <c r="A71" s="355" t="s">
        <v>240</v>
      </c>
      <c r="B71" s="72" t="s">
        <v>241</v>
      </c>
      <c r="C71" s="66"/>
      <c r="D71" s="66"/>
      <c r="E71" s="68"/>
    </row>
    <row r="72" spans="1:5" s="358" customFormat="1" ht="12" customHeight="1">
      <c r="A72" s="357" t="s">
        <v>242</v>
      </c>
      <c r="B72" s="72" t="s">
        <v>243</v>
      </c>
      <c r="C72" s="66"/>
      <c r="D72" s="66"/>
      <c r="E72" s="68"/>
    </row>
    <row r="73" spans="1:5" s="358" customFormat="1" ht="12" customHeight="1">
      <c r="A73" s="357" t="s">
        <v>244</v>
      </c>
      <c r="B73" s="72" t="s">
        <v>245</v>
      </c>
      <c r="C73" s="66"/>
      <c r="D73" s="66"/>
      <c r="E73" s="68"/>
    </row>
    <row r="74" spans="1:5" s="358" customFormat="1" ht="12" customHeight="1">
      <c r="A74" s="359" t="s">
        <v>246</v>
      </c>
      <c r="B74" s="73" t="s">
        <v>247</v>
      </c>
      <c r="C74" s="66"/>
      <c r="D74" s="66"/>
      <c r="E74" s="68"/>
    </row>
    <row r="75" spans="1:5" s="358" customFormat="1" ht="12" customHeight="1">
      <c r="A75" s="365" t="s">
        <v>248</v>
      </c>
      <c r="B75" s="51" t="s">
        <v>249</v>
      </c>
      <c r="C75" s="38">
        <f>SUM(C76:C77)</f>
        <v>0</v>
      </c>
      <c r="D75" s="38">
        <f>SUM(D76:D77)</f>
        <v>0</v>
      </c>
      <c r="E75" s="39">
        <f>SUM(E76:E77)</f>
        <v>0</v>
      </c>
    </row>
    <row r="76" spans="1:5" s="358" customFormat="1" ht="12" customHeight="1">
      <c r="A76" s="355" t="s">
        <v>250</v>
      </c>
      <c r="B76" s="42" t="s">
        <v>251</v>
      </c>
      <c r="C76" s="66"/>
      <c r="D76" s="66"/>
      <c r="E76" s="68"/>
    </row>
    <row r="77" spans="1:5" s="358" customFormat="1" ht="12" customHeight="1">
      <c r="A77" s="359" t="s">
        <v>252</v>
      </c>
      <c r="B77" s="58" t="s">
        <v>253</v>
      </c>
      <c r="C77" s="66"/>
      <c r="D77" s="66"/>
      <c r="E77" s="68"/>
    </row>
    <row r="78" spans="1:5" s="356" customFormat="1" ht="12" customHeight="1">
      <c r="A78" s="365" t="s">
        <v>254</v>
      </c>
      <c r="B78" s="51" t="s">
        <v>255</v>
      </c>
      <c r="C78" s="38">
        <f>SUM(C79:C81)</f>
        <v>0</v>
      </c>
      <c r="D78" s="38">
        <f>SUM(D79:D81)</f>
        <v>0</v>
      </c>
      <c r="E78" s="39">
        <f>SUM(E79:E81)</f>
        <v>0</v>
      </c>
    </row>
    <row r="79" spans="1:5" s="358" customFormat="1" ht="12" customHeight="1">
      <c r="A79" s="355" t="s">
        <v>256</v>
      </c>
      <c r="B79" s="42" t="s">
        <v>257</v>
      </c>
      <c r="C79" s="66"/>
      <c r="D79" s="66"/>
      <c r="E79" s="68"/>
    </row>
    <row r="80" spans="1:5" s="358" customFormat="1" ht="12" customHeight="1">
      <c r="A80" s="357" t="s">
        <v>258</v>
      </c>
      <c r="B80" s="46" t="s">
        <v>259</v>
      </c>
      <c r="C80" s="66"/>
      <c r="D80" s="66"/>
      <c r="E80" s="68"/>
    </row>
    <row r="81" spans="1:5" s="358" customFormat="1" ht="12" customHeight="1">
      <c r="A81" s="359" t="s">
        <v>260</v>
      </c>
      <c r="B81" s="58" t="s">
        <v>261</v>
      </c>
      <c r="C81" s="66"/>
      <c r="D81" s="66"/>
      <c r="E81" s="68"/>
    </row>
    <row r="82" spans="1:5" s="358" customFormat="1" ht="12" customHeight="1">
      <c r="A82" s="365" t="s">
        <v>262</v>
      </c>
      <c r="B82" s="51" t="s">
        <v>263</v>
      </c>
      <c r="C82" s="38">
        <f>SUM(C83:C86)</f>
        <v>0</v>
      </c>
      <c r="D82" s="38">
        <f>SUM(D83:D86)</f>
        <v>0</v>
      </c>
      <c r="E82" s="39">
        <f>SUM(E83:E86)</f>
        <v>0</v>
      </c>
    </row>
    <row r="83" spans="1:5" s="358" customFormat="1" ht="12" customHeight="1">
      <c r="A83" s="371" t="s">
        <v>264</v>
      </c>
      <c r="B83" s="42" t="s">
        <v>265</v>
      </c>
      <c r="C83" s="66"/>
      <c r="D83" s="66"/>
      <c r="E83" s="68"/>
    </row>
    <row r="84" spans="1:5" s="358" customFormat="1" ht="12" customHeight="1">
      <c r="A84" s="372" t="s">
        <v>266</v>
      </c>
      <c r="B84" s="46" t="s">
        <v>267</v>
      </c>
      <c r="C84" s="66"/>
      <c r="D84" s="66"/>
      <c r="E84" s="68"/>
    </row>
    <row r="85" spans="1:5" s="358" customFormat="1" ht="12" customHeight="1">
      <c r="A85" s="372" t="s">
        <v>268</v>
      </c>
      <c r="B85" s="46" t="s">
        <v>269</v>
      </c>
      <c r="C85" s="66"/>
      <c r="D85" s="66"/>
      <c r="E85" s="68"/>
    </row>
    <row r="86" spans="1:5" s="356" customFormat="1" ht="12" customHeight="1">
      <c r="A86" s="373" t="s">
        <v>270</v>
      </c>
      <c r="B86" s="58" t="s">
        <v>271</v>
      </c>
      <c r="C86" s="66"/>
      <c r="D86" s="66"/>
      <c r="E86" s="68"/>
    </row>
    <row r="87" spans="1:5" s="356" customFormat="1" ht="12" customHeight="1">
      <c r="A87" s="365" t="s">
        <v>272</v>
      </c>
      <c r="B87" s="51" t="s">
        <v>273</v>
      </c>
      <c r="C87" s="78"/>
      <c r="D87" s="78"/>
      <c r="E87" s="79"/>
    </row>
    <row r="88" spans="1:5" s="356" customFormat="1" ht="12" customHeight="1">
      <c r="A88" s="365" t="s">
        <v>575</v>
      </c>
      <c r="B88" s="51" t="s">
        <v>275</v>
      </c>
      <c r="C88" s="78"/>
      <c r="D88" s="78"/>
      <c r="E88" s="79"/>
    </row>
    <row r="89" spans="1:5" s="356" customFormat="1" ht="12" customHeight="1">
      <c r="A89" s="365" t="s">
        <v>576</v>
      </c>
      <c r="B89" s="80" t="s">
        <v>277</v>
      </c>
      <c r="C89" s="59">
        <f>+C66+C70+C75+C78+C82+C88+C87</f>
        <v>0</v>
      </c>
      <c r="D89" s="59">
        <f>+D66+D70+D75+D78+D82+D88+D87</f>
        <v>0</v>
      </c>
      <c r="E89" s="60">
        <f>+E66+E70+E75+E78+E82+E88+E87</f>
        <v>0</v>
      </c>
    </row>
    <row r="90" spans="1:5" s="356" customFormat="1" ht="12" customHeight="1">
      <c r="A90" s="374" t="s">
        <v>577</v>
      </c>
      <c r="B90" s="82" t="s">
        <v>578</v>
      </c>
      <c r="C90" s="59">
        <f>+C65+C89</f>
        <v>10425392</v>
      </c>
      <c r="D90" s="59">
        <f>+D65+D89</f>
        <v>28372832</v>
      </c>
      <c r="E90" s="60">
        <f>+E65+E89</f>
        <v>33924891</v>
      </c>
    </row>
    <row r="91" spans="1:3" s="358" customFormat="1" ht="15" customHeight="1">
      <c r="A91" s="375"/>
      <c r="B91" s="376"/>
      <c r="C91" s="377"/>
    </row>
    <row r="92" spans="1:5" s="354" customFormat="1" ht="16.5" customHeight="1">
      <c r="A92" s="849" t="s">
        <v>381</v>
      </c>
      <c r="B92" s="849"/>
      <c r="C92" s="849"/>
      <c r="D92" s="849"/>
      <c r="E92" s="849"/>
    </row>
    <row r="93" spans="1:5" s="378" customFormat="1" ht="12" customHeight="1">
      <c r="A93" s="32" t="s">
        <v>114</v>
      </c>
      <c r="B93" s="92" t="s">
        <v>579</v>
      </c>
      <c r="C93" s="93">
        <f>+C94+C95+C96+C97+C98+C111</f>
        <v>0</v>
      </c>
      <c r="D93" s="93">
        <f>+D94+D95+D96+D97+D98+D111</f>
        <v>0</v>
      </c>
      <c r="E93" s="94">
        <f>+E94+E95+E96+E97+E98+E111</f>
        <v>0</v>
      </c>
    </row>
    <row r="94" spans="1:5" ht="12" customHeight="1">
      <c r="A94" s="379" t="s">
        <v>116</v>
      </c>
      <c r="B94" s="96" t="s">
        <v>284</v>
      </c>
      <c r="C94" s="148"/>
      <c r="D94" s="148"/>
      <c r="E94" s="98"/>
    </row>
    <row r="95" spans="1:5" ht="12" customHeight="1">
      <c r="A95" s="357" t="s">
        <v>118</v>
      </c>
      <c r="B95" s="99" t="s">
        <v>285</v>
      </c>
      <c r="C95" s="54"/>
      <c r="D95" s="54"/>
      <c r="E95" s="50"/>
    </row>
    <row r="96" spans="1:5" ht="12" customHeight="1">
      <c r="A96" s="357" t="s">
        <v>120</v>
      </c>
      <c r="B96" s="99" t="s">
        <v>286</v>
      </c>
      <c r="C96" s="56"/>
      <c r="D96" s="54"/>
      <c r="E96" s="57"/>
    </row>
    <row r="97" spans="1:5" ht="12" customHeight="1">
      <c r="A97" s="357" t="s">
        <v>122</v>
      </c>
      <c r="B97" s="100" t="s">
        <v>287</v>
      </c>
      <c r="C97" s="56"/>
      <c r="D97" s="147"/>
      <c r="E97" s="57"/>
    </row>
    <row r="98" spans="1:5" ht="12" customHeight="1">
      <c r="A98" s="357" t="s">
        <v>288</v>
      </c>
      <c r="B98" s="101" t="s">
        <v>289</v>
      </c>
      <c r="C98" s="56"/>
      <c r="D98" s="147"/>
      <c r="E98" s="57"/>
    </row>
    <row r="99" spans="1:5" ht="12" customHeight="1">
      <c r="A99" s="357" t="s">
        <v>126</v>
      </c>
      <c r="B99" s="99" t="s">
        <v>580</v>
      </c>
      <c r="C99" s="56"/>
      <c r="D99" s="147"/>
      <c r="E99" s="57"/>
    </row>
    <row r="100" spans="1:5" ht="12" customHeight="1">
      <c r="A100" s="357" t="s">
        <v>291</v>
      </c>
      <c r="B100" s="103" t="s">
        <v>292</v>
      </c>
      <c r="C100" s="56"/>
      <c r="D100" s="147"/>
      <c r="E100" s="57"/>
    </row>
    <row r="101" spans="1:5" ht="12" customHeight="1">
      <c r="A101" s="357" t="s">
        <v>293</v>
      </c>
      <c r="B101" s="103" t="s">
        <v>294</v>
      </c>
      <c r="C101" s="56"/>
      <c r="D101" s="147"/>
      <c r="E101" s="57"/>
    </row>
    <row r="102" spans="1:5" ht="12" customHeight="1">
      <c r="A102" s="357" t="s">
        <v>295</v>
      </c>
      <c r="B102" s="103" t="s">
        <v>296</v>
      </c>
      <c r="C102" s="56"/>
      <c r="D102" s="147"/>
      <c r="E102" s="57"/>
    </row>
    <row r="103" spans="1:5" ht="12" customHeight="1">
      <c r="A103" s="357" t="s">
        <v>297</v>
      </c>
      <c r="B103" s="104" t="s">
        <v>298</v>
      </c>
      <c r="C103" s="56"/>
      <c r="D103" s="147"/>
      <c r="E103" s="57"/>
    </row>
    <row r="104" spans="1:5" ht="12" customHeight="1">
      <c r="A104" s="357" t="s">
        <v>299</v>
      </c>
      <c r="B104" s="104" t="s">
        <v>300</v>
      </c>
      <c r="C104" s="56"/>
      <c r="D104" s="147"/>
      <c r="E104" s="57"/>
    </row>
    <row r="105" spans="1:5" ht="12" customHeight="1">
      <c r="A105" s="357" t="s">
        <v>301</v>
      </c>
      <c r="B105" s="103" t="s">
        <v>302</v>
      </c>
      <c r="C105" s="56"/>
      <c r="D105" s="147"/>
      <c r="E105" s="57"/>
    </row>
    <row r="106" spans="1:5" ht="12" customHeight="1">
      <c r="A106" s="357" t="s">
        <v>303</v>
      </c>
      <c r="B106" s="103" t="s">
        <v>304</v>
      </c>
      <c r="C106" s="56"/>
      <c r="D106" s="147"/>
      <c r="E106" s="57"/>
    </row>
    <row r="107" spans="1:5" ht="12" customHeight="1">
      <c r="A107" s="357" t="s">
        <v>305</v>
      </c>
      <c r="B107" s="104" t="s">
        <v>306</v>
      </c>
      <c r="C107" s="54"/>
      <c r="D107" s="147"/>
      <c r="E107" s="57"/>
    </row>
    <row r="108" spans="1:5" ht="12" customHeight="1">
      <c r="A108" s="380" t="s">
        <v>307</v>
      </c>
      <c r="B108" s="102" t="s">
        <v>308</v>
      </c>
      <c r="C108" s="56"/>
      <c r="D108" s="147"/>
      <c r="E108" s="57"/>
    </row>
    <row r="109" spans="1:5" ht="12" customHeight="1">
      <c r="A109" s="357" t="s">
        <v>309</v>
      </c>
      <c r="B109" s="102" t="s">
        <v>310</v>
      </c>
      <c r="C109" s="56"/>
      <c r="D109" s="147"/>
      <c r="E109" s="57"/>
    </row>
    <row r="110" spans="1:5" ht="12" customHeight="1">
      <c r="A110" s="357" t="s">
        <v>311</v>
      </c>
      <c r="B110" s="104" t="s">
        <v>312</v>
      </c>
      <c r="C110" s="54"/>
      <c r="D110" s="118"/>
      <c r="E110" s="50"/>
    </row>
    <row r="111" spans="1:5" ht="12" customHeight="1">
      <c r="A111" s="357" t="s">
        <v>313</v>
      </c>
      <c r="B111" s="100" t="s">
        <v>314</v>
      </c>
      <c r="C111" s="54"/>
      <c r="D111" s="118"/>
      <c r="E111" s="50"/>
    </row>
    <row r="112" spans="1:5" ht="12" customHeight="1">
      <c r="A112" s="359" t="s">
        <v>315</v>
      </c>
      <c r="B112" s="99" t="s">
        <v>581</v>
      </c>
      <c r="C112" s="56"/>
      <c r="D112" s="147"/>
      <c r="E112" s="57"/>
    </row>
    <row r="113" spans="1:5" ht="12" customHeight="1">
      <c r="A113" s="366" t="s">
        <v>317</v>
      </c>
      <c r="B113" s="381" t="s">
        <v>582</v>
      </c>
      <c r="C113" s="121"/>
      <c r="D113" s="122"/>
      <c r="E113" s="109"/>
    </row>
    <row r="114" spans="1:5" ht="12" customHeight="1">
      <c r="A114" s="88" t="s">
        <v>128</v>
      </c>
      <c r="B114" s="141" t="s">
        <v>319</v>
      </c>
      <c r="C114" s="38">
        <f>+C115+C117+C119</f>
        <v>2000000</v>
      </c>
      <c r="D114" s="117">
        <f>+D115+D117+D119</f>
        <v>2000000</v>
      </c>
      <c r="E114" s="39">
        <f>+E115+E117+E119</f>
        <v>1585675</v>
      </c>
    </row>
    <row r="115" spans="1:5" ht="12" customHeight="1">
      <c r="A115" s="355" t="s">
        <v>130</v>
      </c>
      <c r="B115" s="99" t="s">
        <v>320</v>
      </c>
      <c r="C115" s="43"/>
      <c r="D115" s="43"/>
      <c r="E115" s="53"/>
    </row>
    <row r="116" spans="1:5" ht="12" customHeight="1">
      <c r="A116" s="355" t="s">
        <v>132</v>
      </c>
      <c r="B116" s="114" t="s">
        <v>321</v>
      </c>
      <c r="C116" s="43"/>
      <c r="D116" s="43"/>
      <c r="E116" s="53"/>
    </row>
    <row r="117" spans="1:5" ht="12" customHeight="1">
      <c r="A117" s="355" t="s">
        <v>134</v>
      </c>
      <c r="B117" s="114" t="s">
        <v>322</v>
      </c>
      <c r="C117" s="44"/>
      <c r="D117" s="44"/>
      <c r="E117" s="50"/>
    </row>
    <row r="118" spans="1:5" ht="12" customHeight="1">
      <c r="A118" s="355" t="s">
        <v>136</v>
      </c>
      <c r="B118" s="114" t="s">
        <v>323</v>
      </c>
      <c r="C118" s="50"/>
      <c r="D118" s="50"/>
      <c r="E118" s="50"/>
    </row>
    <row r="119" spans="1:5" ht="12" customHeight="1">
      <c r="A119" s="355" t="s">
        <v>138</v>
      </c>
      <c r="B119" s="49" t="s">
        <v>324</v>
      </c>
      <c r="C119" s="50">
        <v>2000000</v>
      </c>
      <c r="D119" s="50">
        <v>2000000</v>
      </c>
      <c r="E119" s="50">
        <v>1585675</v>
      </c>
    </row>
    <row r="120" spans="1:5" ht="12" customHeight="1">
      <c r="A120" s="355" t="s">
        <v>140</v>
      </c>
      <c r="B120" s="47" t="s">
        <v>325</v>
      </c>
      <c r="C120" s="50"/>
      <c r="D120" s="50"/>
      <c r="E120" s="50"/>
    </row>
    <row r="121" spans="1:5" ht="12" customHeight="1">
      <c r="A121" s="355" t="s">
        <v>326</v>
      </c>
      <c r="B121" s="115" t="s">
        <v>327</v>
      </c>
      <c r="C121" s="50"/>
      <c r="D121" s="50"/>
      <c r="E121" s="50"/>
    </row>
    <row r="122" spans="1:5" ht="12" customHeight="1">
      <c r="A122" s="355" t="s">
        <v>328</v>
      </c>
      <c r="B122" s="104" t="s">
        <v>300</v>
      </c>
      <c r="C122" s="50"/>
      <c r="D122" s="50"/>
      <c r="E122" s="50"/>
    </row>
    <row r="123" spans="1:5" ht="12" customHeight="1">
      <c r="A123" s="355" t="s">
        <v>329</v>
      </c>
      <c r="B123" s="104" t="s">
        <v>330</v>
      </c>
      <c r="C123" s="50"/>
      <c r="D123" s="50"/>
      <c r="E123" s="50"/>
    </row>
    <row r="124" spans="1:5" ht="12" customHeight="1">
      <c r="A124" s="355" t="s">
        <v>331</v>
      </c>
      <c r="B124" s="104" t="s">
        <v>332</v>
      </c>
      <c r="C124" s="50"/>
      <c r="D124" s="50"/>
      <c r="E124" s="50"/>
    </row>
    <row r="125" spans="1:5" ht="12" customHeight="1">
      <c r="A125" s="355" t="s">
        <v>333</v>
      </c>
      <c r="B125" s="104" t="s">
        <v>306</v>
      </c>
      <c r="C125" s="50">
        <v>2000000</v>
      </c>
      <c r="D125" s="50">
        <v>2000000</v>
      </c>
      <c r="E125" s="50">
        <v>1585675</v>
      </c>
    </row>
    <row r="126" spans="1:5" ht="12" customHeight="1">
      <c r="A126" s="355" t="s">
        <v>334</v>
      </c>
      <c r="B126" s="104" t="s">
        <v>335</v>
      </c>
      <c r="C126" s="50"/>
      <c r="D126" s="50"/>
      <c r="E126" s="50"/>
    </row>
    <row r="127" spans="1:5" ht="12" customHeight="1">
      <c r="A127" s="380" t="s">
        <v>336</v>
      </c>
      <c r="B127" s="104" t="s">
        <v>337</v>
      </c>
      <c r="C127" s="57"/>
      <c r="D127" s="57"/>
      <c r="E127" s="57"/>
    </row>
    <row r="128" spans="1:5" ht="12" customHeight="1">
      <c r="A128" s="88" t="s">
        <v>142</v>
      </c>
      <c r="B128" s="116" t="s">
        <v>338</v>
      </c>
      <c r="C128" s="38">
        <f>+C93+C114</f>
        <v>2000000</v>
      </c>
      <c r="D128" s="117">
        <f>+D93+D114</f>
        <v>2000000</v>
      </c>
      <c r="E128" s="39">
        <f>+E93+E114</f>
        <v>1585675</v>
      </c>
    </row>
    <row r="129" spans="1:5" ht="12" customHeight="1">
      <c r="A129" s="88" t="s">
        <v>339</v>
      </c>
      <c r="B129" s="116" t="s">
        <v>583</v>
      </c>
      <c r="C129" s="38">
        <f>+C130+C131+C132</f>
        <v>0</v>
      </c>
      <c r="D129" s="117">
        <f>+D130+D131+D132</f>
        <v>0</v>
      </c>
      <c r="E129" s="39">
        <f>+E130+E131+E132</f>
        <v>0</v>
      </c>
    </row>
    <row r="130" spans="1:5" s="378" customFormat="1" ht="12" customHeight="1">
      <c r="A130" s="355" t="s">
        <v>158</v>
      </c>
      <c r="B130" s="119" t="s">
        <v>584</v>
      </c>
      <c r="C130" s="54"/>
      <c r="D130" s="118"/>
      <c r="E130" s="50"/>
    </row>
    <row r="131" spans="1:5" ht="12" customHeight="1">
      <c r="A131" s="355" t="s">
        <v>160</v>
      </c>
      <c r="B131" s="119" t="s">
        <v>342</v>
      </c>
      <c r="C131" s="54"/>
      <c r="D131" s="118"/>
      <c r="E131" s="50"/>
    </row>
    <row r="132" spans="1:5" ht="12" customHeight="1">
      <c r="A132" s="380" t="s">
        <v>162</v>
      </c>
      <c r="B132" s="124" t="s">
        <v>585</v>
      </c>
      <c r="C132" s="54"/>
      <c r="D132" s="118"/>
      <c r="E132" s="50"/>
    </row>
    <row r="133" spans="1:5" ht="12" customHeight="1">
      <c r="A133" s="88" t="s">
        <v>172</v>
      </c>
      <c r="B133" s="116" t="s">
        <v>344</v>
      </c>
      <c r="C133" s="38">
        <f>+C134+C135+C136+C137+C138+C139</f>
        <v>0</v>
      </c>
      <c r="D133" s="117">
        <f>+D134+D135+D136+D137+D138+D139</f>
        <v>0</v>
      </c>
      <c r="E133" s="39">
        <f>+E134+E135+E136+E137+E138+E139</f>
        <v>0</v>
      </c>
    </row>
    <row r="134" spans="1:5" ht="12" customHeight="1">
      <c r="A134" s="355" t="s">
        <v>174</v>
      </c>
      <c r="B134" s="119" t="s">
        <v>345</v>
      </c>
      <c r="C134" s="54"/>
      <c r="D134" s="118"/>
      <c r="E134" s="50"/>
    </row>
    <row r="135" spans="1:5" ht="12" customHeight="1">
      <c r="A135" s="355" t="s">
        <v>176</v>
      </c>
      <c r="B135" s="119" t="s">
        <v>346</v>
      </c>
      <c r="C135" s="54"/>
      <c r="D135" s="118"/>
      <c r="E135" s="50"/>
    </row>
    <row r="136" spans="1:5" ht="12" customHeight="1">
      <c r="A136" s="355" t="s">
        <v>178</v>
      </c>
      <c r="B136" s="119" t="s">
        <v>347</v>
      </c>
      <c r="C136" s="54"/>
      <c r="D136" s="118"/>
      <c r="E136" s="50"/>
    </row>
    <row r="137" spans="1:5" ht="12" customHeight="1">
      <c r="A137" s="355" t="s">
        <v>180</v>
      </c>
      <c r="B137" s="119" t="s">
        <v>586</v>
      </c>
      <c r="C137" s="54"/>
      <c r="D137" s="118"/>
      <c r="E137" s="50"/>
    </row>
    <row r="138" spans="1:5" ht="12" customHeight="1">
      <c r="A138" s="355" t="s">
        <v>182</v>
      </c>
      <c r="B138" s="119" t="s">
        <v>349</v>
      </c>
      <c r="C138" s="54"/>
      <c r="D138" s="118"/>
      <c r="E138" s="50"/>
    </row>
    <row r="139" spans="1:5" s="378" customFormat="1" ht="12" customHeight="1">
      <c r="A139" s="380" t="s">
        <v>184</v>
      </c>
      <c r="B139" s="124" t="s">
        <v>350</v>
      </c>
      <c r="C139" s="54"/>
      <c r="D139" s="118"/>
      <c r="E139" s="50"/>
    </row>
    <row r="140" spans="1:11" ht="12" customHeight="1">
      <c r="A140" s="88" t="s">
        <v>196</v>
      </c>
      <c r="B140" s="116" t="s">
        <v>587</v>
      </c>
      <c r="C140" s="59">
        <f>+C141+C142+C144+C145+C143</f>
        <v>0</v>
      </c>
      <c r="D140" s="123">
        <f>+D141+D142+D144+D145+D143</f>
        <v>0</v>
      </c>
      <c r="E140" s="60">
        <f>+E141+E142+E144+E145+E143</f>
        <v>0</v>
      </c>
      <c r="K140" s="382"/>
    </row>
    <row r="141" spans="1:5" ht="12.75">
      <c r="A141" s="355" t="s">
        <v>198</v>
      </c>
      <c r="B141" s="119" t="s">
        <v>352</v>
      </c>
      <c r="C141" s="54"/>
      <c r="D141" s="118"/>
      <c r="E141" s="50"/>
    </row>
    <row r="142" spans="1:5" ht="12" customHeight="1">
      <c r="A142" s="355" t="s">
        <v>200</v>
      </c>
      <c r="B142" s="119" t="s">
        <v>353</v>
      </c>
      <c r="C142" s="54"/>
      <c r="D142" s="118"/>
      <c r="E142" s="50"/>
    </row>
    <row r="143" spans="1:5" ht="12" customHeight="1">
      <c r="A143" s="355" t="s">
        <v>202</v>
      </c>
      <c r="B143" s="119" t="s">
        <v>588</v>
      </c>
      <c r="C143" s="54"/>
      <c r="D143" s="118"/>
      <c r="E143" s="50"/>
    </row>
    <row r="144" spans="1:5" s="378" customFormat="1" ht="12" customHeight="1">
      <c r="A144" s="355" t="s">
        <v>204</v>
      </c>
      <c r="B144" s="119" t="s">
        <v>354</v>
      </c>
      <c r="C144" s="54"/>
      <c r="D144" s="118"/>
      <c r="E144" s="50"/>
    </row>
    <row r="145" spans="1:5" s="378" customFormat="1" ht="12" customHeight="1">
      <c r="A145" s="380" t="s">
        <v>206</v>
      </c>
      <c r="B145" s="124" t="s">
        <v>355</v>
      </c>
      <c r="C145" s="54"/>
      <c r="D145" s="118"/>
      <c r="E145" s="50"/>
    </row>
    <row r="146" spans="1:5" s="378" customFormat="1" ht="12" customHeight="1">
      <c r="A146" s="88" t="s">
        <v>356</v>
      </c>
      <c r="B146" s="116" t="s">
        <v>357</v>
      </c>
      <c r="C146" s="125">
        <f>+C147+C148+C149+C150+C151</f>
        <v>0</v>
      </c>
      <c r="D146" s="126">
        <f>+D147+D148+D149+D150+D151</f>
        <v>0</v>
      </c>
      <c r="E146" s="127">
        <f>+E147+E148+E149+E150+E151</f>
        <v>0</v>
      </c>
    </row>
    <row r="147" spans="1:5" s="378" customFormat="1" ht="12" customHeight="1">
      <c r="A147" s="355" t="s">
        <v>210</v>
      </c>
      <c r="B147" s="119" t="s">
        <v>358</v>
      </c>
      <c r="C147" s="54"/>
      <c r="D147" s="118"/>
      <c r="E147" s="50"/>
    </row>
    <row r="148" spans="1:5" s="378" customFormat="1" ht="12" customHeight="1">
      <c r="A148" s="355" t="s">
        <v>212</v>
      </c>
      <c r="B148" s="119" t="s">
        <v>359</v>
      </c>
      <c r="C148" s="54"/>
      <c r="D148" s="118"/>
      <c r="E148" s="50"/>
    </row>
    <row r="149" spans="1:5" s="378" customFormat="1" ht="12" customHeight="1">
      <c r="A149" s="355" t="s">
        <v>214</v>
      </c>
      <c r="B149" s="119" t="s">
        <v>360</v>
      </c>
      <c r="C149" s="54"/>
      <c r="D149" s="118"/>
      <c r="E149" s="50"/>
    </row>
    <row r="150" spans="1:5" s="378" customFormat="1" ht="12" customHeight="1">
      <c r="A150" s="355" t="s">
        <v>216</v>
      </c>
      <c r="B150" s="119" t="s">
        <v>589</v>
      </c>
      <c r="C150" s="54"/>
      <c r="D150" s="118"/>
      <c r="E150" s="50"/>
    </row>
    <row r="151" spans="1:5" ht="12.75" customHeight="1">
      <c r="A151" s="380" t="s">
        <v>362</v>
      </c>
      <c r="B151" s="124" t="s">
        <v>363</v>
      </c>
      <c r="C151" s="56"/>
      <c r="D151" s="147"/>
      <c r="E151" s="57"/>
    </row>
    <row r="152" spans="1:5" ht="12.75" customHeight="1">
      <c r="A152" s="384" t="s">
        <v>218</v>
      </c>
      <c r="B152" s="116" t="s">
        <v>364</v>
      </c>
      <c r="C152" s="125"/>
      <c r="D152" s="126"/>
      <c r="E152" s="127"/>
    </row>
    <row r="153" spans="1:5" ht="12.75" customHeight="1">
      <c r="A153" s="384" t="s">
        <v>365</v>
      </c>
      <c r="B153" s="116" t="s">
        <v>366</v>
      </c>
      <c r="C153" s="125"/>
      <c r="D153" s="126"/>
      <c r="E153" s="127"/>
    </row>
    <row r="154" spans="1:5" ht="12" customHeight="1">
      <c r="A154" s="88" t="s">
        <v>367</v>
      </c>
      <c r="B154" s="116" t="s">
        <v>368</v>
      </c>
      <c r="C154" s="131">
        <f>+C129+C133+C140+C146+C152+C153</f>
        <v>0</v>
      </c>
      <c r="D154" s="132">
        <f>+D129+D133+D140+D146+D152+D153</f>
        <v>0</v>
      </c>
      <c r="E154" s="133">
        <f>+E129+E133+E140+E146+E152+E153</f>
        <v>0</v>
      </c>
    </row>
    <row r="155" spans="1:5" ht="15" customHeight="1">
      <c r="A155" s="385" t="s">
        <v>369</v>
      </c>
      <c r="B155" s="137" t="s">
        <v>370</v>
      </c>
      <c r="C155" s="131">
        <f>+C128+C154</f>
        <v>2000000</v>
      </c>
      <c r="D155" s="132">
        <f>+D128+D154</f>
        <v>2000000</v>
      </c>
      <c r="E155" s="133">
        <f>+E128+E154</f>
        <v>1585675</v>
      </c>
    </row>
    <row r="156" spans="3:5" ht="12.75">
      <c r="C156" s="386">
        <f>C90-C155</f>
        <v>8425392</v>
      </c>
      <c r="D156" s="386">
        <f>D90-D155</f>
        <v>26372832</v>
      </c>
      <c r="E156" s="333"/>
    </row>
    <row r="157" spans="1:5" ht="15" customHeight="1">
      <c r="A157" s="391" t="s">
        <v>590</v>
      </c>
      <c r="B157" s="392"/>
      <c r="C157" s="389"/>
      <c r="D157" s="389"/>
      <c r="E157" s="390"/>
    </row>
    <row r="158" spans="1:5" ht="14.25" customHeight="1">
      <c r="A158" s="393" t="s">
        <v>591</v>
      </c>
      <c r="B158" s="394"/>
      <c r="C158" s="389"/>
      <c r="D158" s="389"/>
      <c r="E158" s="390"/>
    </row>
  </sheetData>
  <sheetProtection selectLockedCells="1" selectUnlockedCells="1"/>
  <mergeCells count="4">
    <mergeCell ref="B2:D2"/>
    <mergeCell ref="B3:D3"/>
    <mergeCell ref="A7:E7"/>
    <mergeCell ref="A92:E92"/>
  </mergeCells>
  <printOptions horizontalCentered="1"/>
  <pageMargins left="0.25" right="0.25" top="0.75" bottom="0.75" header="0.5118055555555555" footer="0.5118055555555555"/>
  <pageSetup fitToHeight="0" fitToWidth="1" horizontalDpi="300" verticalDpi="300" orientation="portrait" paperSize="9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20" zoomScaleNormal="120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16.125" style="331" customWidth="1"/>
    <col min="2" max="2" width="62.00390625" style="332" customWidth="1"/>
    <col min="3" max="3" width="14.125" style="333" customWidth="1"/>
    <col min="4" max="5" width="14.125" style="334" customWidth="1"/>
    <col min="6" max="16384" width="9.375" style="334" customWidth="1"/>
  </cols>
  <sheetData>
    <row r="1" spans="1:5" s="336" customFormat="1" ht="16.5" customHeight="1">
      <c r="A1" s="335"/>
      <c r="B1" s="847" t="str">
        <f>CONCATENATE("6.1.3. melléklet ",Z_ALAPADATOK!A7," ",Z_ALAPADATOK!B7," ",Z_ALAPADATOK!C7," ",Z_ALAPADATOK!D7," ",Z_ALAPADATOK!E7," ",Z_ALAPADATOK!F7," ",Z_ALAPADATOK!G7," ",Z_ALAPADATOK!H7)</f>
        <v>6.1.3. melléklet a … / 2019. ( … ) önkormányzati rendelethez</v>
      </c>
      <c r="C1" s="847"/>
      <c r="D1" s="847"/>
      <c r="E1" s="847"/>
    </row>
    <row r="2" spans="1:5" s="339" customFormat="1" ht="21" customHeight="1">
      <c r="A2" s="337" t="s">
        <v>382</v>
      </c>
      <c r="B2" s="848" t="str">
        <f>CONCATENATE(Z_ALAPADATOK!A3)</f>
        <v>Balatonvilágos Község Önkormányzata</v>
      </c>
      <c r="C2" s="848"/>
      <c r="D2" s="848"/>
      <c r="E2" s="338" t="s">
        <v>566</v>
      </c>
    </row>
    <row r="3" spans="1:5" s="339" customFormat="1" ht="24.75" customHeight="1">
      <c r="A3" s="337" t="s">
        <v>567</v>
      </c>
      <c r="B3" s="848" t="s">
        <v>595</v>
      </c>
      <c r="C3" s="848"/>
      <c r="D3" s="848"/>
      <c r="E3" s="340" t="s">
        <v>593</v>
      </c>
    </row>
    <row r="4" spans="1:5" s="345" customFormat="1" ht="15.75" customHeight="1">
      <c r="A4" s="341"/>
      <c r="B4" s="341"/>
      <c r="C4" s="342"/>
      <c r="D4" s="343"/>
      <c r="E4" s="342" t="str">
        <f>'Z_6.1.2.sz.mell'!E4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CONCATENATE('Z_6.1.2.sz.mell'!E5)</f>
        <v>Teljesítés
2018. XII. 31.</v>
      </c>
    </row>
    <row r="6" spans="1:5" s="354" customFormat="1" ht="12.75" customHeight="1">
      <c r="A6" s="350" t="s">
        <v>109</v>
      </c>
      <c r="B6" s="351" t="s">
        <v>110</v>
      </c>
      <c r="C6" s="351" t="s">
        <v>111</v>
      </c>
      <c r="D6" s="352" t="s">
        <v>112</v>
      </c>
      <c r="E6" s="353" t="s">
        <v>113</v>
      </c>
    </row>
    <row r="7" spans="1:5" s="354" customFormat="1" ht="15.75" customHeight="1">
      <c r="A7" s="849" t="s">
        <v>380</v>
      </c>
      <c r="B7" s="849"/>
      <c r="C7" s="849"/>
      <c r="D7" s="849"/>
      <c r="E7" s="849"/>
    </row>
    <row r="8" spans="1:5" s="354" customFormat="1" ht="12" customHeight="1">
      <c r="A8" s="88" t="s">
        <v>114</v>
      </c>
      <c r="B8" s="37" t="s">
        <v>115</v>
      </c>
      <c r="C8" s="38">
        <f>+C9+C10+C11+C12+C13+C14</f>
        <v>0</v>
      </c>
      <c r="D8" s="117">
        <f>+D9+D10+D11+D12+D13+D14</f>
        <v>0</v>
      </c>
      <c r="E8" s="39">
        <f>+E9+E10+E11+E12+E13+E14</f>
        <v>0</v>
      </c>
    </row>
    <row r="9" spans="1:5" s="356" customFormat="1" ht="12" customHeight="1">
      <c r="A9" s="355" t="s">
        <v>116</v>
      </c>
      <c r="B9" s="42" t="s">
        <v>117</v>
      </c>
      <c r="C9" s="52"/>
      <c r="D9" s="149"/>
      <c r="E9" s="53"/>
    </row>
    <row r="10" spans="1:5" s="358" customFormat="1" ht="12" customHeight="1">
      <c r="A10" s="357" t="s">
        <v>118</v>
      </c>
      <c r="B10" s="46" t="s">
        <v>119</v>
      </c>
      <c r="C10" s="54"/>
      <c r="D10" s="118"/>
      <c r="E10" s="50"/>
    </row>
    <row r="11" spans="1:5" s="358" customFormat="1" ht="12" customHeight="1">
      <c r="A11" s="357" t="s">
        <v>120</v>
      </c>
      <c r="B11" s="46" t="s">
        <v>121</v>
      </c>
      <c r="C11" s="54"/>
      <c r="D11" s="118"/>
      <c r="E11" s="50"/>
    </row>
    <row r="12" spans="1:5" s="358" customFormat="1" ht="12" customHeight="1">
      <c r="A12" s="357" t="s">
        <v>122</v>
      </c>
      <c r="B12" s="46" t="s">
        <v>123</v>
      </c>
      <c r="C12" s="54"/>
      <c r="D12" s="118"/>
      <c r="E12" s="50"/>
    </row>
    <row r="13" spans="1:5" s="358" customFormat="1" ht="12" customHeight="1">
      <c r="A13" s="357" t="s">
        <v>124</v>
      </c>
      <c r="B13" s="46" t="s">
        <v>573</v>
      </c>
      <c r="C13" s="54"/>
      <c r="D13" s="118"/>
      <c r="E13" s="50"/>
    </row>
    <row r="14" spans="1:5" s="356" customFormat="1" ht="12" customHeight="1">
      <c r="A14" s="359" t="s">
        <v>126</v>
      </c>
      <c r="B14" s="58" t="s">
        <v>127</v>
      </c>
      <c r="C14" s="54"/>
      <c r="D14" s="118"/>
      <c r="E14" s="50"/>
    </row>
    <row r="15" spans="1:5" s="356" customFormat="1" ht="12" customHeight="1">
      <c r="A15" s="88" t="s">
        <v>128</v>
      </c>
      <c r="B15" s="51" t="s">
        <v>129</v>
      </c>
      <c r="C15" s="38">
        <f>+C16+C17+C18+C19+C20</f>
        <v>0</v>
      </c>
      <c r="D15" s="117">
        <f>+D16+D17+D18+D19+D20</f>
        <v>0</v>
      </c>
      <c r="E15" s="39">
        <f>+E16+E17+E18+E19+E20</f>
        <v>0</v>
      </c>
    </row>
    <row r="16" spans="1:5" s="356" customFormat="1" ht="12" customHeight="1">
      <c r="A16" s="355" t="s">
        <v>130</v>
      </c>
      <c r="B16" s="42" t="s">
        <v>131</v>
      </c>
      <c r="C16" s="52"/>
      <c r="D16" s="149"/>
      <c r="E16" s="53"/>
    </row>
    <row r="17" spans="1:5" s="356" customFormat="1" ht="12" customHeight="1">
      <c r="A17" s="357" t="s">
        <v>132</v>
      </c>
      <c r="B17" s="46" t="s">
        <v>133</v>
      </c>
      <c r="C17" s="54"/>
      <c r="D17" s="118"/>
      <c r="E17" s="50"/>
    </row>
    <row r="18" spans="1:5" s="356" customFormat="1" ht="12" customHeight="1">
      <c r="A18" s="357" t="s">
        <v>134</v>
      </c>
      <c r="B18" s="46" t="s">
        <v>135</v>
      </c>
      <c r="C18" s="54"/>
      <c r="D18" s="118"/>
      <c r="E18" s="50"/>
    </row>
    <row r="19" spans="1:5" s="356" customFormat="1" ht="12" customHeight="1">
      <c r="A19" s="357" t="s">
        <v>136</v>
      </c>
      <c r="B19" s="46" t="s">
        <v>137</v>
      </c>
      <c r="C19" s="54"/>
      <c r="D19" s="118"/>
      <c r="E19" s="50"/>
    </row>
    <row r="20" spans="1:5" s="356" customFormat="1" ht="12" customHeight="1">
      <c r="A20" s="357" t="s">
        <v>138</v>
      </c>
      <c r="B20" s="46" t="s">
        <v>139</v>
      </c>
      <c r="C20" s="54"/>
      <c r="D20" s="118"/>
      <c r="E20" s="50"/>
    </row>
    <row r="21" spans="1:5" s="358" customFormat="1" ht="12" customHeight="1">
      <c r="A21" s="359" t="s">
        <v>140</v>
      </c>
      <c r="B21" s="58" t="s">
        <v>141</v>
      </c>
      <c r="C21" s="56"/>
      <c r="D21" s="147"/>
      <c r="E21" s="57"/>
    </row>
    <row r="22" spans="1:5" s="358" customFormat="1" ht="12" customHeight="1">
      <c r="A22" s="88" t="s">
        <v>142</v>
      </c>
      <c r="B22" s="37" t="s">
        <v>143</v>
      </c>
      <c r="C22" s="38">
        <f>+C23+C24+C25+C26+C27</f>
        <v>0</v>
      </c>
      <c r="D22" s="117">
        <f>+D23+D24+D25+D26+D27</f>
        <v>0</v>
      </c>
      <c r="E22" s="39">
        <f>+E23+E24+E25+E26+E27</f>
        <v>0</v>
      </c>
    </row>
    <row r="23" spans="1:5" s="358" customFormat="1" ht="12" customHeight="1">
      <c r="A23" s="355" t="s">
        <v>144</v>
      </c>
      <c r="B23" s="42" t="s">
        <v>145</v>
      </c>
      <c r="C23" s="52"/>
      <c r="D23" s="149"/>
      <c r="E23" s="53"/>
    </row>
    <row r="24" spans="1:5" s="356" customFormat="1" ht="12" customHeight="1">
      <c r="A24" s="357" t="s">
        <v>146</v>
      </c>
      <c r="B24" s="46" t="s">
        <v>147</v>
      </c>
      <c r="C24" s="54"/>
      <c r="D24" s="118"/>
      <c r="E24" s="50"/>
    </row>
    <row r="25" spans="1:5" s="358" customFormat="1" ht="12" customHeight="1">
      <c r="A25" s="357" t="s">
        <v>148</v>
      </c>
      <c r="B25" s="46" t="s">
        <v>149</v>
      </c>
      <c r="C25" s="54"/>
      <c r="D25" s="118"/>
      <c r="E25" s="50"/>
    </row>
    <row r="26" spans="1:5" s="358" customFormat="1" ht="12" customHeight="1">
      <c r="A26" s="357" t="s">
        <v>150</v>
      </c>
      <c r="B26" s="46" t="s">
        <v>151</v>
      </c>
      <c r="C26" s="54"/>
      <c r="D26" s="118"/>
      <c r="E26" s="50"/>
    </row>
    <row r="27" spans="1:5" s="358" customFormat="1" ht="12" customHeight="1">
      <c r="A27" s="357" t="s">
        <v>152</v>
      </c>
      <c r="B27" s="46" t="s">
        <v>153</v>
      </c>
      <c r="C27" s="54"/>
      <c r="D27" s="118"/>
      <c r="E27" s="50"/>
    </row>
    <row r="28" spans="1:5" s="358" customFormat="1" ht="12" customHeight="1">
      <c r="A28" s="359" t="s">
        <v>154</v>
      </c>
      <c r="B28" s="58" t="s">
        <v>155</v>
      </c>
      <c r="C28" s="56"/>
      <c r="D28" s="147"/>
      <c r="E28" s="57"/>
    </row>
    <row r="29" spans="1:5" s="358" customFormat="1" ht="12" customHeight="1">
      <c r="A29" s="88" t="s">
        <v>156</v>
      </c>
      <c r="B29" s="37" t="s">
        <v>157</v>
      </c>
      <c r="C29" s="59">
        <f>SUM(C30:C36)</f>
        <v>0</v>
      </c>
      <c r="D29" s="59">
        <f>SUM(D30:D36)</f>
        <v>0</v>
      </c>
      <c r="E29" s="60">
        <f>SUM(E30:E36)</f>
        <v>0</v>
      </c>
    </row>
    <row r="30" spans="1:5" s="358" customFormat="1" ht="12" customHeight="1">
      <c r="A30" s="355" t="s">
        <v>158</v>
      </c>
      <c r="B30" s="42" t="s">
        <v>159</v>
      </c>
      <c r="C30" s="52">
        <f>+C31+C32+C33</f>
        <v>0</v>
      </c>
      <c r="D30" s="52">
        <f>+D31+D32+D33</f>
        <v>0</v>
      </c>
      <c r="E30" s="53">
        <f>+E31+E32+E33</f>
        <v>0</v>
      </c>
    </row>
    <row r="31" spans="1:5" s="358" customFormat="1" ht="12" customHeight="1">
      <c r="A31" s="357" t="s">
        <v>160</v>
      </c>
      <c r="B31" s="46" t="s">
        <v>161</v>
      </c>
      <c r="C31" s="54"/>
      <c r="D31" s="54"/>
      <c r="E31" s="50"/>
    </row>
    <row r="32" spans="1:5" s="358" customFormat="1" ht="12" customHeight="1">
      <c r="A32" s="357" t="s">
        <v>162</v>
      </c>
      <c r="B32" s="46" t="s">
        <v>163</v>
      </c>
      <c r="C32" s="54"/>
      <c r="D32" s="54"/>
      <c r="E32" s="50"/>
    </row>
    <row r="33" spans="1:5" s="358" customFormat="1" ht="12" customHeight="1">
      <c r="A33" s="357" t="s">
        <v>164</v>
      </c>
      <c r="B33" s="46" t="s">
        <v>165</v>
      </c>
      <c r="C33" s="54"/>
      <c r="D33" s="54"/>
      <c r="E33" s="50"/>
    </row>
    <row r="34" spans="1:5" s="358" customFormat="1" ht="12" customHeight="1">
      <c r="A34" s="357" t="s">
        <v>166</v>
      </c>
      <c r="B34" s="46" t="s">
        <v>167</v>
      </c>
      <c r="C34" s="54"/>
      <c r="D34" s="54"/>
      <c r="E34" s="50"/>
    </row>
    <row r="35" spans="1:5" s="358" customFormat="1" ht="12" customHeight="1">
      <c r="A35" s="357" t="s">
        <v>168</v>
      </c>
      <c r="B35" s="46" t="s">
        <v>169</v>
      </c>
      <c r="C35" s="54"/>
      <c r="D35" s="54"/>
      <c r="E35" s="50"/>
    </row>
    <row r="36" spans="1:5" s="358" customFormat="1" ht="12" customHeight="1">
      <c r="A36" s="359" t="s">
        <v>170</v>
      </c>
      <c r="B36" s="61" t="s">
        <v>171</v>
      </c>
      <c r="C36" s="56"/>
      <c r="D36" s="56"/>
      <c r="E36" s="57"/>
    </row>
    <row r="37" spans="1:5" s="358" customFormat="1" ht="12" customHeight="1">
      <c r="A37" s="88" t="s">
        <v>172</v>
      </c>
      <c r="B37" s="37" t="s">
        <v>173</v>
      </c>
      <c r="C37" s="38">
        <f>SUM(C38:C48)</f>
        <v>0</v>
      </c>
      <c r="D37" s="117">
        <f>SUM(D38:D48)</f>
        <v>0</v>
      </c>
      <c r="E37" s="39">
        <f>SUM(E38:E48)</f>
        <v>0</v>
      </c>
    </row>
    <row r="38" spans="1:5" s="358" customFormat="1" ht="12" customHeight="1">
      <c r="A38" s="355" t="s">
        <v>174</v>
      </c>
      <c r="B38" s="42" t="s">
        <v>175</v>
      </c>
      <c r="C38" s="52"/>
      <c r="D38" s="149"/>
      <c r="E38" s="53"/>
    </row>
    <row r="39" spans="1:5" s="358" customFormat="1" ht="12" customHeight="1">
      <c r="A39" s="357" t="s">
        <v>176</v>
      </c>
      <c r="B39" s="46" t="s">
        <v>177</v>
      </c>
      <c r="C39" s="54"/>
      <c r="D39" s="118"/>
      <c r="E39" s="50"/>
    </row>
    <row r="40" spans="1:5" s="358" customFormat="1" ht="12" customHeight="1">
      <c r="A40" s="357" t="s">
        <v>178</v>
      </c>
      <c r="B40" s="46" t="s">
        <v>179</v>
      </c>
      <c r="C40" s="54"/>
      <c r="D40" s="118"/>
      <c r="E40" s="50"/>
    </row>
    <row r="41" spans="1:5" s="358" customFormat="1" ht="12" customHeight="1">
      <c r="A41" s="357" t="s">
        <v>180</v>
      </c>
      <c r="B41" s="46" t="s">
        <v>181</v>
      </c>
      <c r="C41" s="54"/>
      <c r="D41" s="118"/>
      <c r="E41" s="50"/>
    </row>
    <row r="42" spans="1:5" s="358" customFormat="1" ht="12" customHeight="1">
      <c r="A42" s="357" t="s">
        <v>182</v>
      </c>
      <c r="B42" s="46" t="s">
        <v>183</v>
      </c>
      <c r="C42" s="54"/>
      <c r="D42" s="118"/>
      <c r="E42" s="50"/>
    </row>
    <row r="43" spans="1:5" s="358" customFormat="1" ht="12" customHeight="1">
      <c r="A43" s="357" t="s">
        <v>184</v>
      </c>
      <c r="B43" s="46" t="s">
        <v>185</v>
      </c>
      <c r="C43" s="54"/>
      <c r="D43" s="118"/>
      <c r="E43" s="50"/>
    </row>
    <row r="44" spans="1:5" s="358" customFormat="1" ht="12" customHeight="1">
      <c r="A44" s="357" t="s">
        <v>186</v>
      </c>
      <c r="B44" s="46" t="s">
        <v>187</v>
      </c>
      <c r="C44" s="54"/>
      <c r="D44" s="118"/>
      <c r="E44" s="50"/>
    </row>
    <row r="45" spans="1:5" s="358" customFormat="1" ht="12" customHeight="1">
      <c r="A45" s="357" t="s">
        <v>188</v>
      </c>
      <c r="B45" s="46" t="s">
        <v>189</v>
      </c>
      <c r="C45" s="54"/>
      <c r="D45" s="118"/>
      <c r="E45" s="50"/>
    </row>
    <row r="46" spans="1:5" s="358" customFormat="1" ht="12" customHeight="1">
      <c r="A46" s="357" t="s">
        <v>190</v>
      </c>
      <c r="B46" s="46" t="s">
        <v>191</v>
      </c>
      <c r="C46" s="66"/>
      <c r="D46" s="363"/>
      <c r="E46" s="68"/>
    </row>
    <row r="47" spans="1:5" s="358" customFormat="1" ht="12" customHeight="1">
      <c r="A47" s="359" t="s">
        <v>192</v>
      </c>
      <c r="B47" s="58" t="s">
        <v>193</v>
      </c>
      <c r="C47" s="67"/>
      <c r="D47" s="364"/>
      <c r="E47" s="143"/>
    </row>
    <row r="48" spans="1:5" s="358" customFormat="1" ht="12" customHeight="1">
      <c r="A48" s="359" t="s">
        <v>194</v>
      </c>
      <c r="B48" s="58" t="s">
        <v>195</v>
      </c>
      <c r="C48" s="67"/>
      <c r="D48" s="364"/>
      <c r="E48" s="143"/>
    </row>
    <row r="49" spans="1:5" s="358" customFormat="1" ht="12" customHeight="1">
      <c r="A49" s="88" t="s">
        <v>196</v>
      </c>
      <c r="B49" s="37" t="s">
        <v>197</v>
      </c>
      <c r="C49" s="38">
        <f>SUM(C50:C54)</f>
        <v>0</v>
      </c>
      <c r="D49" s="117">
        <f>SUM(D50:D54)</f>
        <v>0</v>
      </c>
      <c r="E49" s="39">
        <f>SUM(E50:E54)</f>
        <v>0</v>
      </c>
    </row>
    <row r="50" spans="1:5" s="358" customFormat="1" ht="12" customHeight="1">
      <c r="A50" s="355" t="s">
        <v>198</v>
      </c>
      <c r="B50" s="42" t="s">
        <v>199</v>
      </c>
      <c r="C50" s="65"/>
      <c r="D50" s="362"/>
      <c r="E50" s="144"/>
    </row>
    <row r="51" spans="1:5" s="358" customFormat="1" ht="12" customHeight="1">
      <c r="A51" s="357" t="s">
        <v>200</v>
      </c>
      <c r="B51" s="46" t="s">
        <v>201</v>
      </c>
      <c r="C51" s="66"/>
      <c r="D51" s="363"/>
      <c r="E51" s="68"/>
    </row>
    <row r="52" spans="1:5" s="358" customFormat="1" ht="12" customHeight="1">
      <c r="A52" s="357" t="s">
        <v>202</v>
      </c>
      <c r="B52" s="46" t="s">
        <v>203</v>
      </c>
      <c r="C52" s="66"/>
      <c r="D52" s="363"/>
      <c r="E52" s="68"/>
    </row>
    <row r="53" spans="1:5" s="358" customFormat="1" ht="12" customHeight="1">
      <c r="A53" s="357" t="s">
        <v>204</v>
      </c>
      <c r="B53" s="46" t="s">
        <v>205</v>
      </c>
      <c r="C53" s="66"/>
      <c r="D53" s="363"/>
      <c r="E53" s="68"/>
    </row>
    <row r="54" spans="1:5" s="358" customFormat="1" ht="12" customHeight="1">
      <c r="A54" s="359" t="s">
        <v>206</v>
      </c>
      <c r="B54" s="58" t="s">
        <v>207</v>
      </c>
      <c r="C54" s="67"/>
      <c r="D54" s="364"/>
      <c r="E54" s="143"/>
    </row>
    <row r="55" spans="1:5" s="358" customFormat="1" ht="12" customHeight="1">
      <c r="A55" s="88" t="s">
        <v>208</v>
      </c>
      <c r="B55" s="37" t="s">
        <v>209</v>
      </c>
      <c r="C55" s="38">
        <f>SUM(C56:C58)</f>
        <v>0</v>
      </c>
      <c r="D55" s="117">
        <f>SUM(D56:D58)</f>
        <v>0</v>
      </c>
      <c r="E55" s="39">
        <f>SUM(E56:E58)</f>
        <v>0</v>
      </c>
    </row>
    <row r="56" spans="1:5" s="358" customFormat="1" ht="12" customHeight="1">
      <c r="A56" s="355" t="s">
        <v>210</v>
      </c>
      <c r="B56" s="42" t="s">
        <v>211</v>
      </c>
      <c r="C56" s="52"/>
      <c r="D56" s="149"/>
      <c r="E56" s="53"/>
    </row>
    <row r="57" spans="1:5" s="358" customFormat="1" ht="12" customHeight="1">
      <c r="A57" s="357" t="s">
        <v>212</v>
      </c>
      <c r="B57" s="46" t="s">
        <v>213</v>
      </c>
      <c r="C57" s="54"/>
      <c r="D57" s="118"/>
      <c r="E57" s="50"/>
    </row>
    <row r="58" spans="1:5" s="358" customFormat="1" ht="12" customHeight="1">
      <c r="A58" s="357" t="s">
        <v>214</v>
      </c>
      <c r="B58" s="46" t="s">
        <v>215</v>
      </c>
      <c r="C58" s="54"/>
      <c r="D58" s="118"/>
      <c r="E58" s="50"/>
    </row>
    <row r="59" spans="1:5" s="358" customFormat="1" ht="12" customHeight="1">
      <c r="A59" s="359" t="s">
        <v>216</v>
      </c>
      <c r="B59" s="58" t="s">
        <v>217</v>
      </c>
      <c r="C59" s="56"/>
      <c r="D59" s="147"/>
      <c r="E59" s="57"/>
    </row>
    <row r="60" spans="1:5" s="358" customFormat="1" ht="12" customHeight="1">
      <c r="A60" s="88" t="s">
        <v>218</v>
      </c>
      <c r="B60" s="51" t="s">
        <v>219</v>
      </c>
      <c r="C60" s="38">
        <f>SUM(C61:C63)</f>
        <v>0</v>
      </c>
      <c r="D60" s="117">
        <f>SUM(D61:D63)</f>
        <v>0</v>
      </c>
      <c r="E60" s="39">
        <f>SUM(E61:E63)</f>
        <v>0</v>
      </c>
    </row>
    <row r="61" spans="1:5" s="358" customFormat="1" ht="12" customHeight="1">
      <c r="A61" s="355" t="s">
        <v>220</v>
      </c>
      <c r="B61" s="42" t="s">
        <v>221</v>
      </c>
      <c r="C61" s="66"/>
      <c r="D61" s="363"/>
      <c r="E61" s="68"/>
    </row>
    <row r="62" spans="1:5" s="358" customFormat="1" ht="12" customHeight="1">
      <c r="A62" s="357" t="s">
        <v>222</v>
      </c>
      <c r="B62" s="46" t="s">
        <v>223</v>
      </c>
      <c r="C62" s="66"/>
      <c r="D62" s="363"/>
      <c r="E62" s="68"/>
    </row>
    <row r="63" spans="1:5" s="358" customFormat="1" ht="12" customHeight="1">
      <c r="A63" s="357" t="s">
        <v>224</v>
      </c>
      <c r="B63" s="46" t="s">
        <v>225</v>
      </c>
      <c r="C63" s="66"/>
      <c r="D63" s="363"/>
      <c r="E63" s="68"/>
    </row>
    <row r="64" spans="1:5" s="358" customFormat="1" ht="12" customHeight="1">
      <c r="A64" s="359" t="s">
        <v>226</v>
      </c>
      <c r="B64" s="58" t="s">
        <v>227</v>
      </c>
      <c r="C64" s="66"/>
      <c r="D64" s="363"/>
      <c r="E64" s="68"/>
    </row>
    <row r="65" spans="1:5" s="358" customFormat="1" ht="12" customHeight="1">
      <c r="A65" s="88" t="s">
        <v>365</v>
      </c>
      <c r="B65" s="37" t="s">
        <v>229</v>
      </c>
      <c r="C65" s="59">
        <f>+C8+C15+C22+C29+C37+C49+C55+C60</f>
        <v>0</v>
      </c>
      <c r="D65" s="123">
        <f>+D8+D15+D22+D29+D37+D49+D55+D60</f>
        <v>0</v>
      </c>
      <c r="E65" s="60">
        <f>+E8+E15+E22+E29+E37+E49+E55+E60</f>
        <v>0</v>
      </c>
    </row>
    <row r="66" spans="1:5" s="358" customFormat="1" ht="12" customHeight="1">
      <c r="A66" s="365" t="s">
        <v>574</v>
      </c>
      <c r="B66" s="51" t="s">
        <v>231</v>
      </c>
      <c r="C66" s="38">
        <f>SUM(C67:C69)</f>
        <v>0</v>
      </c>
      <c r="D66" s="117">
        <f>SUM(D67:D69)</f>
        <v>0</v>
      </c>
      <c r="E66" s="39">
        <f>SUM(E67:E69)</f>
        <v>0</v>
      </c>
    </row>
    <row r="67" spans="1:5" s="358" customFormat="1" ht="12" customHeight="1">
      <c r="A67" s="355" t="s">
        <v>232</v>
      </c>
      <c r="B67" s="42" t="s">
        <v>233</v>
      </c>
      <c r="C67" s="66"/>
      <c r="D67" s="363"/>
      <c r="E67" s="68"/>
    </row>
    <row r="68" spans="1:5" s="358" customFormat="1" ht="12" customHeight="1">
      <c r="A68" s="357" t="s">
        <v>234</v>
      </c>
      <c r="B68" s="46" t="s">
        <v>235</v>
      </c>
      <c r="C68" s="66"/>
      <c r="D68" s="363"/>
      <c r="E68" s="68"/>
    </row>
    <row r="69" spans="1:5" s="358" customFormat="1" ht="12" customHeight="1">
      <c r="A69" s="359" t="s">
        <v>236</v>
      </c>
      <c r="B69" s="398" t="s">
        <v>594</v>
      </c>
      <c r="C69" s="66"/>
      <c r="D69" s="369"/>
      <c r="E69" s="68"/>
    </row>
    <row r="70" spans="1:5" s="358" customFormat="1" ht="12" customHeight="1">
      <c r="A70" s="365" t="s">
        <v>238</v>
      </c>
      <c r="B70" s="51" t="s">
        <v>239</v>
      </c>
      <c r="C70" s="38">
        <f>SUM(C71:C74)</f>
        <v>0</v>
      </c>
      <c r="D70" s="38">
        <f>SUM(D71:D74)</f>
        <v>0</v>
      </c>
      <c r="E70" s="39">
        <f>SUM(E71:E74)</f>
        <v>0</v>
      </c>
    </row>
    <row r="71" spans="1:5" s="358" customFormat="1" ht="12" customHeight="1">
      <c r="A71" s="355" t="s">
        <v>240</v>
      </c>
      <c r="B71" s="72" t="s">
        <v>241</v>
      </c>
      <c r="C71" s="66"/>
      <c r="D71" s="66"/>
      <c r="E71" s="68"/>
    </row>
    <row r="72" spans="1:5" s="358" customFormat="1" ht="12" customHeight="1">
      <c r="A72" s="357" t="s">
        <v>242</v>
      </c>
      <c r="B72" s="72" t="s">
        <v>243</v>
      </c>
      <c r="C72" s="66"/>
      <c r="D72" s="66"/>
      <c r="E72" s="68"/>
    </row>
    <row r="73" spans="1:5" s="358" customFormat="1" ht="12" customHeight="1">
      <c r="A73" s="357" t="s">
        <v>244</v>
      </c>
      <c r="B73" s="72" t="s">
        <v>245</v>
      </c>
      <c r="C73" s="66"/>
      <c r="D73" s="66"/>
      <c r="E73" s="68"/>
    </row>
    <row r="74" spans="1:5" s="358" customFormat="1" ht="12" customHeight="1">
      <c r="A74" s="359" t="s">
        <v>246</v>
      </c>
      <c r="B74" s="73" t="s">
        <v>247</v>
      </c>
      <c r="C74" s="66"/>
      <c r="D74" s="66"/>
      <c r="E74" s="68"/>
    </row>
    <row r="75" spans="1:5" s="358" customFormat="1" ht="12" customHeight="1">
      <c r="A75" s="365" t="s">
        <v>248</v>
      </c>
      <c r="B75" s="51" t="s">
        <v>249</v>
      </c>
      <c r="C75" s="38">
        <f>SUM(C76:C77)</f>
        <v>0</v>
      </c>
      <c r="D75" s="38">
        <f>SUM(D76:D77)</f>
        <v>0</v>
      </c>
      <c r="E75" s="39">
        <f>SUM(E76:E77)</f>
        <v>0</v>
      </c>
    </row>
    <row r="76" spans="1:5" s="358" customFormat="1" ht="12" customHeight="1">
      <c r="A76" s="355" t="s">
        <v>250</v>
      </c>
      <c r="B76" s="42" t="s">
        <v>251</v>
      </c>
      <c r="C76" s="66"/>
      <c r="D76" s="66"/>
      <c r="E76" s="68"/>
    </row>
    <row r="77" spans="1:5" s="358" customFormat="1" ht="12" customHeight="1">
      <c r="A77" s="359" t="s">
        <v>252</v>
      </c>
      <c r="B77" s="58" t="s">
        <v>253</v>
      </c>
      <c r="C77" s="66"/>
      <c r="D77" s="66"/>
      <c r="E77" s="68"/>
    </row>
    <row r="78" spans="1:5" s="356" customFormat="1" ht="12" customHeight="1">
      <c r="A78" s="365" t="s">
        <v>254</v>
      </c>
      <c r="B78" s="51" t="s">
        <v>255</v>
      </c>
      <c r="C78" s="38">
        <f>SUM(C79:C81)</f>
        <v>0</v>
      </c>
      <c r="D78" s="38">
        <f>SUM(D79:D81)</f>
        <v>0</v>
      </c>
      <c r="E78" s="39">
        <f>SUM(E79:E81)</f>
        <v>0</v>
      </c>
    </row>
    <row r="79" spans="1:5" s="358" customFormat="1" ht="12" customHeight="1">
      <c r="A79" s="355" t="s">
        <v>256</v>
      </c>
      <c r="B79" s="42" t="s">
        <v>257</v>
      </c>
      <c r="C79" s="66"/>
      <c r="D79" s="66"/>
      <c r="E79" s="68"/>
    </row>
    <row r="80" spans="1:5" s="358" customFormat="1" ht="12" customHeight="1">
      <c r="A80" s="357" t="s">
        <v>258</v>
      </c>
      <c r="B80" s="46" t="s">
        <v>259</v>
      </c>
      <c r="C80" s="66"/>
      <c r="D80" s="66"/>
      <c r="E80" s="68"/>
    </row>
    <row r="81" spans="1:5" s="358" customFormat="1" ht="12" customHeight="1">
      <c r="A81" s="359" t="s">
        <v>260</v>
      </c>
      <c r="B81" s="58" t="s">
        <v>261</v>
      </c>
      <c r="C81" s="66"/>
      <c r="D81" s="66"/>
      <c r="E81" s="68"/>
    </row>
    <row r="82" spans="1:5" s="358" customFormat="1" ht="12" customHeight="1">
      <c r="A82" s="365" t="s">
        <v>262</v>
      </c>
      <c r="B82" s="51" t="s">
        <v>263</v>
      </c>
      <c r="C82" s="38">
        <f>SUM(C83:C86)</f>
        <v>0</v>
      </c>
      <c r="D82" s="38">
        <f>SUM(D83:D86)</f>
        <v>0</v>
      </c>
      <c r="E82" s="39">
        <f>SUM(E83:E86)</f>
        <v>0</v>
      </c>
    </row>
    <row r="83" spans="1:5" s="358" customFormat="1" ht="12" customHeight="1">
      <c r="A83" s="371" t="s">
        <v>264</v>
      </c>
      <c r="B83" s="42" t="s">
        <v>265</v>
      </c>
      <c r="C83" s="66"/>
      <c r="D83" s="66"/>
      <c r="E83" s="68"/>
    </row>
    <row r="84" spans="1:5" s="358" customFormat="1" ht="12" customHeight="1">
      <c r="A84" s="372" t="s">
        <v>266</v>
      </c>
      <c r="B84" s="46" t="s">
        <v>267</v>
      </c>
      <c r="C84" s="66"/>
      <c r="D84" s="66"/>
      <c r="E84" s="68"/>
    </row>
    <row r="85" spans="1:5" s="358" customFormat="1" ht="12" customHeight="1">
      <c r="A85" s="372" t="s">
        <v>268</v>
      </c>
      <c r="B85" s="46" t="s">
        <v>269</v>
      </c>
      <c r="C85" s="66"/>
      <c r="D85" s="66"/>
      <c r="E85" s="68"/>
    </row>
    <row r="86" spans="1:5" s="356" customFormat="1" ht="12" customHeight="1">
      <c r="A86" s="373" t="s">
        <v>270</v>
      </c>
      <c r="B86" s="58" t="s">
        <v>271</v>
      </c>
      <c r="C86" s="66"/>
      <c r="D86" s="66"/>
      <c r="E86" s="68"/>
    </row>
    <row r="87" spans="1:5" s="356" customFormat="1" ht="12" customHeight="1">
      <c r="A87" s="365" t="s">
        <v>272</v>
      </c>
      <c r="B87" s="51" t="s">
        <v>273</v>
      </c>
      <c r="C87" s="78"/>
      <c r="D87" s="78"/>
      <c r="E87" s="79"/>
    </row>
    <row r="88" spans="1:5" s="356" customFormat="1" ht="12" customHeight="1">
      <c r="A88" s="365" t="s">
        <v>575</v>
      </c>
      <c r="B88" s="51" t="s">
        <v>275</v>
      </c>
      <c r="C88" s="78"/>
      <c r="D88" s="78"/>
      <c r="E88" s="79"/>
    </row>
    <row r="89" spans="1:5" s="356" customFormat="1" ht="12" customHeight="1">
      <c r="A89" s="365" t="s">
        <v>576</v>
      </c>
      <c r="B89" s="80" t="s">
        <v>277</v>
      </c>
      <c r="C89" s="59">
        <f>+C66+C70+C75+C78+C82+C88+C87</f>
        <v>0</v>
      </c>
      <c r="D89" s="59">
        <f>+D66+D70+D75+D78+D82+D88+D87</f>
        <v>0</v>
      </c>
      <c r="E89" s="60">
        <f>+E66+E70+E75+E78+E82+E88+E87</f>
        <v>0</v>
      </c>
    </row>
    <row r="90" spans="1:5" s="356" customFormat="1" ht="12" customHeight="1">
      <c r="A90" s="374" t="s">
        <v>577</v>
      </c>
      <c r="B90" s="82" t="s">
        <v>578</v>
      </c>
      <c r="C90" s="59">
        <f>+C65+C89</f>
        <v>0</v>
      </c>
      <c r="D90" s="59">
        <f>+D65+D89</f>
        <v>0</v>
      </c>
      <c r="E90" s="60">
        <f>+E65+E89</f>
        <v>0</v>
      </c>
    </row>
    <row r="91" spans="1:3" s="358" customFormat="1" ht="15" customHeight="1">
      <c r="A91" s="375"/>
      <c r="B91" s="376"/>
      <c r="C91" s="377"/>
    </row>
    <row r="92" spans="1:5" s="354" customFormat="1" ht="16.5" customHeight="1">
      <c r="A92" s="849" t="s">
        <v>381</v>
      </c>
      <c r="B92" s="849"/>
      <c r="C92" s="849"/>
      <c r="D92" s="849"/>
      <c r="E92" s="849"/>
    </row>
    <row r="93" spans="1:5" s="378" customFormat="1" ht="12" customHeight="1">
      <c r="A93" s="32" t="s">
        <v>114</v>
      </c>
      <c r="B93" s="92" t="s">
        <v>579</v>
      </c>
      <c r="C93" s="93">
        <f>+C94+C95+C96+C97+C98+C111</f>
        <v>0</v>
      </c>
      <c r="D93" s="93">
        <f>+D94+D95+D96+D97+D98+D111</f>
        <v>0</v>
      </c>
      <c r="E93" s="94">
        <f>+E94+E95+E96+E97+E98+E111</f>
        <v>0</v>
      </c>
    </row>
    <row r="94" spans="1:5" ht="12" customHeight="1">
      <c r="A94" s="379" t="s">
        <v>116</v>
      </c>
      <c r="B94" s="96" t="s">
        <v>284</v>
      </c>
      <c r="C94" s="148"/>
      <c r="D94" s="148"/>
      <c r="E94" s="98"/>
    </row>
    <row r="95" spans="1:5" ht="12" customHeight="1">
      <c r="A95" s="357" t="s">
        <v>118</v>
      </c>
      <c r="B95" s="99" t="s">
        <v>285</v>
      </c>
      <c r="C95" s="54"/>
      <c r="D95" s="54"/>
      <c r="E95" s="50"/>
    </row>
    <row r="96" spans="1:5" ht="12" customHeight="1">
      <c r="A96" s="357" t="s">
        <v>120</v>
      </c>
      <c r="B96" s="99" t="s">
        <v>286</v>
      </c>
      <c r="C96" s="56"/>
      <c r="D96" s="54"/>
      <c r="E96" s="57"/>
    </row>
    <row r="97" spans="1:5" ht="12" customHeight="1">
      <c r="A97" s="357" t="s">
        <v>122</v>
      </c>
      <c r="B97" s="100" t="s">
        <v>287</v>
      </c>
      <c r="C97" s="56"/>
      <c r="D97" s="147"/>
      <c r="E97" s="57"/>
    </row>
    <row r="98" spans="1:5" ht="12" customHeight="1">
      <c r="A98" s="357" t="s">
        <v>288</v>
      </c>
      <c r="B98" s="101" t="s">
        <v>289</v>
      </c>
      <c r="C98" s="56"/>
      <c r="D98" s="147"/>
      <c r="E98" s="57"/>
    </row>
    <row r="99" spans="1:5" ht="12" customHeight="1">
      <c r="A99" s="357" t="s">
        <v>126</v>
      </c>
      <c r="B99" s="99" t="s">
        <v>580</v>
      </c>
      <c r="C99" s="56"/>
      <c r="D99" s="147"/>
      <c r="E99" s="57"/>
    </row>
    <row r="100" spans="1:5" ht="12" customHeight="1">
      <c r="A100" s="357" t="s">
        <v>291</v>
      </c>
      <c r="B100" s="103" t="s">
        <v>292</v>
      </c>
      <c r="C100" s="56"/>
      <c r="D100" s="147"/>
      <c r="E100" s="57"/>
    </row>
    <row r="101" spans="1:5" ht="12" customHeight="1">
      <c r="A101" s="357" t="s">
        <v>293</v>
      </c>
      <c r="B101" s="103" t="s">
        <v>294</v>
      </c>
      <c r="C101" s="56"/>
      <c r="D101" s="147"/>
      <c r="E101" s="57"/>
    </row>
    <row r="102" spans="1:5" ht="12" customHeight="1">
      <c r="A102" s="357" t="s">
        <v>295</v>
      </c>
      <c r="B102" s="103" t="s">
        <v>296</v>
      </c>
      <c r="C102" s="56"/>
      <c r="D102" s="147"/>
      <c r="E102" s="57"/>
    </row>
    <row r="103" spans="1:5" ht="12" customHeight="1">
      <c r="A103" s="357" t="s">
        <v>297</v>
      </c>
      <c r="B103" s="104" t="s">
        <v>298</v>
      </c>
      <c r="C103" s="56"/>
      <c r="D103" s="147"/>
      <c r="E103" s="57"/>
    </row>
    <row r="104" spans="1:5" ht="12" customHeight="1">
      <c r="A104" s="357" t="s">
        <v>299</v>
      </c>
      <c r="B104" s="104" t="s">
        <v>300</v>
      </c>
      <c r="C104" s="56"/>
      <c r="D104" s="147"/>
      <c r="E104" s="57"/>
    </row>
    <row r="105" spans="1:5" ht="12" customHeight="1">
      <c r="A105" s="357" t="s">
        <v>301</v>
      </c>
      <c r="B105" s="103" t="s">
        <v>302</v>
      </c>
      <c r="C105" s="56"/>
      <c r="D105" s="147"/>
      <c r="E105" s="57"/>
    </row>
    <row r="106" spans="1:5" ht="12" customHeight="1">
      <c r="A106" s="357" t="s">
        <v>303</v>
      </c>
      <c r="B106" s="103" t="s">
        <v>304</v>
      </c>
      <c r="C106" s="56"/>
      <c r="D106" s="147"/>
      <c r="E106" s="57"/>
    </row>
    <row r="107" spans="1:5" ht="12" customHeight="1">
      <c r="A107" s="357" t="s">
        <v>305</v>
      </c>
      <c r="B107" s="104" t="s">
        <v>306</v>
      </c>
      <c r="C107" s="54"/>
      <c r="D107" s="147"/>
      <c r="E107" s="57"/>
    </row>
    <row r="108" spans="1:5" ht="12" customHeight="1">
      <c r="A108" s="380" t="s">
        <v>307</v>
      </c>
      <c r="B108" s="102" t="s">
        <v>308</v>
      </c>
      <c r="C108" s="56"/>
      <c r="D108" s="147"/>
      <c r="E108" s="57"/>
    </row>
    <row r="109" spans="1:5" ht="12" customHeight="1">
      <c r="A109" s="357" t="s">
        <v>309</v>
      </c>
      <c r="B109" s="102" t="s">
        <v>310</v>
      </c>
      <c r="C109" s="56"/>
      <c r="D109" s="147"/>
      <c r="E109" s="57"/>
    </row>
    <row r="110" spans="1:5" ht="12" customHeight="1">
      <c r="A110" s="357" t="s">
        <v>311</v>
      </c>
      <c r="B110" s="104" t="s">
        <v>312</v>
      </c>
      <c r="C110" s="54"/>
      <c r="D110" s="118"/>
      <c r="E110" s="50"/>
    </row>
    <row r="111" spans="1:5" ht="12" customHeight="1">
      <c r="A111" s="357" t="s">
        <v>313</v>
      </c>
      <c r="B111" s="100" t="s">
        <v>314</v>
      </c>
      <c r="C111" s="54"/>
      <c r="D111" s="118"/>
      <c r="E111" s="50"/>
    </row>
    <row r="112" spans="1:5" ht="12" customHeight="1">
      <c r="A112" s="359" t="s">
        <v>315</v>
      </c>
      <c r="B112" s="99" t="s">
        <v>581</v>
      </c>
      <c r="C112" s="56"/>
      <c r="D112" s="147"/>
      <c r="E112" s="57"/>
    </row>
    <row r="113" spans="1:5" ht="12" customHeight="1">
      <c r="A113" s="366" t="s">
        <v>317</v>
      </c>
      <c r="B113" s="381" t="s">
        <v>582</v>
      </c>
      <c r="C113" s="121"/>
      <c r="D113" s="122"/>
      <c r="E113" s="109"/>
    </row>
    <row r="114" spans="1:5" ht="12" customHeight="1">
      <c r="A114" s="88" t="s">
        <v>128</v>
      </c>
      <c r="B114" s="141" t="s">
        <v>319</v>
      </c>
      <c r="C114" s="38">
        <f>+C115+C117+C119</f>
        <v>0</v>
      </c>
      <c r="D114" s="117">
        <f>+D115+D117+D119</f>
        <v>0</v>
      </c>
      <c r="E114" s="39">
        <f>+E115+E117+E119</f>
        <v>0</v>
      </c>
    </row>
    <row r="115" spans="1:5" ht="12" customHeight="1">
      <c r="A115" s="355" t="s">
        <v>130</v>
      </c>
      <c r="B115" s="99" t="s">
        <v>320</v>
      </c>
      <c r="C115" s="52"/>
      <c r="D115" s="149"/>
      <c r="E115" s="53"/>
    </row>
    <row r="116" spans="1:5" ht="12" customHeight="1">
      <c r="A116" s="355" t="s">
        <v>132</v>
      </c>
      <c r="B116" s="114" t="s">
        <v>321</v>
      </c>
      <c r="C116" s="52"/>
      <c r="D116" s="149"/>
      <c r="E116" s="53"/>
    </row>
    <row r="117" spans="1:5" ht="12" customHeight="1">
      <c r="A117" s="355" t="s">
        <v>134</v>
      </c>
      <c r="B117" s="114" t="s">
        <v>322</v>
      </c>
      <c r="C117" s="54"/>
      <c r="D117" s="118"/>
      <c r="E117" s="50"/>
    </row>
    <row r="118" spans="1:5" ht="12" customHeight="1">
      <c r="A118" s="355" t="s">
        <v>136</v>
      </c>
      <c r="B118" s="114" t="s">
        <v>323</v>
      </c>
      <c r="C118" s="54"/>
      <c r="D118" s="118"/>
      <c r="E118" s="50"/>
    </row>
    <row r="119" spans="1:5" ht="12" customHeight="1">
      <c r="A119" s="355" t="s">
        <v>138</v>
      </c>
      <c r="B119" s="49" t="s">
        <v>324</v>
      </c>
      <c r="C119" s="54"/>
      <c r="D119" s="118"/>
      <c r="E119" s="50"/>
    </row>
    <row r="120" spans="1:5" ht="12" customHeight="1">
      <c r="A120" s="355" t="s">
        <v>140</v>
      </c>
      <c r="B120" s="47" t="s">
        <v>325</v>
      </c>
      <c r="C120" s="54"/>
      <c r="D120" s="118"/>
      <c r="E120" s="50"/>
    </row>
    <row r="121" spans="1:5" ht="12" customHeight="1">
      <c r="A121" s="355" t="s">
        <v>326</v>
      </c>
      <c r="B121" s="115" t="s">
        <v>327</v>
      </c>
      <c r="C121" s="54"/>
      <c r="D121" s="118"/>
      <c r="E121" s="50"/>
    </row>
    <row r="122" spans="1:5" ht="12" customHeight="1">
      <c r="A122" s="355" t="s">
        <v>328</v>
      </c>
      <c r="B122" s="104" t="s">
        <v>300</v>
      </c>
      <c r="C122" s="54"/>
      <c r="D122" s="118"/>
      <c r="E122" s="50"/>
    </row>
    <row r="123" spans="1:5" ht="12" customHeight="1">
      <c r="A123" s="355" t="s">
        <v>329</v>
      </c>
      <c r="B123" s="104" t="s">
        <v>330</v>
      </c>
      <c r="C123" s="54"/>
      <c r="D123" s="118"/>
      <c r="E123" s="50"/>
    </row>
    <row r="124" spans="1:5" ht="12" customHeight="1">
      <c r="A124" s="355" t="s">
        <v>331</v>
      </c>
      <c r="B124" s="104" t="s">
        <v>332</v>
      </c>
      <c r="C124" s="54"/>
      <c r="D124" s="118"/>
      <c r="E124" s="50"/>
    </row>
    <row r="125" spans="1:5" ht="12" customHeight="1">
      <c r="A125" s="355" t="s">
        <v>333</v>
      </c>
      <c r="B125" s="104" t="s">
        <v>306</v>
      </c>
      <c r="C125" s="54"/>
      <c r="D125" s="118"/>
      <c r="E125" s="50"/>
    </row>
    <row r="126" spans="1:5" ht="12" customHeight="1">
      <c r="A126" s="355" t="s">
        <v>334</v>
      </c>
      <c r="B126" s="104" t="s">
        <v>335</v>
      </c>
      <c r="C126" s="54"/>
      <c r="D126" s="118"/>
      <c r="E126" s="50"/>
    </row>
    <row r="127" spans="1:5" ht="12" customHeight="1">
      <c r="A127" s="380" t="s">
        <v>336</v>
      </c>
      <c r="B127" s="104" t="s">
        <v>337</v>
      </c>
      <c r="C127" s="56"/>
      <c r="D127" s="147"/>
      <c r="E127" s="57"/>
    </row>
    <row r="128" spans="1:5" ht="12" customHeight="1">
      <c r="A128" s="88" t="s">
        <v>142</v>
      </c>
      <c r="B128" s="116" t="s">
        <v>338</v>
      </c>
      <c r="C128" s="38">
        <f>+C93+C114</f>
        <v>0</v>
      </c>
      <c r="D128" s="117">
        <f>+D93+D114</f>
        <v>0</v>
      </c>
      <c r="E128" s="39">
        <f>+E93+E114</f>
        <v>0</v>
      </c>
    </row>
    <row r="129" spans="1:5" ht="12" customHeight="1">
      <c r="A129" s="88" t="s">
        <v>339</v>
      </c>
      <c r="B129" s="116" t="s">
        <v>583</v>
      </c>
      <c r="C129" s="38">
        <f>+C130+C131+C132</f>
        <v>0</v>
      </c>
      <c r="D129" s="117">
        <f>+D130+D131+D132</f>
        <v>0</v>
      </c>
      <c r="E129" s="39">
        <f>+E130+E131+E132</f>
        <v>0</v>
      </c>
    </row>
    <row r="130" spans="1:5" s="378" customFormat="1" ht="12" customHeight="1">
      <c r="A130" s="355" t="s">
        <v>158</v>
      </c>
      <c r="B130" s="119" t="s">
        <v>584</v>
      </c>
      <c r="C130" s="54"/>
      <c r="D130" s="118"/>
      <c r="E130" s="50"/>
    </row>
    <row r="131" spans="1:5" ht="12" customHeight="1">
      <c r="A131" s="355" t="s">
        <v>160</v>
      </c>
      <c r="B131" s="119" t="s">
        <v>342</v>
      </c>
      <c r="C131" s="54"/>
      <c r="D131" s="118"/>
      <c r="E131" s="50"/>
    </row>
    <row r="132" spans="1:5" ht="12" customHeight="1">
      <c r="A132" s="380" t="s">
        <v>162</v>
      </c>
      <c r="B132" s="124" t="s">
        <v>585</v>
      </c>
      <c r="C132" s="54"/>
      <c r="D132" s="118"/>
      <c r="E132" s="50"/>
    </row>
    <row r="133" spans="1:5" ht="12" customHeight="1">
      <c r="A133" s="88" t="s">
        <v>172</v>
      </c>
      <c r="B133" s="116" t="s">
        <v>344</v>
      </c>
      <c r="C133" s="38">
        <f>+C134+C135+C136+C137+C138+C139</f>
        <v>0</v>
      </c>
      <c r="D133" s="117">
        <f>+D134+D135+D136+D137+D138+D139</f>
        <v>0</v>
      </c>
      <c r="E133" s="39">
        <f>+E134+E135+E136+E137+E138+E139</f>
        <v>0</v>
      </c>
    </row>
    <row r="134" spans="1:5" ht="12" customHeight="1">
      <c r="A134" s="355" t="s">
        <v>174</v>
      </c>
      <c r="B134" s="119" t="s">
        <v>345</v>
      </c>
      <c r="C134" s="54"/>
      <c r="D134" s="118"/>
      <c r="E134" s="50"/>
    </row>
    <row r="135" spans="1:5" ht="12" customHeight="1">
      <c r="A135" s="355" t="s">
        <v>176</v>
      </c>
      <c r="B135" s="119" t="s">
        <v>346</v>
      </c>
      <c r="C135" s="54"/>
      <c r="D135" s="118"/>
      <c r="E135" s="50"/>
    </row>
    <row r="136" spans="1:5" ht="12" customHeight="1">
      <c r="A136" s="355" t="s">
        <v>178</v>
      </c>
      <c r="B136" s="119" t="s">
        <v>347</v>
      </c>
      <c r="C136" s="54"/>
      <c r="D136" s="118"/>
      <c r="E136" s="50"/>
    </row>
    <row r="137" spans="1:5" ht="12" customHeight="1">
      <c r="A137" s="355" t="s">
        <v>180</v>
      </c>
      <c r="B137" s="119" t="s">
        <v>586</v>
      </c>
      <c r="C137" s="54"/>
      <c r="D137" s="118"/>
      <c r="E137" s="50"/>
    </row>
    <row r="138" spans="1:5" ht="12" customHeight="1">
      <c r="A138" s="355" t="s">
        <v>182</v>
      </c>
      <c r="B138" s="119" t="s">
        <v>349</v>
      </c>
      <c r="C138" s="54"/>
      <c r="D138" s="118"/>
      <c r="E138" s="50"/>
    </row>
    <row r="139" spans="1:5" s="378" customFormat="1" ht="12" customHeight="1">
      <c r="A139" s="380" t="s">
        <v>184</v>
      </c>
      <c r="B139" s="124" t="s">
        <v>350</v>
      </c>
      <c r="C139" s="54"/>
      <c r="D139" s="118"/>
      <c r="E139" s="50"/>
    </row>
    <row r="140" spans="1:11" ht="12" customHeight="1">
      <c r="A140" s="88" t="s">
        <v>196</v>
      </c>
      <c r="B140" s="116" t="s">
        <v>587</v>
      </c>
      <c r="C140" s="59">
        <f>+C141+C142+C144+C145+C143</f>
        <v>0</v>
      </c>
      <c r="D140" s="123">
        <f>+D141+D142+D144+D145+D143</f>
        <v>0</v>
      </c>
      <c r="E140" s="60">
        <f>+E141+E142+E144+E145+E143</f>
        <v>0</v>
      </c>
      <c r="K140" s="382"/>
    </row>
    <row r="141" spans="1:5" ht="12.75">
      <c r="A141" s="355" t="s">
        <v>198</v>
      </c>
      <c r="B141" s="119" t="s">
        <v>352</v>
      </c>
      <c r="C141" s="54"/>
      <c r="D141" s="118"/>
      <c r="E141" s="50"/>
    </row>
    <row r="142" spans="1:5" ht="12" customHeight="1">
      <c r="A142" s="355" t="s">
        <v>200</v>
      </c>
      <c r="B142" s="119" t="s">
        <v>353</v>
      </c>
      <c r="C142" s="54"/>
      <c r="D142" s="118"/>
      <c r="E142" s="50"/>
    </row>
    <row r="143" spans="1:5" ht="12" customHeight="1">
      <c r="A143" s="355" t="s">
        <v>202</v>
      </c>
      <c r="B143" s="119" t="s">
        <v>588</v>
      </c>
      <c r="C143" s="54"/>
      <c r="D143" s="118"/>
      <c r="E143" s="50"/>
    </row>
    <row r="144" spans="1:5" s="378" customFormat="1" ht="12" customHeight="1">
      <c r="A144" s="355" t="s">
        <v>204</v>
      </c>
      <c r="B144" s="119" t="s">
        <v>354</v>
      </c>
      <c r="C144" s="54"/>
      <c r="D144" s="118"/>
      <c r="E144" s="50"/>
    </row>
    <row r="145" spans="1:5" s="378" customFormat="1" ht="12" customHeight="1">
      <c r="A145" s="380" t="s">
        <v>206</v>
      </c>
      <c r="B145" s="124" t="s">
        <v>355</v>
      </c>
      <c r="C145" s="54"/>
      <c r="D145" s="118"/>
      <c r="E145" s="50"/>
    </row>
    <row r="146" spans="1:5" s="378" customFormat="1" ht="12" customHeight="1">
      <c r="A146" s="88" t="s">
        <v>356</v>
      </c>
      <c r="B146" s="116" t="s">
        <v>357</v>
      </c>
      <c r="C146" s="125">
        <f>+C147+C148+C149+C150+C151</f>
        <v>0</v>
      </c>
      <c r="D146" s="126">
        <f>+D147+D148+D149+D150+D151</f>
        <v>0</v>
      </c>
      <c r="E146" s="127">
        <f>+E147+E148+E149+E150+E151</f>
        <v>0</v>
      </c>
    </row>
    <row r="147" spans="1:5" s="378" customFormat="1" ht="12" customHeight="1">
      <c r="A147" s="355" t="s">
        <v>210</v>
      </c>
      <c r="B147" s="119" t="s">
        <v>358</v>
      </c>
      <c r="C147" s="54"/>
      <c r="D147" s="118"/>
      <c r="E147" s="50"/>
    </row>
    <row r="148" spans="1:5" s="378" customFormat="1" ht="12" customHeight="1">
      <c r="A148" s="355" t="s">
        <v>212</v>
      </c>
      <c r="B148" s="119" t="s">
        <v>359</v>
      </c>
      <c r="C148" s="54"/>
      <c r="D148" s="118"/>
      <c r="E148" s="50"/>
    </row>
    <row r="149" spans="1:5" s="378" customFormat="1" ht="12" customHeight="1">
      <c r="A149" s="355" t="s">
        <v>214</v>
      </c>
      <c r="B149" s="119" t="s">
        <v>360</v>
      </c>
      <c r="C149" s="54"/>
      <c r="D149" s="118"/>
      <c r="E149" s="50"/>
    </row>
    <row r="150" spans="1:5" s="378" customFormat="1" ht="12" customHeight="1">
      <c r="A150" s="355" t="s">
        <v>216</v>
      </c>
      <c r="B150" s="119" t="s">
        <v>589</v>
      </c>
      <c r="C150" s="54"/>
      <c r="D150" s="118"/>
      <c r="E150" s="50"/>
    </row>
    <row r="151" spans="1:5" ht="12.75" customHeight="1">
      <c r="A151" s="380" t="s">
        <v>362</v>
      </c>
      <c r="B151" s="124" t="s">
        <v>363</v>
      </c>
      <c r="C151" s="56"/>
      <c r="D151" s="147"/>
      <c r="E151" s="57"/>
    </row>
    <row r="152" spans="1:5" ht="12.75" customHeight="1">
      <c r="A152" s="384" t="s">
        <v>218</v>
      </c>
      <c r="B152" s="116" t="s">
        <v>364</v>
      </c>
      <c r="C152" s="125"/>
      <c r="D152" s="126"/>
      <c r="E152" s="127"/>
    </row>
    <row r="153" spans="1:5" ht="12.75" customHeight="1">
      <c r="A153" s="384" t="s">
        <v>365</v>
      </c>
      <c r="B153" s="116" t="s">
        <v>366</v>
      </c>
      <c r="C153" s="125"/>
      <c r="D153" s="126"/>
      <c r="E153" s="127"/>
    </row>
    <row r="154" spans="1:5" ht="12" customHeight="1">
      <c r="A154" s="88" t="s">
        <v>367</v>
      </c>
      <c r="B154" s="116" t="s">
        <v>368</v>
      </c>
      <c r="C154" s="131">
        <f>+C129+C133+C140+C146+C152+C153</f>
        <v>0</v>
      </c>
      <c r="D154" s="132">
        <f>+D129+D133+D140+D146+D152+D153</f>
        <v>0</v>
      </c>
      <c r="E154" s="133">
        <f>+E129+E133+E140+E146+E152+E153</f>
        <v>0</v>
      </c>
    </row>
    <row r="155" spans="1:5" ht="15" customHeight="1">
      <c r="A155" s="385" t="s">
        <v>369</v>
      </c>
      <c r="B155" s="137" t="s">
        <v>370</v>
      </c>
      <c r="C155" s="131">
        <f>+C128+C154</f>
        <v>0</v>
      </c>
      <c r="D155" s="132">
        <f>+D128+D154</f>
        <v>0</v>
      </c>
      <c r="E155" s="133">
        <f>+E128+E154</f>
        <v>0</v>
      </c>
    </row>
    <row r="156" spans="3:5" ht="12.75">
      <c r="C156" s="386">
        <f>C90-C155</f>
        <v>0</v>
      </c>
      <c r="D156" s="386">
        <f>D90-D155</f>
        <v>0</v>
      </c>
      <c r="E156" s="333"/>
    </row>
    <row r="157" spans="1:5" ht="15" customHeight="1">
      <c r="A157" s="391" t="s">
        <v>590</v>
      </c>
      <c r="B157" s="392"/>
      <c r="C157" s="389"/>
      <c r="D157" s="389"/>
      <c r="E157" s="390"/>
    </row>
    <row r="158" spans="1:5" ht="14.25" customHeight="1">
      <c r="A158" s="393" t="s">
        <v>591</v>
      </c>
      <c r="B158" s="394"/>
      <c r="C158" s="389"/>
      <c r="D158" s="389"/>
      <c r="E158" s="390"/>
    </row>
  </sheetData>
  <sheetProtection selectLockedCells="1" selectUnlockedCells="1"/>
  <mergeCells count="5">
    <mergeCell ref="B1:E1"/>
    <mergeCell ref="B2:D2"/>
    <mergeCell ref="B3:D3"/>
    <mergeCell ref="A7:E7"/>
    <mergeCell ref="A92:E92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61"/>
  <sheetViews>
    <sheetView zoomScale="120" zoomScaleNormal="120" zoomScalePageLayoutView="0" workbookViewId="0" topLeftCell="A1">
      <selection activeCell="D53" sqref="D53"/>
    </sheetView>
  </sheetViews>
  <sheetFormatPr defaultColWidth="9.00390625" defaultRowHeight="12.75"/>
  <cols>
    <col min="1" max="1" width="13.00390625" style="399" customWidth="1"/>
    <col min="2" max="2" width="59.0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47" t="str">
        <f>CONCATENATE("6.2. melléklet ",Z_ALAPADATOK!A7," ",Z_ALAPADATOK!B7," ",Z_ALAPADATOK!C7," ",Z_ALAPADATOK!D7," ",Z_ALAPADATOK!E7," ",Z_ALAPADATOK!F7," ",Z_ALAPADATOK!G7," ",Z_ALAPADATOK!H7)</f>
        <v>6.2. melléklet a … / 2019. ( … ) önkormányzati rendelethez</v>
      </c>
      <c r="C1" s="847"/>
      <c r="D1" s="847"/>
      <c r="E1" s="847"/>
    </row>
    <row r="2" spans="1:5" s="404" customFormat="1" ht="24.75" customHeight="1">
      <c r="A2" s="402" t="s">
        <v>596</v>
      </c>
      <c r="B2" s="850" t="s">
        <v>60</v>
      </c>
      <c r="C2" s="850"/>
      <c r="D2" s="850"/>
      <c r="E2" s="403" t="s">
        <v>593</v>
      </c>
    </row>
    <row r="3" spans="1:5" s="404" customFormat="1" ht="24.75" customHeight="1">
      <c r="A3" s="402" t="s">
        <v>567</v>
      </c>
      <c r="B3" s="850" t="s">
        <v>568</v>
      </c>
      <c r="C3" s="850"/>
      <c r="D3" s="850"/>
      <c r="E3" s="403" t="s">
        <v>566</v>
      </c>
    </row>
    <row r="4" spans="1:5" s="405" customFormat="1" ht="15.75" customHeight="1">
      <c r="A4" s="341"/>
      <c r="B4" s="341"/>
      <c r="C4" s="342"/>
      <c r="D4" s="343"/>
      <c r="E4" s="342" t="str">
        <f>'Z_6.1.3.sz.mell'!E4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CONCATENATE('Z_6.1.3.sz.mell'!E5)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186">
        <f>SUM(E9:E19)</f>
        <v>6379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>
        <v>18</v>
      </c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>
        <v>2</v>
      </c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>
        <v>367</v>
      </c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>
        <v>5992</v>
      </c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185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173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173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173"/>
      <c r="E23" s="178"/>
    </row>
    <row r="24" spans="1:5" s="420" customFormat="1" ht="12" customHeight="1">
      <c r="A24" s="416" t="s">
        <v>136</v>
      </c>
      <c r="B24" s="99" t="s">
        <v>604</v>
      </c>
      <c r="C24" s="173"/>
      <c r="D24" s="173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23"/>
      <c r="E25" s="424"/>
    </row>
    <row r="26" spans="1:5" s="420" customFormat="1" ht="12" customHeight="1">
      <c r="A26" s="422" t="s">
        <v>339</v>
      </c>
      <c r="B26" s="116" t="s">
        <v>605</v>
      </c>
      <c r="C26" s="185">
        <f>+C27+C28+C29</f>
        <v>0</v>
      </c>
      <c r="D26" s="185">
        <f>+D27+D28+D29</f>
        <v>0</v>
      </c>
      <c r="E26" s="186">
        <f>+E27+E28+E29</f>
        <v>0</v>
      </c>
    </row>
    <row r="27" spans="1:5" s="420" customFormat="1" ht="12" customHeight="1">
      <c r="A27" s="425" t="s">
        <v>158</v>
      </c>
      <c r="B27" s="426" t="s">
        <v>145</v>
      </c>
      <c r="C27" s="215"/>
      <c r="D27" s="215"/>
      <c r="E27" s="216"/>
    </row>
    <row r="28" spans="1:5" s="420" customFormat="1" ht="12" customHeight="1">
      <c r="A28" s="425" t="s">
        <v>160</v>
      </c>
      <c r="B28" s="426" t="s">
        <v>602</v>
      </c>
      <c r="C28" s="173"/>
      <c r="D28" s="173"/>
      <c r="E28" s="178"/>
    </row>
    <row r="29" spans="1:5" s="420" customFormat="1" ht="12" customHeight="1">
      <c r="A29" s="425" t="s">
        <v>162</v>
      </c>
      <c r="B29" s="427" t="s">
        <v>606</v>
      </c>
      <c r="C29" s="173"/>
      <c r="D29" s="173"/>
      <c r="E29" s="178"/>
    </row>
    <row r="30" spans="1:5" s="420" customFormat="1" ht="12" customHeight="1">
      <c r="A30" s="416" t="s">
        <v>164</v>
      </c>
      <c r="B30" s="428" t="s">
        <v>607</v>
      </c>
      <c r="C30" s="429"/>
      <c r="D30" s="429"/>
      <c r="E30" s="430"/>
    </row>
    <row r="31" spans="1:5" s="420" customFormat="1" ht="12" customHeight="1">
      <c r="A31" s="422" t="s">
        <v>172</v>
      </c>
      <c r="B31" s="116" t="s">
        <v>608</v>
      </c>
      <c r="C31" s="185">
        <f>+C32+C33+C34</f>
        <v>0</v>
      </c>
      <c r="D31" s="185">
        <f>+D32+D33+D34</f>
        <v>0</v>
      </c>
      <c r="E31" s="186">
        <f>+E32+E33+E34</f>
        <v>0</v>
      </c>
    </row>
    <row r="32" spans="1:5" s="420" customFormat="1" ht="12" customHeight="1">
      <c r="A32" s="425" t="s">
        <v>174</v>
      </c>
      <c r="B32" s="426" t="s">
        <v>199</v>
      </c>
      <c r="C32" s="215"/>
      <c r="D32" s="215"/>
      <c r="E32" s="216"/>
    </row>
    <row r="33" spans="1:5" s="420" customFormat="1" ht="12" customHeight="1">
      <c r="A33" s="425" t="s">
        <v>176</v>
      </c>
      <c r="B33" s="427" t="s">
        <v>201</v>
      </c>
      <c r="C33" s="191"/>
      <c r="D33" s="191"/>
      <c r="E33" s="192"/>
    </row>
    <row r="34" spans="1:5" s="420" customFormat="1" ht="12" customHeight="1">
      <c r="A34" s="416" t="s">
        <v>178</v>
      </c>
      <c r="B34" s="428" t="s">
        <v>203</v>
      </c>
      <c r="C34" s="429"/>
      <c r="D34" s="429"/>
      <c r="E34" s="430"/>
    </row>
    <row r="35" spans="1:5" s="412" customFormat="1" ht="12" customHeight="1">
      <c r="A35" s="422" t="s">
        <v>196</v>
      </c>
      <c r="B35" s="116" t="s">
        <v>394</v>
      </c>
      <c r="C35" s="423"/>
      <c r="D35" s="423"/>
      <c r="E35" s="424"/>
    </row>
    <row r="36" spans="1:5" s="412" customFormat="1" ht="12" customHeight="1">
      <c r="A36" s="422" t="s">
        <v>356</v>
      </c>
      <c r="B36" s="116" t="s">
        <v>609</v>
      </c>
      <c r="C36" s="423"/>
      <c r="D36" s="423"/>
      <c r="E36" s="424"/>
    </row>
    <row r="37" spans="1:5" s="412" customFormat="1" ht="12" customHeight="1">
      <c r="A37" s="350" t="s">
        <v>218</v>
      </c>
      <c r="B37" s="116" t="s">
        <v>610</v>
      </c>
      <c r="C37" s="185">
        <f>+C8+C20+C25+C26+C31+C35+C36</f>
        <v>0</v>
      </c>
      <c r="D37" s="185">
        <f>+D8+D20+D25+D26+D31+D35+D36</f>
        <v>0</v>
      </c>
      <c r="E37" s="186">
        <f>+E8+E20+E25+E26+E31+E35+E36</f>
        <v>6379</v>
      </c>
    </row>
    <row r="38" spans="1:5" s="412" customFormat="1" ht="12" customHeight="1">
      <c r="A38" s="431" t="s">
        <v>365</v>
      </c>
      <c r="B38" s="116" t="s">
        <v>611</v>
      </c>
      <c r="C38" s="185">
        <f>+C39+C40+C41</f>
        <v>50468591</v>
      </c>
      <c r="D38" s="185">
        <f>+D39+D40+D41</f>
        <v>50468591</v>
      </c>
      <c r="E38" s="186">
        <f>+E39+E40+E41</f>
        <v>49079683</v>
      </c>
    </row>
    <row r="39" spans="1:5" s="412" customFormat="1" ht="12" customHeight="1">
      <c r="A39" s="425" t="s">
        <v>612</v>
      </c>
      <c r="B39" s="426" t="s">
        <v>448</v>
      </c>
      <c r="C39" s="215">
        <v>3328683</v>
      </c>
      <c r="D39" s="432">
        <v>3328683</v>
      </c>
      <c r="E39" s="216">
        <v>3328683</v>
      </c>
    </row>
    <row r="40" spans="1:5" s="412" customFormat="1" ht="12" customHeight="1">
      <c r="A40" s="425" t="s">
        <v>613</v>
      </c>
      <c r="B40" s="427" t="s">
        <v>614</v>
      </c>
      <c r="C40" s="191"/>
      <c r="D40" s="196"/>
      <c r="E40" s="192"/>
    </row>
    <row r="41" spans="1:5" s="420" customFormat="1" ht="12" customHeight="1">
      <c r="A41" s="416" t="s">
        <v>615</v>
      </c>
      <c r="B41" s="428" t="s">
        <v>616</v>
      </c>
      <c r="C41" s="429">
        <v>47139908</v>
      </c>
      <c r="D41" s="433">
        <v>47139908</v>
      </c>
      <c r="E41" s="430">
        <v>45751000</v>
      </c>
    </row>
    <row r="42" spans="1:5" s="420" customFormat="1" ht="15" customHeight="1">
      <c r="A42" s="431" t="s">
        <v>367</v>
      </c>
      <c r="B42" s="434" t="s">
        <v>617</v>
      </c>
      <c r="C42" s="435">
        <f>+C37+C38</f>
        <v>50468591</v>
      </c>
      <c r="D42" s="435">
        <f>+D37+D38</f>
        <v>50468591</v>
      </c>
      <c r="E42" s="436">
        <f>+E37+E38</f>
        <v>49086062</v>
      </c>
    </row>
    <row r="43" spans="1:3" s="420" customFormat="1" ht="15" customHeight="1">
      <c r="A43" s="375"/>
      <c r="B43" s="376"/>
      <c r="C43" s="377"/>
    </row>
    <row r="44" spans="1:3" ht="12.75">
      <c r="A44" s="437"/>
      <c r="B44" s="438"/>
      <c r="C44" s="439"/>
    </row>
    <row r="45" spans="1:5" s="410" customFormat="1" ht="16.5" customHeight="1">
      <c r="A45" s="849" t="s">
        <v>381</v>
      </c>
      <c r="B45" s="849"/>
      <c r="C45" s="849"/>
      <c r="D45" s="849"/>
      <c r="E45" s="849"/>
    </row>
    <row r="46" spans="1:5" s="440" customFormat="1" ht="12" customHeight="1">
      <c r="A46" s="422" t="s">
        <v>114</v>
      </c>
      <c r="B46" s="116" t="s">
        <v>618</v>
      </c>
      <c r="C46" s="185">
        <f>SUM(C47:C51)</f>
        <v>48289391</v>
      </c>
      <c r="D46" s="185">
        <f>SUM(D47:D51)</f>
        <v>48157601</v>
      </c>
      <c r="E46" s="186">
        <f>SUM(E47:E51)</f>
        <v>45109581</v>
      </c>
    </row>
    <row r="47" spans="1:5" ht="12" customHeight="1">
      <c r="A47" s="416" t="s">
        <v>116</v>
      </c>
      <c r="B47" s="119" t="s">
        <v>284</v>
      </c>
      <c r="C47" s="215">
        <v>37095428</v>
      </c>
      <c r="D47" s="432">
        <v>36963638</v>
      </c>
      <c r="E47" s="216">
        <v>34396447</v>
      </c>
    </row>
    <row r="48" spans="1:5" ht="12" customHeight="1">
      <c r="A48" s="416" t="s">
        <v>118</v>
      </c>
      <c r="B48" s="99" t="s">
        <v>285</v>
      </c>
      <c r="C48" s="193">
        <v>7259917</v>
      </c>
      <c r="D48" s="194">
        <v>7259917</v>
      </c>
      <c r="E48" s="195">
        <v>6974532</v>
      </c>
    </row>
    <row r="49" spans="1:5" ht="12" customHeight="1">
      <c r="A49" s="416" t="s">
        <v>120</v>
      </c>
      <c r="B49" s="99" t="s">
        <v>286</v>
      </c>
      <c r="C49" s="193">
        <v>3934046</v>
      </c>
      <c r="D49" s="194">
        <v>3934046</v>
      </c>
      <c r="E49" s="195">
        <v>3738602</v>
      </c>
    </row>
    <row r="50" spans="1:5" ht="12" customHeight="1">
      <c r="A50" s="416" t="s">
        <v>122</v>
      </c>
      <c r="B50" s="99" t="s">
        <v>287</v>
      </c>
      <c r="C50" s="193"/>
      <c r="D50" s="194"/>
      <c r="E50" s="195"/>
    </row>
    <row r="51" spans="1:5" ht="12" customHeight="1">
      <c r="A51" s="416" t="s">
        <v>124</v>
      </c>
      <c r="B51" s="99" t="s">
        <v>289</v>
      </c>
      <c r="C51" s="193"/>
      <c r="D51" s="194"/>
      <c r="E51" s="195"/>
    </row>
    <row r="52" spans="1:7" ht="12" customHeight="1">
      <c r="A52" s="422" t="s">
        <v>128</v>
      </c>
      <c r="B52" s="116" t="s">
        <v>619</v>
      </c>
      <c r="C52" s="185">
        <f>SUM(C53:C55)</f>
        <v>2179200</v>
      </c>
      <c r="D52" s="185">
        <f>SUM(D53:D55)</f>
        <v>2310990</v>
      </c>
      <c r="E52" s="186">
        <f>SUM(E53:E55)</f>
        <v>2169943</v>
      </c>
      <c r="G52" s="441"/>
    </row>
    <row r="53" spans="1:5" s="440" customFormat="1" ht="12" customHeight="1">
      <c r="A53" s="416" t="s">
        <v>130</v>
      </c>
      <c r="B53" s="119" t="s">
        <v>320</v>
      </c>
      <c r="C53" s="215">
        <v>904000</v>
      </c>
      <c r="D53" s="432">
        <v>159141</v>
      </c>
      <c r="E53" s="216">
        <v>130063</v>
      </c>
    </row>
    <row r="54" spans="1:5" ht="12" customHeight="1">
      <c r="A54" s="416" t="s">
        <v>132</v>
      </c>
      <c r="B54" s="99" t="s">
        <v>322</v>
      </c>
      <c r="C54" s="193">
        <v>1275200</v>
      </c>
      <c r="D54" s="194">
        <v>2151849</v>
      </c>
      <c r="E54" s="195">
        <v>2039880</v>
      </c>
    </row>
    <row r="55" spans="1:5" ht="12" customHeight="1">
      <c r="A55" s="416" t="s">
        <v>134</v>
      </c>
      <c r="B55" s="99" t="s">
        <v>620</v>
      </c>
      <c r="C55" s="193"/>
      <c r="D55" s="194"/>
      <c r="E55" s="195"/>
    </row>
    <row r="56" spans="1:5" ht="12" customHeight="1">
      <c r="A56" s="416" t="s">
        <v>136</v>
      </c>
      <c r="B56" s="99" t="s">
        <v>621</v>
      </c>
      <c r="C56" s="193"/>
      <c r="D56" s="194"/>
      <c r="E56" s="195"/>
    </row>
    <row r="57" spans="1:5" ht="12" customHeight="1">
      <c r="A57" s="422" t="s">
        <v>142</v>
      </c>
      <c r="B57" s="116" t="s">
        <v>622</v>
      </c>
      <c r="C57" s="423"/>
      <c r="D57" s="423"/>
      <c r="E57" s="424"/>
    </row>
    <row r="58" spans="1:5" ht="15" customHeight="1">
      <c r="A58" s="422" t="s">
        <v>339</v>
      </c>
      <c r="B58" s="442" t="s">
        <v>623</v>
      </c>
      <c r="C58" s="435">
        <f>+C46+C52+C57</f>
        <v>50468591</v>
      </c>
      <c r="D58" s="435">
        <f>+D46+D52+D57</f>
        <v>50468591</v>
      </c>
      <c r="E58" s="436">
        <f>+E46+E52+E57</f>
        <v>47279524</v>
      </c>
    </row>
    <row r="59" spans="3:5" ht="12.75">
      <c r="C59" s="386">
        <f>C42-C58</f>
        <v>0</v>
      </c>
      <c r="D59" s="386">
        <f>D42-D58</f>
        <v>0</v>
      </c>
      <c r="E59" s="443"/>
    </row>
    <row r="60" spans="1:5" ht="15" customHeight="1">
      <c r="A60" s="391" t="s">
        <v>590</v>
      </c>
      <c r="B60" s="392"/>
      <c r="C60" s="389">
        <v>11</v>
      </c>
      <c r="D60" s="389">
        <v>9</v>
      </c>
      <c r="E60" s="390">
        <v>9</v>
      </c>
    </row>
    <row r="61" spans="1:5" ht="14.25" customHeight="1">
      <c r="A61" s="393" t="s">
        <v>591</v>
      </c>
      <c r="B61" s="394"/>
      <c r="C61" s="389"/>
      <c r="D61" s="389"/>
      <c r="E61" s="390"/>
    </row>
  </sheetData>
  <sheetProtection selectLockedCells="1" selectUnlockedCells="1"/>
  <mergeCells count="5">
    <mergeCell ref="B1:E1"/>
    <mergeCell ref="B2:D2"/>
    <mergeCell ref="B3:D3"/>
    <mergeCell ref="A7:E7"/>
    <mergeCell ref="A45:E45"/>
  </mergeCells>
  <printOptions horizontalCentered="1"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61"/>
  <sheetViews>
    <sheetView zoomScale="120" zoomScaleNormal="120" zoomScalePageLayoutView="0" workbookViewId="0" topLeftCell="A1">
      <selection activeCell="I52" sqref="I52"/>
    </sheetView>
  </sheetViews>
  <sheetFormatPr defaultColWidth="9.00390625" defaultRowHeight="12.75"/>
  <cols>
    <col min="1" max="1" width="13.00390625" style="399" customWidth="1"/>
    <col min="2" max="2" width="59.0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47" t="str">
        <f>CONCATENATE("6.2.1. melléklet ",Z_ALAPADATOK!A7," ",Z_ALAPADATOK!B7," ",Z_ALAPADATOK!C7," ",Z_ALAPADATOK!D7," ",Z_ALAPADATOK!E7," ",Z_ALAPADATOK!F7," ",Z_ALAPADATOK!G7," ",Z_ALAPADATOK!H7)</f>
        <v>6.2.1. melléklet a … / 2019. ( … ) önkormányzati rendelethez</v>
      </c>
      <c r="C1" s="847"/>
      <c r="D1" s="847"/>
      <c r="E1" s="847"/>
    </row>
    <row r="2" spans="1:5" s="404" customFormat="1" ht="24.75" customHeight="1">
      <c r="A2" s="402" t="s">
        <v>596</v>
      </c>
      <c r="B2" s="850" t="str">
        <f>CONCATENATE('Z_6.2.sz.mell'!B2:D2)</f>
        <v>Balatonvilágosi Szivárvány Óvoda</v>
      </c>
      <c r="C2" s="850"/>
      <c r="D2" s="850"/>
      <c r="E2" s="403" t="s">
        <v>593</v>
      </c>
    </row>
    <row r="3" spans="1:5" s="404" customFormat="1" ht="24.75" customHeight="1">
      <c r="A3" s="402" t="s">
        <v>567</v>
      </c>
      <c r="B3" s="850" t="s">
        <v>592</v>
      </c>
      <c r="C3" s="850"/>
      <c r="D3" s="850"/>
      <c r="E3" s="403" t="s">
        <v>593</v>
      </c>
    </row>
    <row r="4" spans="1:5" s="405" customFormat="1" ht="15.75" customHeight="1">
      <c r="A4" s="341"/>
      <c r="B4" s="341"/>
      <c r="C4" s="342"/>
      <c r="D4" s="343"/>
      <c r="E4" s="342" t="str">
        <f>'Z_6.2.sz.mell'!E4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CONCATENATE('Z_6.2.sz.mell'!E5)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186">
        <f>SUM(E9:E19)</f>
        <v>6379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173"/>
      <c r="E10" s="178">
        <v>18</v>
      </c>
    </row>
    <row r="11" spans="1:5" s="412" customFormat="1" ht="12" customHeight="1">
      <c r="A11" s="416" t="s">
        <v>120</v>
      </c>
      <c r="B11" s="99" t="s">
        <v>179</v>
      </c>
      <c r="C11" s="173"/>
      <c r="D11" s="173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173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173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173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173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8"/>
      <c r="E16" s="212">
        <v>2</v>
      </c>
    </row>
    <row r="17" spans="1:5" s="420" customFormat="1" ht="12" customHeight="1">
      <c r="A17" s="416" t="s">
        <v>295</v>
      </c>
      <c r="B17" s="99" t="s">
        <v>191</v>
      </c>
      <c r="C17" s="173"/>
      <c r="D17" s="173"/>
      <c r="E17" s="178">
        <v>367</v>
      </c>
    </row>
    <row r="18" spans="1:5" s="420" customFormat="1" ht="12" customHeight="1">
      <c r="A18" s="416" t="s">
        <v>297</v>
      </c>
      <c r="B18" s="99" t="s">
        <v>193</v>
      </c>
      <c r="C18" s="181"/>
      <c r="D18" s="18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181"/>
      <c r="E19" s="182">
        <v>5992</v>
      </c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185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173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173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173"/>
      <c r="E23" s="178"/>
    </row>
    <row r="24" spans="1:5" s="420" customFormat="1" ht="12" customHeight="1">
      <c r="A24" s="416" t="s">
        <v>136</v>
      </c>
      <c r="B24" s="99" t="s">
        <v>604</v>
      </c>
      <c r="C24" s="173"/>
      <c r="D24" s="173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23"/>
      <c r="E25" s="424"/>
    </row>
    <row r="26" spans="1:5" s="420" customFormat="1" ht="12" customHeight="1">
      <c r="A26" s="422" t="s">
        <v>339</v>
      </c>
      <c r="B26" s="116" t="s">
        <v>605</v>
      </c>
      <c r="C26" s="185">
        <f>+C27+C28+C29</f>
        <v>0</v>
      </c>
      <c r="D26" s="185">
        <f>+D27+D28+D29</f>
        <v>0</v>
      </c>
      <c r="E26" s="186">
        <f>+E27+E28+E29</f>
        <v>0</v>
      </c>
    </row>
    <row r="27" spans="1:5" s="420" customFormat="1" ht="12" customHeight="1">
      <c r="A27" s="425" t="s">
        <v>158</v>
      </c>
      <c r="B27" s="426" t="s">
        <v>145</v>
      </c>
      <c r="C27" s="215"/>
      <c r="D27" s="215"/>
      <c r="E27" s="216"/>
    </row>
    <row r="28" spans="1:5" s="420" customFormat="1" ht="12" customHeight="1">
      <c r="A28" s="425" t="s">
        <v>160</v>
      </c>
      <c r="B28" s="426" t="s">
        <v>602</v>
      </c>
      <c r="C28" s="173"/>
      <c r="D28" s="173"/>
      <c r="E28" s="178"/>
    </row>
    <row r="29" spans="1:5" s="420" customFormat="1" ht="12" customHeight="1">
      <c r="A29" s="425" t="s">
        <v>162</v>
      </c>
      <c r="B29" s="427" t="s">
        <v>606</v>
      </c>
      <c r="C29" s="173"/>
      <c r="D29" s="173"/>
      <c r="E29" s="178"/>
    </row>
    <row r="30" spans="1:5" s="420" customFormat="1" ht="12" customHeight="1">
      <c r="A30" s="416" t="s">
        <v>164</v>
      </c>
      <c r="B30" s="428" t="s">
        <v>607</v>
      </c>
      <c r="C30" s="429"/>
      <c r="D30" s="429"/>
      <c r="E30" s="430"/>
    </row>
    <row r="31" spans="1:5" s="420" customFormat="1" ht="12" customHeight="1">
      <c r="A31" s="422" t="s">
        <v>172</v>
      </c>
      <c r="B31" s="116" t="s">
        <v>608</v>
      </c>
      <c r="C31" s="185">
        <f>+C32+C33+C34</f>
        <v>0</v>
      </c>
      <c r="D31" s="185">
        <f>+D32+D33+D34</f>
        <v>0</v>
      </c>
      <c r="E31" s="186">
        <f>+E32+E33+E34</f>
        <v>0</v>
      </c>
    </row>
    <row r="32" spans="1:5" s="420" customFormat="1" ht="12" customHeight="1">
      <c r="A32" s="425" t="s">
        <v>174</v>
      </c>
      <c r="B32" s="426" t="s">
        <v>199</v>
      </c>
      <c r="C32" s="215"/>
      <c r="D32" s="215"/>
      <c r="E32" s="216"/>
    </row>
    <row r="33" spans="1:5" s="420" customFormat="1" ht="12" customHeight="1">
      <c r="A33" s="425" t="s">
        <v>176</v>
      </c>
      <c r="B33" s="427" t="s">
        <v>201</v>
      </c>
      <c r="C33" s="191"/>
      <c r="D33" s="191"/>
      <c r="E33" s="192"/>
    </row>
    <row r="34" spans="1:5" s="420" customFormat="1" ht="12" customHeight="1">
      <c r="A34" s="416" t="s">
        <v>178</v>
      </c>
      <c r="B34" s="428" t="s">
        <v>203</v>
      </c>
      <c r="C34" s="429"/>
      <c r="D34" s="429"/>
      <c r="E34" s="430"/>
    </row>
    <row r="35" spans="1:5" s="412" customFormat="1" ht="12" customHeight="1">
      <c r="A35" s="422" t="s">
        <v>196</v>
      </c>
      <c r="B35" s="116" t="s">
        <v>394</v>
      </c>
      <c r="C35" s="423"/>
      <c r="D35" s="423"/>
      <c r="E35" s="424"/>
    </row>
    <row r="36" spans="1:5" s="412" customFormat="1" ht="12" customHeight="1">
      <c r="A36" s="422" t="s">
        <v>356</v>
      </c>
      <c r="B36" s="116" t="s">
        <v>609</v>
      </c>
      <c r="C36" s="423"/>
      <c r="D36" s="423"/>
      <c r="E36" s="424"/>
    </row>
    <row r="37" spans="1:5" s="412" customFormat="1" ht="12" customHeight="1">
      <c r="A37" s="350" t="s">
        <v>218</v>
      </c>
      <c r="B37" s="116" t="s">
        <v>610</v>
      </c>
      <c r="C37" s="185">
        <f>+C8+C20+C25+C26+C31+C35+C36</f>
        <v>0</v>
      </c>
      <c r="D37" s="185">
        <f>+D8+D20+D25+D26+D31+D35+D36</f>
        <v>0</v>
      </c>
      <c r="E37" s="186">
        <f>+E8+E20+E25+E26+E31+E35+E36</f>
        <v>6379</v>
      </c>
    </row>
    <row r="38" spans="1:5" s="412" customFormat="1" ht="12" customHeight="1">
      <c r="A38" s="431" t="s">
        <v>365</v>
      </c>
      <c r="B38" s="116" t="s">
        <v>611</v>
      </c>
      <c r="C38" s="185">
        <f>+C39+C40+C41</f>
        <v>50468591</v>
      </c>
      <c r="D38" s="185">
        <f>+D39+D40+D41</f>
        <v>50468591</v>
      </c>
      <c r="E38" s="186">
        <f>+E39+E40+E41</f>
        <v>49079683</v>
      </c>
    </row>
    <row r="39" spans="1:5" s="412" customFormat="1" ht="12" customHeight="1">
      <c r="A39" s="425" t="s">
        <v>612</v>
      </c>
      <c r="B39" s="426" t="s">
        <v>448</v>
      </c>
      <c r="C39" s="215">
        <v>3328683</v>
      </c>
      <c r="D39" s="432">
        <v>3328683</v>
      </c>
      <c r="E39" s="216">
        <v>3328683</v>
      </c>
    </row>
    <row r="40" spans="1:5" s="412" customFormat="1" ht="12" customHeight="1">
      <c r="A40" s="425" t="s">
        <v>613</v>
      </c>
      <c r="B40" s="427" t="s">
        <v>614</v>
      </c>
      <c r="C40" s="191"/>
      <c r="D40" s="196"/>
      <c r="E40" s="192"/>
    </row>
    <row r="41" spans="1:5" s="420" customFormat="1" ht="12" customHeight="1">
      <c r="A41" s="416" t="s">
        <v>615</v>
      </c>
      <c r="B41" s="428" t="s">
        <v>616</v>
      </c>
      <c r="C41" s="429">
        <v>47139908</v>
      </c>
      <c r="D41" s="433">
        <v>47139908</v>
      </c>
      <c r="E41" s="430">
        <v>45751000</v>
      </c>
    </row>
    <row r="42" spans="1:5" s="420" customFormat="1" ht="15" customHeight="1">
      <c r="A42" s="431" t="s">
        <v>367</v>
      </c>
      <c r="B42" s="434" t="s">
        <v>617</v>
      </c>
      <c r="C42" s="435">
        <f>+C37+C38</f>
        <v>50468591</v>
      </c>
      <c r="D42" s="435">
        <f>+D37+D38</f>
        <v>50468591</v>
      </c>
      <c r="E42" s="436">
        <f>+E37+E38</f>
        <v>49086062</v>
      </c>
    </row>
    <row r="43" spans="1:3" s="420" customFormat="1" ht="15" customHeight="1">
      <c r="A43" s="375"/>
      <c r="B43" s="376"/>
      <c r="C43" s="377"/>
    </row>
    <row r="44" spans="1:3" ht="12.75">
      <c r="A44" s="437"/>
      <c r="B44" s="438"/>
      <c r="C44" s="439"/>
    </row>
    <row r="45" spans="1:5" s="410" customFormat="1" ht="16.5" customHeight="1">
      <c r="A45" s="849" t="s">
        <v>381</v>
      </c>
      <c r="B45" s="849"/>
      <c r="C45" s="849"/>
      <c r="D45" s="849"/>
      <c r="E45" s="849"/>
    </row>
    <row r="46" spans="1:5" s="440" customFormat="1" ht="12" customHeight="1">
      <c r="A46" s="422" t="s">
        <v>114</v>
      </c>
      <c r="B46" s="116" t="s">
        <v>618</v>
      </c>
      <c r="C46" s="185">
        <f>SUM(C47:C51)</f>
        <v>48289391</v>
      </c>
      <c r="D46" s="185">
        <f>SUM(D47:D51)</f>
        <v>48157601</v>
      </c>
      <c r="E46" s="186">
        <f>SUM(E47:E51)</f>
        <v>45109581</v>
      </c>
    </row>
    <row r="47" spans="1:5" ht="12" customHeight="1">
      <c r="A47" s="416" t="s">
        <v>116</v>
      </c>
      <c r="B47" s="119" t="s">
        <v>284</v>
      </c>
      <c r="C47" s="215">
        <v>37095428</v>
      </c>
      <c r="D47" s="432">
        <v>36963638</v>
      </c>
      <c r="E47" s="216">
        <v>34396447</v>
      </c>
    </row>
    <row r="48" spans="1:5" ht="12" customHeight="1">
      <c r="A48" s="416" t="s">
        <v>118</v>
      </c>
      <c r="B48" s="99" t="s">
        <v>285</v>
      </c>
      <c r="C48" s="193">
        <v>7259917</v>
      </c>
      <c r="D48" s="194">
        <v>7259917</v>
      </c>
      <c r="E48" s="195">
        <v>6974532</v>
      </c>
    </row>
    <row r="49" spans="1:5" ht="12" customHeight="1">
      <c r="A49" s="416" t="s">
        <v>120</v>
      </c>
      <c r="B49" s="99" t="s">
        <v>286</v>
      </c>
      <c r="C49" s="193">
        <v>3934046</v>
      </c>
      <c r="D49" s="194">
        <v>3934046</v>
      </c>
      <c r="E49" s="195">
        <v>3738602</v>
      </c>
    </row>
    <row r="50" spans="1:5" ht="12" customHeight="1">
      <c r="A50" s="416" t="s">
        <v>122</v>
      </c>
      <c r="B50" s="99" t="s">
        <v>287</v>
      </c>
      <c r="C50" s="193"/>
      <c r="D50" s="194"/>
      <c r="E50" s="195"/>
    </row>
    <row r="51" spans="1:5" ht="12" customHeight="1">
      <c r="A51" s="416" t="s">
        <v>124</v>
      </c>
      <c r="B51" s="99" t="s">
        <v>289</v>
      </c>
      <c r="C51" s="193"/>
      <c r="D51" s="193"/>
      <c r="E51" s="195"/>
    </row>
    <row r="52" spans="1:5" ht="12" customHeight="1">
      <c r="A52" s="422" t="s">
        <v>128</v>
      </c>
      <c r="B52" s="116" t="s">
        <v>619</v>
      </c>
      <c r="C52" s="185">
        <f>SUM(C53:C55)</f>
        <v>2179200</v>
      </c>
      <c r="D52" s="185">
        <f>SUM(D53:D55)</f>
        <v>2310990</v>
      </c>
      <c r="E52" s="186">
        <f>SUM(E53:E55)</f>
        <v>2169943</v>
      </c>
    </row>
    <row r="53" spans="1:5" s="440" customFormat="1" ht="12" customHeight="1">
      <c r="A53" s="416" t="s">
        <v>130</v>
      </c>
      <c r="B53" s="119" t="s">
        <v>320</v>
      </c>
      <c r="C53" s="215">
        <v>904000</v>
      </c>
      <c r="D53" s="432">
        <v>159141</v>
      </c>
      <c r="E53" s="216">
        <v>130063</v>
      </c>
    </row>
    <row r="54" spans="1:5" ht="12" customHeight="1">
      <c r="A54" s="416" t="s">
        <v>132</v>
      </c>
      <c r="B54" s="99" t="s">
        <v>322</v>
      </c>
      <c r="C54" s="193">
        <v>1275200</v>
      </c>
      <c r="D54" s="194">
        <v>2151849</v>
      </c>
      <c r="E54" s="195">
        <v>2039880</v>
      </c>
    </row>
    <row r="55" spans="1:5" ht="12" customHeight="1">
      <c r="A55" s="416" t="s">
        <v>134</v>
      </c>
      <c r="B55" s="99" t="s">
        <v>620</v>
      </c>
      <c r="C55" s="193"/>
      <c r="D55" s="193"/>
      <c r="E55" s="195"/>
    </row>
    <row r="56" spans="1:5" ht="12" customHeight="1">
      <c r="A56" s="416" t="s">
        <v>136</v>
      </c>
      <c r="B56" s="99" t="s">
        <v>621</v>
      </c>
      <c r="C56" s="193"/>
      <c r="D56" s="193"/>
      <c r="E56" s="195"/>
    </row>
    <row r="57" spans="1:5" ht="12" customHeight="1">
      <c r="A57" s="422" t="s">
        <v>142</v>
      </c>
      <c r="B57" s="116" t="s">
        <v>622</v>
      </c>
      <c r="C57" s="423"/>
      <c r="D57" s="423"/>
      <c r="E57" s="424"/>
    </row>
    <row r="58" spans="1:5" ht="15" customHeight="1">
      <c r="A58" s="422" t="s">
        <v>339</v>
      </c>
      <c r="B58" s="442" t="s">
        <v>623</v>
      </c>
      <c r="C58" s="435">
        <f>+C46+C52+C57</f>
        <v>50468591</v>
      </c>
      <c r="D58" s="435">
        <f>+D46+D52+D57</f>
        <v>50468591</v>
      </c>
      <c r="E58" s="436">
        <f>+E46+E52+E57</f>
        <v>47279524</v>
      </c>
    </row>
    <row r="59" spans="3:5" ht="12.75">
      <c r="C59" s="386">
        <f>C42-C58</f>
        <v>0</v>
      </c>
      <c r="D59" s="386">
        <f>D42-D58</f>
        <v>0</v>
      </c>
      <c r="E59" s="443"/>
    </row>
    <row r="60" spans="1:5" ht="15" customHeight="1">
      <c r="A60" s="391" t="s">
        <v>590</v>
      </c>
      <c r="B60" s="392"/>
      <c r="C60" s="389"/>
      <c r="D60" s="389"/>
      <c r="E60" s="390"/>
    </row>
    <row r="61" spans="1:5" ht="14.25" customHeight="1">
      <c r="A61" s="393" t="s">
        <v>591</v>
      </c>
      <c r="B61" s="394"/>
      <c r="C61" s="389"/>
      <c r="D61" s="389"/>
      <c r="E61" s="390"/>
    </row>
  </sheetData>
  <sheetProtection selectLockedCells="1" selectUnlockedCells="1"/>
  <mergeCells count="5">
    <mergeCell ref="B1:E1"/>
    <mergeCell ref="B2:D2"/>
    <mergeCell ref="B3:D3"/>
    <mergeCell ref="A7:E7"/>
    <mergeCell ref="A45:E45"/>
  </mergeCells>
  <printOptions horizontalCentered="1"/>
  <pageMargins left="0.7875" right="0.7875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120" zoomScaleNormal="120" zoomScalePageLayoutView="0" workbookViewId="0" topLeftCell="A1">
      <selection activeCell="H7" sqref="H7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customWidth="1"/>
    <col min="4" max="4" width="6.875" style="0" customWidth="1"/>
    <col min="5" max="5" width="1.4921875" style="0" customWidth="1"/>
    <col min="6" max="6" width="9.00390625" style="0" customWidth="1"/>
    <col min="7" max="7" width="1.4921875" style="0" customWidth="1"/>
  </cols>
  <sheetData>
    <row r="1" spans="2:3" ht="12.75">
      <c r="B1">
        <v>2018</v>
      </c>
      <c r="C1" t="s">
        <v>48</v>
      </c>
    </row>
    <row r="2" spans="1:6" ht="15.75" customHeight="1">
      <c r="A2" s="803" t="s">
        <v>49</v>
      </c>
      <c r="B2" s="803"/>
      <c r="C2" s="803"/>
      <c r="D2" s="803"/>
      <c r="E2" s="803"/>
      <c r="F2" s="803"/>
    </row>
    <row r="3" spans="1:7" ht="15.75">
      <c r="A3" s="804" t="s">
        <v>50</v>
      </c>
      <c r="B3" s="804"/>
      <c r="C3" s="804"/>
      <c r="D3" s="804"/>
      <c r="E3" s="804"/>
      <c r="F3" s="804"/>
      <c r="G3" s="804"/>
    </row>
    <row r="6" ht="15">
      <c r="A6" s="7" t="s">
        <v>51</v>
      </c>
    </row>
    <row r="7" spans="1:8" ht="12.75">
      <c r="A7" s="8" t="s">
        <v>52</v>
      </c>
      <c r="B7" s="9" t="s">
        <v>53</v>
      </c>
      <c r="C7" t="s">
        <v>54</v>
      </c>
      <c r="D7" t="s">
        <v>55</v>
      </c>
      <c r="E7" t="s">
        <v>56</v>
      </c>
      <c r="F7" s="9" t="s">
        <v>53</v>
      </c>
      <c r="G7" t="s">
        <v>57</v>
      </c>
      <c r="H7" t="s">
        <v>58</v>
      </c>
    </row>
    <row r="8" spans="1:6" ht="12.75">
      <c r="A8" s="8"/>
      <c r="B8" s="10"/>
      <c r="F8" s="10"/>
    </row>
    <row r="9" spans="1:6" ht="12.75">
      <c r="A9" s="8"/>
      <c r="B9" s="10"/>
      <c r="F9" s="10"/>
    </row>
    <row r="12" spans="1:7" ht="14.25">
      <c r="A12" s="11" t="s">
        <v>59</v>
      </c>
      <c r="B12" s="805" t="s">
        <v>60</v>
      </c>
      <c r="C12" s="805"/>
      <c r="D12" s="805"/>
      <c r="E12" s="805"/>
      <c r="F12" s="805"/>
      <c r="G12" s="805"/>
    </row>
    <row r="13" spans="2:7" ht="14.25">
      <c r="B13" s="12"/>
      <c r="C13" s="13"/>
      <c r="D13" s="13"/>
      <c r="E13" s="13"/>
      <c r="F13" s="13"/>
      <c r="G13" s="13"/>
    </row>
    <row r="14" spans="1:7" ht="14.25">
      <c r="A14" s="11" t="s">
        <v>61</v>
      </c>
      <c r="B14" s="805" t="s">
        <v>62</v>
      </c>
      <c r="C14" s="805"/>
      <c r="D14" s="805"/>
      <c r="E14" s="805"/>
      <c r="F14" s="805"/>
      <c r="G14" s="805"/>
    </row>
  </sheetData>
  <sheetProtection selectLockedCells="1" selectUnlockedCells="1"/>
  <mergeCells count="4">
    <mergeCell ref="A2:F2"/>
    <mergeCell ref="A3:G3"/>
    <mergeCell ref="B12:G12"/>
    <mergeCell ref="B14:G14"/>
  </mergeCells>
  <dataValidations count="1">
    <dataValidation type="list" allowBlank="1" showErrorMessage="1" sqref="A6">
      <formula1>",Előterjesztéskor,Jóváhagyás után"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E61"/>
  <sheetViews>
    <sheetView zoomScale="120" zoomScaleNormal="120" zoomScalePageLayoutView="0" workbookViewId="0" topLeftCell="A1">
      <selection activeCell="J21" sqref="J21"/>
    </sheetView>
  </sheetViews>
  <sheetFormatPr defaultColWidth="9.00390625" defaultRowHeight="12.75"/>
  <cols>
    <col min="1" max="1" width="13.00390625" style="399" customWidth="1"/>
    <col min="2" max="2" width="59.0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47" t="str">
        <f>CONCATENATE("6.2.2. melléklet ",Z_ALAPADATOK!A7," ",Z_ALAPADATOK!B7," ",Z_ALAPADATOK!C7," ",Z_ALAPADATOK!D7," ",Z_ALAPADATOK!E7," ",Z_ALAPADATOK!F7," ",Z_ALAPADATOK!G7," ",Z_ALAPADATOK!H7)</f>
        <v>6.2.2. melléklet a … / 2019. ( … ) önkormányzati rendelethez</v>
      </c>
      <c r="C1" s="847"/>
      <c r="D1" s="847"/>
      <c r="E1" s="847"/>
    </row>
    <row r="2" spans="1:5" s="404" customFormat="1" ht="24.75" customHeight="1">
      <c r="A2" s="402" t="s">
        <v>596</v>
      </c>
      <c r="B2" s="850" t="str">
        <f>CONCATENATE('Z_6.2.1.sz.mell'!B2:D2)</f>
        <v>Balatonvilágosi Szivárvány Óvoda</v>
      </c>
      <c r="C2" s="850"/>
      <c r="D2" s="850"/>
      <c r="E2" s="403" t="s">
        <v>593</v>
      </c>
    </row>
    <row r="3" spans="1:5" s="404" customFormat="1" ht="24.75" customHeight="1">
      <c r="A3" s="402" t="s">
        <v>567</v>
      </c>
      <c r="B3" s="850" t="s">
        <v>29</v>
      </c>
      <c r="C3" s="850"/>
      <c r="D3" s="850"/>
      <c r="E3" s="403" t="s">
        <v>624</v>
      </c>
    </row>
    <row r="4" spans="1:5" s="405" customFormat="1" ht="15.75" customHeight="1">
      <c r="A4" s="341"/>
      <c r="B4" s="341"/>
      <c r="C4" s="342"/>
      <c r="D4" s="343"/>
      <c r="E4" s="342" t="str">
        <f>'Z_6.2.1.sz.mell'!E4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CONCATENATE('Z_6.2.1.sz.mell'!E5)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186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173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173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173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173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173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173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8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173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18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18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185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173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173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173"/>
      <c r="E23" s="178"/>
    </row>
    <row r="24" spans="1:5" s="420" customFormat="1" ht="12" customHeight="1">
      <c r="A24" s="416" t="s">
        <v>136</v>
      </c>
      <c r="B24" s="99" t="s">
        <v>604</v>
      </c>
      <c r="C24" s="173"/>
      <c r="D24" s="173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23"/>
      <c r="E25" s="424"/>
    </row>
    <row r="26" spans="1:5" s="420" customFormat="1" ht="12" customHeight="1">
      <c r="A26" s="422" t="s">
        <v>339</v>
      </c>
      <c r="B26" s="116" t="s">
        <v>605</v>
      </c>
      <c r="C26" s="185">
        <f>+C27+C28+C29</f>
        <v>0</v>
      </c>
      <c r="D26" s="185">
        <f>+D27+D28+D29</f>
        <v>0</v>
      </c>
      <c r="E26" s="186">
        <f>+E27+E28+E29</f>
        <v>0</v>
      </c>
    </row>
    <row r="27" spans="1:5" s="420" customFormat="1" ht="12" customHeight="1">
      <c r="A27" s="425" t="s">
        <v>158</v>
      </c>
      <c r="B27" s="426" t="s">
        <v>145</v>
      </c>
      <c r="C27" s="215"/>
      <c r="D27" s="215"/>
      <c r="E27" s="216"/>
    </row>
    <row r="28" spans="1:5" s="420" customFormat="1" ht="12" customHeight="1">
      <c r="A28" s="425" t="s">
        <v>160</v>
      </c>
      <c r="B28" s="426" t="s">
        <v>602</v>
      </c>
      <c r="C28" s="173"/>
      <c r="D28" s="173"/>
      <c r="E28" s="178"/>
    </row>
    <row r="29" spans="1:5" s="420" customFormat="1" ht="12" customHeight="1">
      <c r="A29" s="425" t="s">
        <v>162</v>
      </c>
      <c r="B29" s="427" t="s">
        <v>606</v>
      </c>
      <c r="C29" s="173"/>
      <c r="D29" s="173"/>
      <c r="E29" s="178"/>
    </row>
    <row r="30" spans="1:5" s="420" customFormat="1" ht="12" customHeight="1">
      <c r="A30" s="416" t="s">
        <v>164</v>
      </c>
      <c r="B30" s="428" t="s">
        <v>607</v>
      </c>
      <c r="C30" s="429"/>
      <c r="D30" s="429"/>
      <c r="E30" s="430"/>
    </row>
    <row r="31" spans="1:5" s="420" customFormat="1" ht="12" customHeight="1">
      <c r="A31" s="422" t="s">
        <v>172</v>
      </c>
      <c r="B31" s="116" t="s">
        <v>608</v>
      </c>
      <c r="C31" s="185">
        <f>+C32+C33+C34</f>
        <v>0</v>
      </c>
      <c r="D31" s="185">
        <f>+D32+D33+D34</f>
        <v>0</v>
      </c>
      <c r="E31" s="186">
        <f>+E32+E33+E34</f>
        <v>0</v>
      </c>
    </row>
    <row r="32" spans="1:5" s="420" customFormat="1" ht="12" customHeight="1">
      <c r="A32" s="425" t="s">
        <v>174</v>
      </c>
      <c r="B32" s="426" t="s">
        <v>199</v>
      </c>
      <c r="C32" s="215"/>
      <c r="D32" s="215"/>
      <c r="E32" s="216"/>
    </row>
    <row r="33" spans="1:5" s="420" customFormat="1" ht="12" customHeight="1">
      <c r="A33" s="425" t="s">
        <v>176</v>
      </c>
      <c r="B33" s="427" t="s">
        <v>201</v>
      </c>
      <c r="C33" s="191"/>
      <c r="D33" s="191"/>
      <c r="E33" s="192"/>
    </row>
    <row r="34" spans="1:5" s="420" customFormat="1" ht="12" customHeight="1">
      <c r="A34" s="416" t="s">
        <v>178</v>
      </c>
      <c r="B34" s="428" t="s">
        <v>203</v>
      </c>
      <c r="C34" s="429"/>
      <c r="D34" s="429"/>
      <c r="E34" s="430"/>
    </row>
    <row r="35" spans="1:5" s="412" customFormat="1" ht="12" customHeight="1">
      <c r="A35" s="422" t="s">
        <v>196</v>
      </c>
      <c r="B35" s="116" t="s">
        <v>394</v>
      </c>
      <c r="C35" s="423"/>
      <c r="D35" s="423"/>
      <c r="E35" s="424"/>
    </row>
    <row r="36" spans="1:5" s="412" customFormat="1" ht="12" customHeight="1">
      <c r="A36" s="422" t="s">
        <v>356</v>
      </c>
      <c r="B36" s="116" t="s">
        <v>609</v>
      </c>
      <c r="C36" s="423"/>
      <c r="D36" s="423"/>
      <c r="E36" s="424"/>
    </row>
    <row r="37" spans="1:5" s="412" customFormat="1" ht="12" customHeight="1">
      <c r="A37" s="350" t="s">
        <v>218</v>
      </c>
      <c r="B37" s="116" t="s">
        <v>610</v>
      </c>
      <c r="C37" s="185">
        <f>+C8+C20+C25+C26+C31+C35+C36</f>
        <v>0</v>
      </c>
      <c r="D37" s="185">
        <f>+D8+D20+D25+D26+D31+D35+D36</f>
        <v>0</v>
      </c>
      <c r="E37" s="186">
        <f>+E8+E20+E25+E26+E31+E35+E36</f>
        <v>0</v>
      </c>
    </row>
    <row r="38" spans="1:5" s="412" customFormat="1" ht="12" customHeight="1">
      <c r="A38" s="431" t="s">
        <v>365</v>
      </c>
      <c r="B38" s="116" t="s">
        <v>611</v>
      </c>
      <c r="C38" s="185">
        <f>+C39+C40+C41</f>
        <v>0</v>
      </c>
      <c r="D38" s="185">
        <f>+D39+D40+D41</f>
        <v>0</v>
      </c>
      <c r="E38" s="186">
        <f>+E39+E40+E41</f>
        <v>0</v>
      </c>
    </row>
    <row r="39" spans="1:5" s="412" customFormat="1" ht="12" customHeight="1">
      <c r="A39" s="425" t="s">
        <v>612</v>
      </c>
      <c r="B39" s="426" t="s">
        <v>448</v>
      </c>
      <c r="C39" s="215"/>
      <c r="D39" s="215"/>
      <c r="E39" s="216"/>
    </row>
    <row r="40" spans="1:5" s="412" customFormat="1" ht="12" customHeight="1">
      <c r="A40" s="425" t="s">
        <v>613</v>
      </c>
      <c r="B40" s="427" t="s">
        <v>614</v>
      </c>
      <c r="C40" s="191"/>
      <c r="D40" s="191"/>
      <c r="E40" s="192"/>
    </row>
    <row r="41" spans="1:5" s="420" customFormat="1" ht="12" customHeight="1">
      <c r="A41" s="416" t="s">
        <v>615</v>
      </c>
      <c r="B41" s="428" t="s">
        <v>616</v>
      </c>
      <c r="C41" s="429"/>
      <c r="D41" s="429"/>
      <c r="E41" s="430"/>
    </row>
    <row r="42" spans="1:5" s="420" customFormat="1" ht="15" customHeight="1">
      <c r="A42" s="431" t="s">
        <v>367</v>
      </c>
      <c r="B42" s="434" t="s">
        <v>617</v>
      </c>
      <c r="C42" s="435">
        <f>+C37+C38</f>
        <v>0</v>
      </c>
      <c r="D42" s="435">
        <f>+D37+D38</f>
        <v>0</v>
      </c>
      <c r="E42" s="436">
        <f>+E37+E38</f>
        <v>0</v>
      </c>
    </row>
    <row r="43" spans="1:3" s="420" customFormat="1" ht="15" customHeight="1">
      <c r="A43" s="375"/>
      <c r="B43" s="376"/>
      <c r="C43" s="377"/>
    </row>
    <row r="44" spans="1:3" ht="12.75">
      <c r="A44" s="437"/>
      <c r="B44" s="438"/>
      <c r="C44" s="439"/>
    </row>
    <row r="45" spans="1:5" s="410" customFormat="1" ht="16.5" customHeight="1">
      <c r="A45" s="849" t="s">
        <v>381</v>
      </c>
      <c r="B45" s="849"/>
      <c r="C45" s="849"/>
      <c r="D45" s="849"/>
      <c r="E45" s="849"/>
    </row>
    <row r="46" spans="1:5" s="440" customFormat="1" ht="12" customHeight="1">
      <c r="A46" s="422" t="s">
        <v>114</v>
      </c>
      <c r="B46" s="116" t="s">
        <v>618</v>
      </c>
      <c r="C46" s="185">
        <f>SUM(C47:C51)</f>
        <v>0</v>
      </c>
      <c r="D46" s="185">
        <f>SUM(D47:D51)</f>
        <v>0</v>
      </c>
      <c r="E46" s="186">
        <f>SUM(E47:E51)</f>
        <v>0</v>
      </c>
    </row>
    <row r="47" spans="1:5" ht="12" customHeight="1">
      <c r="A47" s="416" t="s">
        <v>116</v>
      </c>
      <c r="B47" s="119" t="s">
        <v>284</v>
      </c>
      <c r="C47" s="215"/>
      <c r="D47" s="215"/>
      <c r="E47" s="216"/>
    </row>
    <row r="48" spans="1:5" ht="12" customHeight="1">
      <c r="A48" s="416" t="s">
        <v>118</v>
      </c>
      <c r="B48" s="99" t="s">
        <v>285</v>
      </c>
      <c r="C48" s="193"/>
      <c r="D48" s="193"/>
      <c r="E48" s="195"/>
    </row>
    <row r="49" spans="1:5" ht="12" customHeight="1">
      <c r="A49" s="416" t="s">
        <v>120</v>
      </c>
      <c r="B49" s="99" t="s">
        <v>286</v>
      </c>
      <c r="C49" s="193"/>
      <c r="D49" s="193"/>
      <c r="E49" s="195"/>
    </row>
    <row r="50" spans="1:5" ht="12" customHeight="1">
      <c r="A50" s="416" t="s">
        <v>122</v>
      </c>
      <c r="B50" s="99" t="s">
        <v>287</v>
      </c>
      <c r="C50" s="193"/>
      <c r="D50" s="193"/>
      <c r="E50" s="195"/>
    </row>
    <row r="51" spans="1:5" ht="12" customHeight="1">
      <c r="A51" s="416" t="s">
        <v>124</v>
      </c>
      <c r="B51" s="99" t="s">
        <v>289</v>
      </c>
      <c r="C51" s="193"/>
      <c r="D51" s="193"/>
      <c r="E51" s="195"/>
    </row>
    <row r="52" spans="1:5" ht="12" customHeight="1">
      <c r="A52" s="422" t="s">
        <v>128</v>
      </c>
      <c r="B52" s="116" t="s">
        <v>619</v>
      </c>
      <c r="C52" s="185">
        <f>SUM(C53:C55)</f>
        <v>0</v>
      </c>
      <c r="D52" s="185">
        <f>SUM(D53:D55)</f>
        <v>0</v>
      </c>
      <c r="E52" s="186">
        <f>SUM(E53:E55)</f>
        <v>0</v>
      </c>
    </row>
    <row r="53" spans="1:5" s="440" customFormat="1" ht="12" customHeight="1">
      <c r="A53" s="416" t="s">
        <v>130</v>
      </c>
      <c r="B53" s="119" t="s">
        <v>320</v>
      </c>
      <c r="C53" s="215"/>
      <c r="D53" s="215"/>
      <c r="E53" s="216"/>
    </row>
    <row r="54" spans="1:5" ht="12" customHeight="1">
      <c r="A54" s="416" t="s">
        <v>132</v>
      </c>
      <c r="B54" s="99" t="s">
        <v>322</v>
      </c>
      <c r="C54" s="193"/>
      <c r="D54" s="193"/>
      <c r="E54" s="195"/>
    </row>
    <row r="55" spans="1:5" ht="12" customHeight="1">
      <c r="A55" s="416" t="s">
        <v>134</v>
      </c>
      <c r="B55" s="99" t="s">
        <v>620</v>
      </c>
      <c r="C55" s="193"/>
      <c r="D55" s="193"/>
      <c r="E55" s="195"/>
    </row>
    <row r="56" spans="1:5" ht="12" customHeight="1">
      <c r="A56" s="416" t="s">
        <v>136</v>
      </c>
      <c r="B56" s="99" t="s">
        <v>621</v>
      </c>
      <c r="C56" s="193"/>
      <c r="D56" s="193"/>
      <c r="E56" s="195"/>
    </row>
    <row r="57" spans="1:5" ht="12" customHeight="1">
      <c r="A57" s="422" t="s">
        <v>142</v>
      </c>
      <c r="B57" s="116" t="s">
        <v>622</v>
      </c>
      <c r="C57" s="423"/>
      <c r="D57" s="423"/>
      <c r="E57" s="424"/>
    </row>
    <row r="58" spans="1:5" ht="15" customHeight="1">
      <c r="A58" s="422" t="s">
        <v>339</v>
      </c>
      <c r="B58" s="442" t="s">
        <v>623</v>
      </c>
      <c r="C58" s="435">
        <f>+C46+C52+C57</f>
        <v>0</v>
      </c>
      <c r="D58" s="435">
        <f>+D46+D52+D57</f>
        <v>0</v>
      </c>
      <c r="E58" s="436">
        <f>+E46+E52+E57</f>
        <v>0</v>
      </c>
    </row>
    <row r="59" spans="3:5" ht="12.75">
      <c r="C59" s="386">
        <f>C42-C58</f>
        <v>0</v>
      </c>
      <c r="D59" s="386">
        <f>D42-D58</f>
        <v>0</v>
      </c>
      <c r="E59" s="443"/>
    </row>
    <row r="60" spans="1:5" ht="15" customHeight="1">
      <c r="A60" s="391" t="s">
        <v>590</v>
      </c>
      <c r="B60" s="392"/>
      <c r="C60" s="389"/>
      <c r="D60" s="389"/>
      <c r="E60" s="390"/>
    </row>
    <row r="61" spans="1:5" ht="14.25" customHeight="1">
      <c r="A61" s="393" t="s">
        <v>591</v>
      </c>
      <c r="B61" s="394"/>
      <c r="C61" s="389"/>
      <c r="D61" s="389"/>
      <c r="E61" s="390"/>
    </row>
  </sheetData>
  <sheetProtection selectLockedCells="1" selectUnlockedCells="1"/>
  <mergeCells count="5">
    <mergeCell ref="B1:E1"/>
    <mergeCell ref="B2:D2"/>
    <mergeCell ref="B3:D3"/>
    <mergeCell ref="A7:E7"/>
    <mergeCell ref="A45:E4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61"/>
  <sheetViews>
    <sheetView zoomScale="120" zoomScaleNormal="120" zoomScalePageLayoutView="0" workbookViewId="0" topLeftCell="A1">
      <selection activeCell="I21" sqref="I21"/>
    </sheetView>
  </sheetViews>
  <sheetFormatPr defaultColWidth="9.00390625" defaultRowHeight="12.75"/>
  <cols>
    <col min="1" max="1" width="13.00390625" style="399" customWidth="1"/>
    <col min="2" max="2" width="59.00390625" style="400" customWidth="1"/>
    <col min="3" max="5" width="15.875" style="400" customWidth="1"/>
    <col min="6" max="16384" width="9.375" style="400" customWidth="1"/>
  </cols>
  <sheetData>
    <row r="1" spans="1:5" s="401" customFormat="1" ht="21" customHeight="1">
      <c r="A1" s="335"/>
      <c r="B1" s="851" t="str">
        <f>CONCATENATE("6.2.3. melléklet ",Z_ALAPADATOK!A7," ",Z_ALAPADATOK!B7," ",Z_ALAPADATOK!C7," ",Z_ALAPADATOK!D7," ",Z_ALAPADATOK!E7," ",Z_ALAPADATOK!F7," ",Z_ALAPADATOK!G7," ",Z_ALAPADATOK!H7)</f>
        <v>6.2.3. melléklet a … / 2019. ( … ) önkormányzati rendelethez</v>
      </c>
      <c r="C1" s="851"/>
      <c r="D1" s="851"/>
      <c r="E1" s="851"/>
    </row>
    <row r="2" spans="1:5" s="404" customFormat="1" ht="24.75" customHeight="1">
      <c r="A2" s="402" t="s">
        <v>596</v>
      </c>
      <c r="B2" s="850" t="str">
        <f>CONCATENATE('Z_6.2.2.sz.mell'!B2:D2)</f>
        <v>Balatonvilágosi Szivárvány Óvoda</v>
      </c>
      <c r="C2" s="850"/>
      <c r="D2" s="850"/>
      <c r="E2" s="403" t="s">
        <v>593</v>
      </c>
    </row>
    <row r="3" spans="1:5" s="404" customFormat="1" ht="24.75" customHeight="1">
      <c r="A3" s="402" t="s">
        <v>567</v>
      </c>
      <c r="B3" s="850" t="s">
        <v>595</v>
      </c>
      <c r="C3" s="850"/>
      <c r="D3" s="850"/>
      <c r="E3" s="403" t="s">
        <v>625</v>
      </c>
    </row>
    <row r="4" spans="1:5" s="405" customFormat="1" ht="15.75" customHeight="1">
      <c r="A4" s="341"/>
      <c r="B4" s="341"/>
      <c r="C4" s="342"/>
      <c r="D4" s="343"/>
      <c r="E4" s="342" t="str">
        <f>'Z_6.2.2.sz.mell'!E4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CONCATENATE('Z_6.2.2.sz.mell'!E5)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186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173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173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173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173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173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173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8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173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18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18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185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173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173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173"/>
      <c r="E23" s="178"/>
    </row>
    <row r="24" spans="1:5" s="420" customFormat="1" ht="12" customHeight="1">
      <c r="A24" s="416" t="s">
        <v>136</v>
      </c>
      <c r="B24" s="99" t="s">
        <v>604</v>
      </c>
      <c r="C24" s="173"/>
      <c r="D24" s="173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23"/>
      <c r="E25" s="424"/>
    </row>
    <row r="26" spans="1:5" s="420" customFormat="1" ht="12" customHeight="1">
      <c r="A26" s="422" t="s">
        <v>339</v>
      </c>
      <c r="B26" s="116" t="s">
        <v>605</v>
      </c>
      <c r="C26" s="185">
        <f>+C27+C28+C29</f>
        <v>0</v>
      </c>
      <c r="D26" s="185">
        <f>+D27+D28+D29</f>
        <v>0</v>
      </c>
      <c r="E26" s="186">
        <f>+E27+E28+E29</f>
        <v>0</v>
      </c>
    </row>
    <row r="27" spans="1:5" s="420" customFormat="1" ht="12" customHeight="1">
      <c r="A27" s="425" t="s">
        <v>158</v>
      </c>
      <c r="B27" s="426" t="s">
        <v>145</v>
      </c>
      <c r="C27" s="215"/>
      <c r="D27" s="215"/>
      <c r="E27" s="216"/>
    </row>
    <row r="28" spans="1:5" s="420" customFormat="1" ht="12" customHeight="1">
      <c r="A28" s="425" t="s">
        <v>160</v>
      </c>
      <c r="B28" s="426" t="s">
        <v>602</v>
      </c>
      <c r="C28" s="173"/>
      <c r="D28" s="173"/>
      <c r="E28" s="178"/>
    </row>
    <row r="29" spans="1:5" s="420" customFormat="1" ht="12" customHeight="1">
      <c r="A29" s="425" t="s">
        <v>162</v>
      </c>
      <c r="B29" s="427" t="s">
        <v>606</v>
      </c>
      <c r="C29" s="173"/>
      <c r="D29" s="173"/>
      <c r="E29" s="178"/>
    </row>
    <row r="30" spans="1:5" s="420" customFormat="1" ht="12" customHeight="1">
      <c r="A30" s="416" t="s">
        <v>164</v>
      </c>
      <c r="B30" s="428" t="s">
        <v>607</v>
      </c>
      <c r="C30" s="429"/>
      <c r="D30" s="429"/>
      <c r="E30" s="430"/>
    </row>
    <row r="31" spans="1:5" s="420" customFormat="1" ht="12" customHeight="1">
      <c r="A31" s="422" t="s">
        <v>172</v>
      </c>
      <c r="B31" s="116" t="s">
        <v>608</v>
      </c>
      <c r="C31" s="185">
        <f>+C32+C33+C34</f>
        <v>0</v>
      </c>
      <c r="D31" s="185">
        <f>+D32+D33+D34</f>
        <v>0</v>
      </c>
      <c r="E31" s="186">
        <f>+E32+E33+E34</f>
        <v>0</v>
      </c>
    </row>
    <row r="32" spans="1:5" s="420" customFormat="1" ht="12" customHeight="1">
      <c r="A32" s="425" t="s">
        <v>174</v>
      </c>
      <c r="B32" s="426" t="s">
        <v>199</v>
      </c>
      <c r="C32" s="215"/>
      <c r="D32" s="215"/>
      <c r="E32" s="216"/>
    </row>
    <row r="33" spans="1:5" s="420" customFormat="1" ht="12" customHeight="1">
      <c r="A33" s="425" t="s">
        <v>176</v>
      </c>
      <c r="B33" s="427" t="s">
        <v>201</v>
      </c>
      <c r="C33" s="191"/>
      <c r="D33" s="191"/>
      <c r="E33" s="192"/>
    </row>
    <row r="34" spans="1:5" s="420" customFormat="1" ht="12" customHeight="1">
      <c r="A34" s="416" t="s">
        <v>178</v>
      </c>
      <c r="B34" s="428" t="s">
        <v>203</v>
      </c>
      <c r="C34" s="429"/>
      <c r="D34" s="429"/>
      <c r="E34" s="430"/>
    </row>
    <row r="35" spans="1:5" s="412" customFormat="1" ht="12" customHeight="1">
      <c r="A35" s="422" t="s">
        <v>196</v>
      </c>
      <c r="B35" s="116" t="s">
        <v>394</v>
      </c>
      <c r="C35" s="423"/>
      <c r="D35" s="423"/>
      <c r="E35" s="424"/>
    </row>
    <row r="36" spans="1:5" s="412" customFormat="1" ht="12" customHeight="1">
      <c r="A36" s="422" t="s">
        <v>356</v>
      </c>
      <c r="B36" s="116" t="s">
        <v>609</v>
      </c>
      <c r="C36" s="423"/>
      <c r="D36" s="423"/>
      <c r="E36" s="424"/>
    </row>
    <row r="37" spans="1:5" s="412" customFormat="1" ht="12" customHeight="1">
      <c r="A37" s="350" t="s">
        <v>218</v>
      </c>
      <c r="B37" s="116" t="s">
        <v>610</v>
      </c>
      <c r="C37" s="185">
        <f>+C8+C20+C25+C26+C31+C35+C36</f>
        <v>0</v>
      </c>
      <c r="D37" s="185">
        <f>+D8+D20+D25+D26+D31+D35+D36</f>
        <v>0</v>
      </c>
      <c r="E37" s="186">
        <f>+E8+E20+E25+E26+E31+E35+E36</f>
        <v>0</v>
      </c>
    </row>
    <row r="38" spans="1:5" s="412" customFormat="1" ht="12" customHeight="1">
      <c r="A38" s="431" t="s">
        <v>365</v>
      </c>
      <c r="B38" s="116" t="s">
        <v>611</v>
      </c>
      <c r="C38" s="185">
        <f>+C39+C40+C41</f>
        <v>0</v>
      </c>
      <c r="D38" s="185">
        <f>+D39+D40+D41</f>
        <v>0</v>
      </c>
      <c r="E38" s="186">
        <f>+E39+E40+E41</f>
        <v>0</v>
      </c>
    </row>
    <row r="39" spans="1:5" s="412" customFormat="1" ht="12" customHeight="1">
      <c r="A39" s="425" t="s">
        <v>612</v>
      </c>
      <c r="B39" s="426" t="s">
        <v>448</v>
      </c>
      <c r="C39" s="215"/>
      <c r="D39" s="215"/>
      <c r="E39" s="216"/>
    </row>
    <row r="40" spans="1:5" s="412" customFormat="1" ht="12" customHeight="1">
      <c r="A40" s="425" t="s">
        <v>613</v>
      </c>
      <c r="B40" s="427" t="s">
        <v>614</v>
      </c>
      <c r="C40" s="191"/>
      <c r="D40" s="191"/>
      <c r="E40" s="192"/>
    </row>
    <row r="41" spans="1:5" s="420" customFormat="1" ht="12" customHeight="1">
      <c r="A41" s="416" t="s">
        <v>615</v>
      </c>
      <c r="B41" s="428" t="s">
        <v>616</v>
      </c>
      <c r="C41" s="429"/>
      <c r="D41" s="429"/>
      <c r="E41" s="430"/>
    </row>
    <row r="42" spans="1:5" s="420" customFormat="1" ht="15" customHeight="1">
      <c r="A42" s="431" t="s">
        <v>367</v>
      </c>
      <c r="B42" s="434" t="s">
        <v>617</v>
      </c>
      <c r="C42" s="435">
        <f>+C37+C38</f>
        <v>0</v>
      </c>
      <c r="D42" s="435">
        <f>+D37+D38</f>
        <v>0</v>
      </c>
      <c r="E42" s="436">
        <f>+E37+E38</f>
        <v>0</v>
      </c>
    </row>
    <row r="43" spans="1:3" s="420" customFormat="1" ht="15" customHeight="1">
      <c r="A43" s="375"/>
      <c r="B43" s="376"/>
      <c r="C43" s="377"/>
    </row>
    <row r="44" spans="1:3" ht="12.75">
      <c r="A44" s="437"/>
      <c r="B44" s="438"/>
      <c r="C44" s="439"/>
    </row>
    <row r="45" spans="1:5" s="410" customFormat="1" ht="16.5" customHeight="1">
      <c r="A45" s="849" t="s">
        <v>381</v>
      </c>
      <c r="B45" s="849"/>
      <c r="C45" s="849"/>
      <c r="D45" s="849"/>
      <c r="E45" s="849"/>
    </row>
    <row r="46" spans="1:5" s="440" customFormat="1" ht="12" customHeight="1">
      <c r="A46" s="422" t="s">
        <v>114</v>
      </c>
      <c r="B46" s="116" t="s">
        <v>618</v>
      </c>
      <c r="C46" s="185">
        <f>SUM(C47:C51)</f>
        <v>0</v>
      </c>
      <c r="D46" s="185">
        <f>SUM(D47:D51)</f>
        <v>0</v>
      </c>
      <c r="E46" s="186">
        <f>SUM(E47:E51)</f>
        <v>0</v>
      </c>
    </row>
    <row r="47" spans="1:5" ht="12" customHeight="1">
      <c r="A47" s="416" t="s">
        <v>116</v>
      </c>
      <c r="B47" s="119" t="s">
        <v>284</v>
      </c>
      <c r="C47" s="215"/>
      <c r="D47" s="215"/>
      <c r="E47" s="216"/>
    </row>
    <row r="48" spans="1:5" ht="12" customHeight="1">
      <c r="A48" s="416" t="s">
        <v>118</v>
      </c>
      <c r="B48" s="99" t="s">
        <v>285</v>
      </c>
      <c r="C48" s="193"/>
      <c r="D48" s="193"/>
      <c r="E48" s="195"/>
    </row>
    <row r="49" spans="1:5" ht="12" customHeight="1">
      <c r="A49" s="416" t="s">
        <v>120</v>
      </c>
      <c r="B49" s="99" t="s">
        <v>286</v>
      </c>
      <c r="C49" s="193"/>
      <c r="D49" s="193"/>
      <c r="E49" s="195"/>
    </row>
    <row r="50" spans="1:5" ht="12" customHeight="1">
      <c r="A50" s="416" t="s">
        <v>122</v>
      </c>
      <c r="B50" s="99" t="s">
        <v>287</v>
      </c>
      <c r="C50" s="193"/>
      <c r="D50" s="193"/>
      <c r="E50" s="195"/>
    </row>
    <row r="51" spans="1:5" ht="12" customHeight="1">
      <c r="A51" s="416" t="s">
        <v>124</v>
      </c>
      <c r="B51" s="99" t="s">
        <v>289</v>
      </c>
      <c r="C51" s="193"/>
      <c r="D51" s="193"/>
      <c r="E51" s="195"/>
    </row>
    <row r="52" spans="1:5" ht="12" customHeight="1">
      <c r="A52" s="422" t="s">
        <v>128</v>
      </c>
      <c r="B52" s="116" t="s">
        <v>619</v>
      </c>
      <c r="C52" s="185">
        <f>SUM(C53:C55)</f>
        <v>0</v>
      </c>
      <c r="D52" s="185">
        <f>SUM(D53:D55)</f>
        <v>0</v>
      </c>
      <c r="E52" s="186">
        <f>SUM(E53:E55)</f>
        <v>0</v>
      </c>
    </row>
    <row r="53" spans="1:5" s="440" customFormat="1" ht="12" customHeight="1">
      <c r="A53" s="416" t="s">
        <v>130</v>
      </c>
      <c r="B53" s="119" t="s">
        <v>320</v>
      </c>
      <c r="C53" s="215"/>
      <c r="D53" s="215"/>
      <c r="E53" s="216"/>
    </row>
    <row r="54" spans="1:5" ht="12" customHeight="1">
      <c r="A54" s="416" t="s">
        <v>132</v>
      </c>
      <c r="B54" s="99" t="s">
        <v>322</v>
      </c>
      <c r="C54" s="193"/>
      <c r="D54" s="193"/>
      <c r="E54" s="195"/>
    </row>
    <row r="55" spans="1:5" ht="12" customHeight="1">
      <c r="A55" s="416" t="s">
        <v>134</v>
      </c>
      <c r="B55" s="99" t="s">
        <v>620</v>
      </c>
      <c r="C55" s="193"/>
      <c r="D55" s="193"/>
      <c r="E55" s="195"/>
    </row>
    <row r="56" spans="1:5" ht="12" customHeight="1">
      <c r="A56" s="416" t="s">
        <v>136</v>
      </c>
      <c r="B56" s="99" t="s">
        <v>621</v>
      </c>
      <c r="C56" s="193"/>
      <c r="D56" s="193"/>
      <c r="E56" s="195"/>
    </row>
    <row r="57" spans="1:5" ht="12" customHeight="1">
      <c r="A57" s="422" t="s">
        <v>142</v>
      </c>
      <c r="B57" s="116" t="s">
        <v>622</v>
      </c>
      <c r="C57" s="423"/>
      <c r="D57" s="423"/>
      <c r="E57" s="424"/>
    </row>
    <row r="58" spans="1:5" ht="15" customHeight="1">
      <c r="A58" s="422" t="s">
        <v>339</v>
      </c>
      <c r="B58" s="442" t="s">
        <v>623</v>
      </c>
      <c r="C58" s="435">
        <f>+C46+C52+C57</f>
        <v>0</v>
      </c>
      <c r="D58" s="435">
        <f>+D46+D52+D57</f>
        <v>0</v>
      </c>
      <c r="E58" s="436">
        <f>+E46+E52+E57</f>
        <v>0</v>
      </c>
    </row>
    <row r="59" spans="3:5" ht="12.75">
      <c r="C59" s="386">
        <f>C42-C58</f>
        <v>0</v>
      </c>
      <c r="D59" s="386">
        <f>D42-D58</f>
        <v>0</v>
      </c>
      <c r="E59" s="443"/>
    </row>
    <row r="60" spans="1:5" ht="15" customHeight="1">
      <c r="A60" s="391" t="s">
        <v>590</v>
      </c>
      <c r="B60" s="392"/>
      <c r="C60" s="389"/>
      <c r="D60" s="389"/>
      <c r="E60" s="390"/>
    </row>
    <row r="61" spans="1:5" ht="14.25" customHeight="1">
      <c r="A61" s="393" t="s">
        <v>591</v>
      </c>
      <c r="B61" s="394"/>
      <c r="C61" s="389"/>
      <c r="D61" s="389"/>
      <c r="E61" s="390"/>
    </row>
  </sheetData>
  <sheetProtection selectLockedCells="1" selectUnlockedCells="1"/>
  <mergeCells count="5">
    <mergeCell ref="B1:E1"/>
    <mergeCell ref="B2:D2"/>
    <mergeCell ref="B3:D3"/>
    <mergeCell ref="A7:E7"/>
    <mergeCell ref="A45:E4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60"/>
  <sheetViews>
    <sheetView zoomScale="120" zoomScaleNormal="120" zoomScalePageLayoutView="0" workbookViewId="0" topLeftCell="A1">
      <selection activeCell="D50" sqref="D50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47" t="str">
        <f>CONCATENATE("6.3. melléklet ",Z_ALAPADATOK!A7," ",Z_ALAPADATOK!B7," ",Z_ALAPADATOK!C7," ",Z_ALAPADATOK!D7," ",Z_ALAPADATOK!E7," ",Z_ALAPADATOK!F7," ",Z_ALAPADATOK!G7," ",Z_ALAPADATOK!H7)</f>
        <v>6.3. melléklet a … / 2019. ( … ) önkormányzati rendelethez</v>
      </c>
      <c r="C1" s="847"/>
      <c r="D1" s="847"/>
      <c r="E1" s="847"/>
    </row>
    <row r="2" spans="1:5" s="404" customFormat="1" ht="25.5" customHeight="1">
      <c r="A2" s="402" t="s">
        <v>596</v>
      </c>
      <c r="B2" s="850" t="s">
        <v>62</v>
      </c>
      <c r="C2" s="850"/>
      <c r="D2" s="850"/>
      <c r="E2" s="403" t="s">
        <v>624</v>
      </c>
    </row>
    <row r="3" spans="1:5" s="404" customFormat="1" ht="24.75" customHeight="1">
      <c r="A3" s="402" t="s">
        <v>567</v>
      </c>
      <c r="B3" s="850" t="s">
        <v>568</v>
      </c>
      <c r="C3" s="850"/>
      <c r="D3" s="850"/>
      <c r="E3" s="403" t="s">
        <v>566</v>
      </c>
    </row>
    <row r="4" spans="1:5" s="405" customFormat="1" ht="15.75" customHeight="1">
      <c r="A4" s="341"/>
      <c r="B4" s="341"/>
      <c r="C4" s="342"/>
      <c r="D4" s="343"/>
      <c r="E4" s="342" t="str">
        <f>'Z_6.2.3.sz.mell'!E4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CONCATENATE('Z_6.2.3.sz.mell'!E5)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47093237</v>
      </c>
      <c r="D8" s="185">
        <f>SUM(D9:D19)</f>
        <v>47093237</v>
      </c>
      <c r="E8" s="444">
        <f>SUM(E9:E19)</f>
        <v>46013455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>
        <v>17178166</v>
      </c>
      <c r="D10" s="417">
        <v>17178166</v>
      </c>
      <c r="E10" s="178">
        <v>12991275</v>
      </c>
    </row>
    <row r="11" spans="1:5" s="412" customFormat="1" ht="12" customHeight="1">
      <c r="A11" s="416" t="s">
        <v>120</v>
      </c>
      <c r="B11" s="99" t="s">
        <v>179</v>
      </c>
      <c r="C11" s="173">
        <v>7100000</v>
      </c>
      <c r="D11" s="417">
        <v>7100000</v>
      </c>
      <c r="E11" s="178">
        <v>3740711</v>
      </c>
    </row>
    <row r="12" spans="1:5" s="412" customFormat="1" ht="12" customHeight="1">
      <c r="A12" s="416" t="s">
        <v>122</v>
      </c>
      <c r="B12" s="99" t="s">
        <v>181</v>
      </c>
      <c r="C12" s="173">
        <v>3717200</v>
      </c>
      <c r="D12" s="417">
        <v>3717200</v>
      </c>
      <c r="E12" s="178">
        <v>11191550</v>
      </c>
    </row>
    <row r="13" spans="1:5" s="412" customFormat="1" ht="12" customHeight="1">
      <c r="A13" s="416" t="s">
        <v>124</v>
      </c>
      <c r="B13" s="99" t="s">
        <v>183</v>
      </c>
      <c r="C13" s="173">
        <v>11732830</v>
      </c>
      <c r="D13" s="417">
        <v>11732830</v>
      </c>
      <c r="E13" s="178">
        <v>9819054</v>
      </c>
    </row>
    <row r="14" spans="1:5" s="412" customFormat="1" ht="12" customHeight="1">
      <c r="A14" s="416" t="s">
        <v>126</v>
      </c>
      <c r="B14" s="99" t="s">
        <v>598</v>
      </c>
      <c r="C14" s="173">
        <v>7365041</v>
      </c>
      <c r="D14" s="417">
        <v>7365041</v>
      </c>
      <c r="E14" s="178">
        <v>6595976</v>
      </c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>
        <v>1586000</v>
      </c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>
        <v>9</v>
      </c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>
        <v>88880</v>
      </c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3519000</v>
      </c>
      <c r="D20" s="200">
        <f>SUM(D21:D23)</f>
        <v>3519000</v>
      </c>
      <c r="E20" s="186">
        <f>SUM(E21:E23)</f>
        <v>1945672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>
        <v>3519000</v>
      </c>
      <c r="D23" s="417">
        <v>3519000</v>
      </c>
      <c r="E23" s="178">
        <v>1945672</v>
      </c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118110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>
        <v>118110</v>
      </c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50612237</v>
      </c>
      <c r="D36" s="200">
        <f>+D8+D20+D25+D26+D30+D34+D35</f>
        <v>50612237</v>
      </c>
      <c r="E36" s="186">
        <f>+E8+E20+E25+E26+E30+E34+E35</f>
        <v>48077237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8562848</v>
      </c>
      <c r="D37" s="200">
        <f>+D38+D39+D40</f>
        <v>8562848</v>
      </c>
      <c r="E37" s="186">
        <f>+E38+E39+E40</f>
        <v>8562848</v>
      </c>
    </row>
    <row r="38" spans="1:5" s="412" customFormat="1" ht="12" customHeight="1">
      <c r="A38" s="425" t="s">
        <v>612</v>
      </c>
      <c r="B38" s="426" t="s">
        <v>448</v>
      </c>
      <c r="C38" s="215">
        <v>8562848</v>
      </c>
      <c r="D38" s="432">
        <v>8562848</v>
      </c>
      <c r="E38" s="216">
        <v>8562848</v>
      </c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7" s="420" customFormat="1" ht="12" customHeight="1">
      <c r="A40" s="416" t="s">
        <v>615</v>
      </c>
      <c r="B40" s="428" t="s">
        <v>616</v>
      </c>
      <c r="C40" s="429"/>
      <c r="D40" s="433"/>
      <c r="E40" s="430"/>
      <c r="G40" s="446"/>
    </row>
    <row r="41" spans="1:7" s="420" customFormat="1" ht="15" customHeight="1">
      <c r="A41" s="431" t="s">
        <v>367</v>
      </c>
      <c r="B41" s="434" t="s">
        <v>617</v>
      </c>
      <c r="C41" s="435">
        <f>+C36+C37</f>
        <v>59175085</v>
      </c>
      <c r="D41" s="447">
        <f>+D36+D37</f>
        <v>59175085</v>
      </c>
      <c r="E41" s="436">
        <f>+E36+E37</f>
        <v>56640085</v>
      </c>
      <c r="G41" s="446"/>
    </row>
    <row r="42" spans="1:7" s="420" customFormat="1" ht="15" customHeight="1">
      <c r="A42" s="375"/>
      <c r="B42" s="376"/>
      <c r="C42" s="377"/>
      <c r="G42" s="446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270096818</v>
      </c>
      <c r="D45" s="200">
        <f>SUM(D46:D50)</f>
        <v>274241424</v>
      </c>
      <c r="E45" s="186">
        <f>SUM(E46:E50)</f>
        <v>210935742</v>
      </c>
    </row>
    <row r="46" spans="1:5" ht="12" customHeight="1">
      <c r="A46" s="416" t="s">
        <v>116</v>
      </c>
      <c r="B46" s="119" t="s">
        <v>284</v>
      </c>
      <c r="C46" s="215">
        <v>96904484</v>
      </c>
      <c r="D46" s="432">
        <v>98883850</v>
      </c>
      <c r="E46" s="216">
        <v>85662016</v>
      </c>
    </row>
    <row r="47" spans="1:5" ht="12" customHeight="1">
      <c r="A47" s="416" t="s">
        <v>118</v>
      </c>
      <c r="B47" s="99" t="s">
        <v>285</v>
      </c>
      <c r="C47" s="193">
        <v>20056768</v>
      </c>
      <c r="D47" s="194">
        <v>20563379</v>
      </c>
      <c r="E47" s="195">
        <v>17836949</v>
      </c>
    </row>
    <row r="48" spans="1:5" ht="12" customHeight="1">
      <c r="A48" s="416" t="s">
        <v>120</v>
      </c>
      <c r="B48" s="99" t="s">
        <v>286</v>
      </c>
      <c r="C48" s="193">
        <v>148515566</v>
      </c>
      <c r="D48" s="194">
        <v>149944195</v>
      </c>
      <c r="E48" s="195">
        <v>102836777</v>
      </c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>
        <v>4620000</v>
      </c>
      <c r="D50" s="194">
        <v>4850000</v>
      </c>
      <c r="E50" s="195">
        <v>4600000</v>
      </c>
    </row>
    <row r="51" spans="1:5" ht="12" customHeight="1">
      <c r="A51" s="422" t="s">
        <v>128</v>
      </c>
      <c r="B51" s="116" t="s">
        <v>619</v>
      </c>
      <c r="C51" s="185">
        <f>SUM(C52:C54)</f>
        <v>41002039</v>
      </c>
      <c r="D51" s="200">
        <f>SUM(D52:D54)</f>
        <v>57386447</v>
      </c>
      <c r="E51" s="186">
        <f>SUM(E52:E54)</f>
        <v>42509187</v>
      </c>
    </row>
    <row r="52" spans="1:5" s="440" customFormat="1" ht="12" customHeight="1">
      <c r="A52" s="416" t="s">
        <v>130</v>
      </c>
      <c r="B52" s="119" t="s">
        <v>320</v>
      </c>
      <c r="C52" s="215">
        <v>30532681</v>
      </c>
      <c r="D52" s="432">
        <v>33915388</v>
      </c>
      <c r="E52" s="216">
        <v>25587010</v>
      </c>
    </row>
    <row r="53" spans="1:5" ht="12" customHeight="1">
      <c r="A53" s="416" t="s">
        <v>132</v>
      </c>
      <c r="B53" s="99" t="s">
        <v>322</v>
      </c>
      <c r="C53" s="193">
        <v>7969358</v>
      </c>
      <c r="D53" s="194">
        <v>20971059</v>
      </c>
      <c r="E53" s="195">
        <v>15429872</v>
      </c>
    </row>
    <row r="54" spans="1:5" ht="12" customHeight="1">
      <c r="A54" s="416" t="s">
        <v>134</v>
      </c>
      <c r="B54" s="99" t="s">
        <v>620</v>
      </c>
      <c r="C54" s="193">
        <v>2500000</v>
      </c>
      <c r="D54" s="194">
        <v>2500000</v>
      </c>
      <c r="E54" s="195">
        <v>1492305</v>
      </c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311098857</v>
      </c>
      <c r="D57" s="447">
        <f>+D45+D51+D56</f>
        <v>331627871</v>
      </c>
      <c r="E57" s="436">
        <f>+E45+E51+E56</f>
        <v>253444929</v>
      </c>
    </row>
    <row r="58" spans="3:4" ht="15" customHeight="1">
      <c r="C58" s="386">
        <f>C41-C57</f>
        <v>-251923772</v>
      </c>
      <c r="D58" s="386">
        <f>D41-D57</f>
        <v>-272452786</v>
      </c>
    </row>
    <row r="59" spans="1:5" ht="14.25" customHeight="1">
      <c r="A59" s="391" t="s">
        <v>590</v>
      </c>
      <c r="B59" s="392"/>
      <c r="C59" s="389">
        <v>34</v>
      </c>
      <c r="D59" s="389">
        <v>28</v>
      </c>
      <c r="E59" s="390">
        <v>27</v>
      </c>
    </row>
    <row r="60" spans="1:5" ht="12.75">
      <c r="A60" s="393" t="s">
        <v>591</v>
      </c>
      <c r="B60" s="394"/>
      <c r="C60" s="389">
        <v>5</v>
      </c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60"/>
  <sheetViews>
    <sheetView zoomScale="120" zoomScaleNormal="120" zoomScalePageLayoutView="0" workbookViewId="0" topLeftCell="A1">
      <selection activeCell="E11" sqref="E11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CONCATENATE("6.3.1. melléklet ",Z_ALAPADATOK!A7," ",Z_ALAPADATOK!B7," ",Z_ALAPADATOK!C7," ",Z_ALAPADATOK!D7," ",Z_ALAPADATOK!E7," ",Z_ALAPADATOK!F7," ",Z_ALAPADATOK!G7," ",Z_ALAPADATOK!H7)</f>
        <v>6.3.1.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str">
        <f>CONCATENATE('Z_6.3.sz.mell'!B2:D2)</f>
        <v>Balatonvilágos Község Önkormányzat Gazdasági Ellátó és Vagyongazdálkodó Szervezete</v>
      </c>
      <c r="C2" s="850"/>
      <c r="D2" s="850"/>
      <c r="E2" s="403" t="s">
        <v>624</v>
      </c>
    </row>
    <row r="3" spans="1:5" s="404" customFormat="1" ht="24.75" customHeight="1">
      <c r="A3" s="402" t="s">
        <v>567</v>
      </c>
      <c r="B3" s="850" t="s">
        <v>592</v>
      </c>
      <c r="C3" s="850"/>
      <c r="D3" s="850"/>
      <c r="E3" s="403" t="s">
        <v>593</v>
      </c>
    </row>
    <row r="4" spans="1:5" s="405" customFormat="1" ht="15.75" customHeight="1">
      <c r="A4" s="341"/>
      <c r="B4" s="341"/>
      <c r="C4" s="342"/>
      <c r="D4" s="343"/>
      <c r="E4" s="342" t="str">
        <f>'Z_6.3.sz.mell'!E4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CONCATENATE('Z_6.3.sz.mell'!E5)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33700960</v>
      </c>
      <c r="D8" s="185">
        <f>SUM(D9:D19)</f>
        <v>33700960</v>
      </c>
      <c r="E8" s="444">
        <f>SUM(E9:E19)</f>
        <v>35391801</v>
      </c>
    </row>
    <row r="9" spans="1:5" s="412" customFormat="1" ht="12" customHeight="1">
      <c r="A9" s="413" t="s">
        <v>116</v>
      </c>
      <c r="B9" s="96" t="s">
        <v>175</v>
      </c>
      <c r="C9" s="448"/>
      <c r="D9" s="448"/>
      <c r="E9" s="415"/>
    </row>
    <row r="10" spans="1:5" s="412" customFormat="1" ht="12" customHeight="1">
      <c r="A10" s="416" t="s">
        <v>118</v>
      </c>
      <c r="B10" s="99" t="s">
        <v>177</v>
      </c>
      <c r="C10" s="174">
        <v>10233066</v>
      </c>
      <c r="D10" s="174">
        <v>10233066</v>
      </c>
      <c r="E10" s="178">
        <f>12991275-'Z_6.3.2.sz.mell'!E10</f>
        <v>8159729</v>
      </c>
    </row>
    <row r="11" spans="1:5" s="412" customFormat="1" ht="12" customHeight="1">
      <c r="A11" s="416" t="s">
        <v>120</v>
      </c>
      <c r="B11" s="99" t="s">
        <v>179</v>
      </c>
      <c r="C11" s="174">
        <v>3500000</v>
      </c>
      <c r="D11" s="174">
        <v>3500000</v>
      </c>
      <c r="E11" s="178">
        <f>3740711-'Z_6.3.2.sz.mell'!E11</f>
        <v>5951</v>
      </c>
    </row>
    <row r="12" spans="1:5" s="412" customFormat="1" ht="12" customHeight="1">
      <c r="A12" s="416" t="s">
        <v>122</v>
      </c>
      <c r="B12" s="99" t="s">
        <v>181</v>
      </c>
      <c r="C12" s="174">
        <v>3717200</v>
      </c>
      <c r="D12" s="174">
        <v>3717200</v>
      </c>
      <c r="E12" s="178">
        <v>11191550</v>
      </c>
    </row>
    <row r="13" spans="1:5" s="412" customFormat="1" ht="12" customHeight="1">
      <c r="A13" s="416" t="s">
        <v>124</v>
      </c>
      <c r="B13" s="99" t="s">
        <v>183</v>
      </c>
      <c r="C13" s="174">
        <v>11732830</v>
      </c>
      <c r="D13" s="174">
        <v>11732830</v>
      </c>
      <c r="E13" s="178">
        <v>9819054</v>
      </c>
    </row>
    <row r="14" spans="1:5" s="412" customFormat="1" ht="12" customHeight="1">
      <c r="A14" s="416" t="s">
        <v>126</v>
      </c>
      <c r="B14" s="99" t="s">
        <v>598</v>
      </c>
      <c r="C14" s="174">
        <v>4517864</v>
      </c>
      <c r="D14" s="174">
        <v>4517864</v>
      </c>
      <c r="E14" s="178">
        <f>6595976-'Z_6.3.2.sz.mell'!E14</f>
        <v>4540628</v>
      </c>
    </row>
    <row r="15" spans="1:5" s="412" customFormat="1" ht="12" customHeight="1">
      <c r="A15" s="416" t="s">
        <v>291</v>
      </c>
      <c r="B15" s="124" t="s">
        <v>599</v>
      </c>
      <c r="C15" s="174"/>
      <c r="D15" s="174"/>
      <c r="E15" s="178">
        <v>1586000</v>
      </c>
    </row>
    <row r="16" spans="1:5" s="412" customFormat="1" ht="12" customHeight="1">
      <c r="A16" s="416" t="s">
        <v>293</v>
      </c>
      <c r="B16" s="99" t="s">
        <v>600</v>
      </c>
      <c r="C16" s="211"/>
      <c r="D16" s="211"/>
      <c r="E16" s="212">
        <v>9</v>
      </c>
    </row>
    <row r="17" spans="1:5" s="420" customFormat="1" ht="12" customHeight="1">
      <c r="A17" s="416" t="s">
        <v>295</v>
      </c>
      <c r="B17" s="99" t="s">
        <v>191</v>
      </c>
      <c r="C17" s="174"/>
      <c r="D17" s="174"/>
      <c r="E17" s="178"/>
    </row>
    <row r="18" spans="1:5" s="420" customFormat="1" ht="12" customHeight="1">
      <c r="A18" s="416" t="s">
        <v>297</v>
      </c>
      <c r="B18" s="99" t="s">
        <v>193</v>
      </c>
      <c r="C18" s="449"/>
      <c r="D18" s="449"/>
      <c r="E18" s="182"/>
    </row>
    <row r="19" spans="1:5" s="420" customFormat="1" ht="12" customHeight="1">
      <c r="A19" s="416" t="s">
        <v>299</v>
      </c>
      <c r="B19" s="124" t="s">
        <v>195</v>
      </c>
      <c r="C19" s="449"/>
      <c r="D19" s="449"/>
      <c r="E19" s="182">
        <v>88880</v>
      </c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3519000</v>
      </c>
      <c r="D20" s="200">
        <f>SUM(D21:D23)</f>
        <v>3519000</v>
      </c>
      <c r="E20" s="186">
        <f>SUM(E21:E23)</f>
        <v>1945672</v>
      </c>
    </row>
    <row r="21" spans="1:5" s="420" customFormat="1" ht="12" customHeight="1">
      <c r="A21" s="416" t="s">
        <v>130</v>
      </c>
      <c r="B21" s="119" t="s">
        <v>131</v>
      </c>
      <c r="C21" s="174"/>
      <c r="D21" s="174"/>
      <c r="E21" s="178"/>
    </row>
    <row r="22" spans="1:5" s="420" customFormat="1" ht="12" customHeight="1">
      <c r="A22" s="416" t="s">
        <v>132</v>
      </c>
      <c r="B22" s="99" t="s">
        <v>602</v>
      </c>
      <c r="C22" s="174"/>
      <c r="D22" s="174"/>
      <c r="E22" s="178"/>
    </row>
    <row r="23" spans="1:5" s="420" customFormat="1" ht="12" customHeight="1">
      <c r="A23" s="416" t="s">
        <v>134</v>
      </c>
      <c r="B23" s="99" t="s">
        <v>603</v>
      </c>
      <c r="C23" s="174">
        <v>3519000</v>
      </c>
      <c r="D23" s="174">
        <v>3519000</v>
      </c>
      <c r="E23" s="178">
        <v>1945672</v>
      </c>
    </row>
    <row r="24" spans="1:5" s="420" customFormat="1" ht="12" customHeight="1">
      <c r="A24" s="416" t="s">
        <v>136</v>
      </c>
      <c r="B24" s="99" t="s">
        <v>626</v>
      </c>
      <c r="C24" s="174"/>
      <c r="D24" s="174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118110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>
        <v>118110</v>
      </c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37219960</v>
      </c>
      <c r="D36" s="200">
        <f>+D8+D20+D25+D26+D30+D34+D35</f>
        <v>37219960</v>
      </c>
      <c r="E36" s="186">
        <f>+E8+E20+E25+E26+E30+E34+E35</f>
        <v>37455583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8562848</v>
      </c>
      <c r="D37" s="200">
        <f>+D38+D39+D40</f>
        <v>8562848</v>
      </c>
      <c r="E37" s="186">
        <f>+E38+E39+E40</f>
        <v>8562848</v>
      </c>
    </row>
    <row r="38" spans="1:5" s="412" customFormat="1" ht="12" customHeight="1">
      <c r="A38" s="425" t="s">
        <v>612</v>
      </c>
      <c r="B38" s="426" t="s">
        <v>448</v>
      </c>
      <c r="C38" s="450">
        <v>8562848</v>
      </c>
      <c r="D38" s="450">
        <v>8562848</v>
      </c>
      <c r="E38" s="216">
        <v>8562848</v>
      </c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45782808</v>
      </c>
      <c r="D41" s="447">
        <f>+D36+D37</f>
        <v>45782808</v>
      </c>
      <c r="E41" s="436">
        <f>+E36+E37</f>
        <v>46018431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249021606</v>
      </c>
      <c r="D45" s="200">
        <f>SUM(D46:D50)</f>
        <v>252761609</v>
      </c>
      <c r="E45" s="186">
        <f>SUM(E46:E50)</f>
        <v>194122810</v>
      </c>
    </row>
    <row r="46" spans="1:5" ht="12" customHeight="1">
      <c r="A46" s="416" t="s">
        <v>116</v>
      </c>
      <c r="B46" s="119" t="s">
        <v>284</v>
      </c>
      <c r="C46" s="450">
        <v>93239484</v>
      </c>
      <c r="D46" s="450">
        <v>95262776</v>
      </c>
      <c r="E46" s="216">
        <f>85662016-'Z_6.3.2.sz.mell'!E46</f>
        <v>82731896</v>
      </c>
    </row>
    <row r="47" spans="1:5" ht="12" customHeight="1">
      <c r="A47" s="416" t="s">
        <v>118</v>
      </c>
      <c r="B47" s="99" t="s">
        <v>285</v>
      </c>
      <c r="C47" s="451">
        <v>19341392</v>
      </c>
      <c r="D47" s="451">
        <v>19804077</v>
      </c>
      <c r="E47" s="195">
        <f>17836949-'Z_6.3.2.sz.mell'!E47</f>
        <v>17321813</v>
      </c>
    </row>
    <row r="48" spans="1:5" ht="12" customHeight="1">
      <c r="A48" s="416" t="s">
        <v>120</v>
      </c>
      <c r="B48" s="99" t="s">
        <v>286</v>
      </c>
      <c r="C48" s="451">
        <v>136440730</v>
      </c>
      <c r="D48" s="451">
        <v>137694756</v>
      </c>
      <c r="E48" s="195">
        <f>102836777-'Z_6.3.2.sz.mell'!E48</f>
        <v>94069101</v>
      </c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38502039</v>
      </c>
      <c r="D51" s="200">
        <f>SUM(D52:D54)</f>
        <v>54886447</v>
      </c>
      <c r="E51" s="186">
        <f>SUM(E52:E54)</f>
        <v>41016882</v>
      </c>
    </row>
    <row r="52" spans="1:5" s="440" customFormat="1" ht="12" customHeight="1">
      <c r="A52" s="416" t="s">
        <v>130</v>
      </c>
      <c r="B52" s="119" t="s">
        <v>320</v>
      </c>
      <c r="C52" s="450">
        <v>30532681</v>
      </c>
      <c r="D52" s="450">
        <v>34759267</v>
      </c>
      <c r="E52" s="216">
        <v>25587010</v>
      </c>
    </row>
    <row r="53" spans="1:5" ht="12" customHeight="1">
      <c r="A53" s="416" t="s">
        <v>132</v>
      </c>
      <c r="B53" s="99" t="s">
        <v>322</v>
      </c>
      <c r="C53" s="451">
        <v>7969358</v>
      </c>
      <c r="D53" s="451">
        <v>20127180</v>
      </c>
      <c r="E53" s="195">
        <v>15429872</v>
      </c>
    </row>
    <row r="54" spans="1:5" ht="12" customHeight="1">
      <c r="A54" s="416" t="s">
        <v>134</v>
      </c>
      <c r="B54" s="99" t="s">
        <v>620</v>
      </c>
      <c r="C54" s="193"/>
      <c r="D54" s="194"/>
      <c r="E54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287523645</v>
      </c>
      <c r="D57" s="447">
        <f>+D45+D51+D56</f>
        <v>307648056</v>
      </c>
      <c r="E57" s="436">
        <f>+E45+E51+E56</f>
        <v>235139692</v>
      </c>
    </row>
    <row r="58" spans="3:4" ht="15" customHeight="1">
      <c r="C58" s="386">
        <f>C41-C57</f>
        <v>-241740837</v>
      </c>
      <c r="D58" s="386">
        <f>D41-D57</f>
        <v>-261865248</v>
      </c>
    </row>
    <row r="59" spans="1:5" ht="14.25" customHeight="1">
      <c r="A59" s="391" t="s">
        <v>590</v>
      </c>
      <c r="B59" s="392"/>
      <c r="C59" s="389">
        <v>30</v>
      </c>
      <c r="D59" s="389">
        <v>24</v>
      </c>
      <c r="E59" s="390">
        <v>24</v>
      </c>
    </row>
    <row r="60" spans="1:5" ht="12.75">
      <c r="A60" s="393" t="s">
        <v>591</v>
      </c>
      <c r="B60" s="394"/>
      <c r="C60" s="389">
        <v>5</v>
      </c>
      <c r="D60" s="452"/>
      <c r="E60" s="453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60"/>
  <sheetViews>
    <sheetView zoomScale="120" zoomScaleNormal="120" zoomScalePageLayoutView="0" workbookViewId="0" topLeftCell="A1">
      <selection activeCell="D50" sqref="D50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CONCATENATE("6.3.2. melléklet ",Z_ALAPADATOK!A7," ",Z_ALAPADATOK!B7," ",Z_ALAPADATOK!C7," ",Z_ALAPADATOK!D7," ",Z_ALAPADATOK!E7," ",Z_ALAPADATOK!F7," ",Z_ALAPADATOK!G7," ",Z_ALAPADATOK!H7)</f>
        <v>6.3.2.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str">
        <f>CONCATENATE('Z_6.3.1.sz.mell'!B2:D2)</f>
        <v>Balatonvilágos Község Önkormányzat Gazdasági Ellátó és Vagyongazdálkodó Szervezete</v>
      </c>
      <c r="C2" s="850"/>
      <c r="D2" s="850"/>
      <c r="E2" s="403" t="s">
        <v>624</v>
      </c>
    </row>
    <row r="3" spans="1:5" s="404" customFormat="1" ht="24.75" customHeight="1">
      <c r="A3" s="402" t="s">
        <v>567</v>
      </c>
      <c r="B3" s="850" t="s">
        <v>29</v>
      </c>
      <c r="C3" s="850"/>
      <c r="D3" s="850"/>
      <c r="E3" s="403" t="s">
        <v>624</v>
      </c>
    </row>
    <row r="4" spans="1:5" s="405" customFormat="1" ht="15.75" customHeight="1">
      <c r="A4" s="341"/>
      <c r="B4" s="341"/>
      <c r="C4" s="342"/>
      <c r="D4" s="343"/>
      <c r="E4" s="342" t="str">
        <f>'Z_6.3.1.sz.mell'!E4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+CONCATENATE("Teljesítés",CHAR(10),LEFT(Z_ÖSSZEFÜGGÉSEK!A6,4),". XII. 31.")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13392277</v>
      </c>
      <c r="D8" s="185">
        <f>SUM(D9:D19)</f>
        <v>13392277</v>
      </c>
      <c r="E8" s="444">
        <f>SUM(E9:E19)</f>
        <v>10621654</v>
      </c>
    </row>
    <row r="9" spans="1:5" s="412" customFormat="1" ht="12" customHeight="1">
      <c r="A9" s="413" t="s">
        <v>116</v>
      </c>
      <c r="B9" s="96" t="s">
        <v>175</v>
      </c>
      <c r="C9" s="448"/>
      <c r="D9" s="448"/>
      <c r="E9" s="415"/>
    </row>
    <row r="10" spans="1:5" s="412" customFormat="1" ht="12" customHeight="1">
      <c r="A10" s="416" t="s">
        <v>118</v>
      </c>
      <c r="B10" s="99" t="s">
        <v>177</v>
      </c>
      <c r="C10" s="174">
        <v>6945100</v>
      </c>
      <c r="D10" s="174">
        <v>6945100</v>
      </c>
      <c r="E10" s="174">
        <v>4831546</v>
      </c>
    </row>
    <row r="11" spans="1:7" s="412" customFormat="1" ht="12" customHeight="1">
      <c r="A11" s="416" t="s">
        <v>120</v>
      </c>
      <c r="B11" s="99" t="s">
        <v>179</v>
      </c>
      <c r="C11" s="174">
        <v>3600000</v>
      </c>
      <c r="D11" s="174">
        <v>3600000</v>
      </c>
      <c r="E11" s="174">
        <v>3734760</v>
      </c>
      <c r="G11" s="454"/>
    </row>
    <row r="12" spans="1:5" s="412" customFormat="1" ht="12" customHeight="1">
      <c r="A12" s="416" t="s">
        <v>122</v>
      </c>
      <c r="B12" s="99" t="s">
        <v>181</v>
      </c>
      <c r="C12" s="174"/>
      <c r="D12" s="174"/>
      <c r="E12" s="174"/>
    </row>
    <row r="13" spans="1:5" s="412" customFormat="1" ht="12" customHeight="1">
      <c r="A13" s="416" t="s">
        <v>124</v>
      </c>
      <c r="B13" s="99" t="s">
        <v>183</v>
      </c>
      <c r="C13" s="174"/>
      <c r="D13" s="174"/>
      <c r="E13" s="174"/>
    </row>
    <row r="14" spans="1:5" s="412" customFormat="1" ht="12" customHeight="1">
      <c r="A14" s="416" t="s">
        <v>126</v>
      </c>
      <c r="B14" s="99" t="s">
        <v>598</v>
      </c>
      <c r="C14" s="174">
        <v>2847177</v>
      </c>
      <c r="D14" s="174">
        <v>2847177</v>
      </c>
      <c r="E14" s="174">
        <v>2055348</v>
      </c>
    </row>
    <row r="15" spans="1:5" s="412" customFormat="1" ht="12" customHeight="1">
      <c r="A15" s="416" t="s">
        <v>291</v>
      </c>
      <c r="B15" s="124" t="s">
        <v>599</v>
      </c>
      <c r="C15" s="174"/>
      <c r="D15" s="174"/>
      <c r="E15" s="178"/>
    </row>
    <row r="16" spans="1:5" s="412" customFormat="1" ht="12" customHeight="1">
      <c r="A16" s="416" t="s">
        <v>293</v>
      </c>
      <c r="B16" s="99" t="s">
        <v>600</v>
      </c>
      <c r="C16" s="211"/>
      <c r="D16" s="211"/>
      <c r="E16" s="212"/>
    </row>
    <row r="17" spans="1:5" s="420" customFormat="1" ht="12" customHeight="1">
      <c r="A17" s="416" t="s">
        <v>295</v>
      </c>
      <c r="B17" s="99" t="s">
        <v>191</v>
      </c>
      <c r="C17" s="174"/>
      <c r="D17" s="174"/>
      <c r="E17" s="178"/>
    </row>
    <row r="18" spans="1:5" s="420" customFormat="1" ht="12" customHeight="1">
      <c r="A18" s="416" t="s">
        <v>297</v>
      </c>
      <c r="B18" s="99" t="s">
        <v>193</v>
      </c>
      <c r="C18" s="449"/>
      <c r="D18" s="449"/>
      <c r="E18" s="182"/>
    </row>
    <row r="19" spans="1:5" s="420" customFormat="1" ht="12" customHeight="1">
      <c r="A19" s="416" t="s">
        <v>299</v>
      </c>
      <c r="B19" s="124" t="s">
        <v>195</v>
      </c>
      <c r="C19" s="449"/>
      <c r="D19" s="449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13392277</v>
      </c>
      <c r="D36" s="200">
        <f>+D8+D20+D25+D26+D30+D34+D35</f>
        <v>13392277</v>
      </c>
      <c r="E36" s="186">
        <f>+E8+E20+E25+E26+E30+E34+E35</f>
        <v>10621654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13392277</v>
      </c>
      <c r="D41" s="447">
        <f>+D36+D37</f>
        <v>13392277</v>
      </c>
      <c r="E41" s="436">
        <f>+E36+E37</f>
        <v>10621654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21075212</v>
      </c>
      <c r="D45" s="200">
        <f>SUM(D46:D50)</f>
        <v>21559815</v>
      </c>
      <c r="E45" s="186">
        <f>SUM(E46:E50)</f>
        <v>16812932</v>
      </c>
    </row>
    <row r="46" spans="1:5" ht="12" customHeight="1">
      <c r="A46" s="416" t="s">
        <v>116</v>
      </c>
      <c r="B46" s="119" t="s">
        <v>284</v>
      </c>
      <c r="C46" s="450">
        <v>3665000</v>
      </c>
      <c r="D46" s="450">
        <v>3665000</v>
      </c>
      <c r="E46" s="451">
        <v>2930120</v>
      </c>
    </row>
    <row r="47" spans="1:5" ht="12" customHeight="1">
      <c r="A47" s="416" t="s">
        <v>118</v>
      </c>
      <c r="B47" s="99" t="s">
        <v>285</v>
      </c>
      <c r="C47" s="451">
        <v>715376</v>
      </c>
      <c r="D47" s="451">
        <v>715376</v>
      </c>
      <c r="E47" s="451">
        <v>515136</v>
      </c>
    </row>
    <row r="48" spans="1:5" ht="12" customHeight="1">
      <c r="A48" s="416" t="s">
        <v>120</v>
      </c>
      <c r="B48" s="99" t="s">
        <v>286</v>
      </c>
      <c r="C48" s="451">
        <v>12074836</v>
      </c>
      <c r="D48" s="451">
        <v>12329439</v>
      </c>
      <c r="E48" s="451">
        <v>8767676</v>
      </c>
    </row>
    <row r="49" spans="1:5" ht="12" customHeight="1">
      <c r="A49" s="416" t="s">
        <v>122</v>
      </c>
      <c r="B49" s="99" t="s">
        <v>287</v>
      </c>
      <c r="C49" s="451"/>
      <c r="D49" s="451"/>
      <c r="E49" s="195"/>
    </row>
    <row r="50" spans="1:5" ht="12" customHeight="1">
      <c r="A50" s="416" t="s">
        <v>124</v>
      </c>
      <c r="B50" s="99" t="s">
        <v>289</v>
      </c>
      <c r="C50" s="451">
        <v>4620000</v>
      </c>
      <c r="D50" s="451">
        <v>4850000</v>
      </c>
      <c r="E50" s="195">
        <v>4600000</v>
      </c>
    </row>
    <row r="51" spans="1:5" ht="12" customHeight="1">
      <c r="A51" s="422" t="s">
        <v>128</v>
      </c>
      <c r="B51" s="116" t="s">
        <v>619</v>
      </c>
      <c r="C51" s="185">
        <f>SUM(C52:C54)</f>
        <v>2500000</v>
      </c>
      <c r="D51" s="200">
        <f>SUM(D52:D54)</f>
        <v>2500000</v>
      </c>
      <c r="E51" s="186">
        <f>SUM(E52:E54)</f>
        <v>1492305</v>
      </c>
    </row>
    <row r="52" spans="1:5" s="440" customFormat="1" ht="12" customHeight="1">
      <c r="A52" s="416" t="s">
        <v>130</v>
      </c>
      <c r="B52" s="119" t="s">
        <v>320</v>
      </c>
      <c r="C52" s="450"/>
      <c r="D52" s="450"/>
      <c r="E52" s="216"/>
    </row>
    <row r="53" spans="1:5" ht="12" customHeight="1">
      <c r="A53" s="416" t="s">
        <v>132</v>
      </c>
      <c r="B53" s="99" t="s">
        <v>322</v>
      </c>
      <c r="C53" s="451"/>
      <c r="D53" s="451"/>
      <c r="E53" s="195"/>
    </row>
    <row r="54" spans="1:5" ht="12" customHeight="1">
      <c r="A54" s="416" t="s">
        <v>134</v>
      </c>
      <c r="B54" s="99" t="s">
        <v>620</v>
      </c>
      <c r="C54" s="451">
        <v>2500000</v>
      </c>
      <c r="D54" s="451">
        <v>2500000</v>
      </c>
      <c r="E54" s="195">
        <v>1492305</v>
      </c>
    </row>
    <row r="55" spans="1:5" ht="12" customHeight="1">
      <c r="A55" s="416" t="s">
        <v>136</v>
      </c>
      <c r="B55" s="99" t="s">
        <v>621</v>
      </c>
      <c r="C55" s="451"/>
      <c r="D55" s="451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23575212</v>
      </c>
      <c r="D57" s="447">
        <f>+D45+D51+D56</f>
        <v>24059815</v>
      </c>
      <c r="E57" s="436">
        <f>+E45+E51+E56</f>
        <v>18305237</v>
      </c>
    </row>
    <row r="58" spans="3:4" ht="15" customHeight="1">
      <c r="C58" s="386">
        <f>C41-C57</f>
        <v>-10182935</v>
      </c>
      <c r="D58" s="386">
        <f>D41-D57</f>
        <v>-10667538</v>
      </c>
    </row>
    <row r="59" spans="1:5" ht="14.25" customHeight="1">
      <c r="A59" s="391" t="s">
        <v>590</v>
      </c>
      <c r="B59" s="392"/>
      <c r="C59" s="389">
        <v>4</v>
      </c>
      <c r="D59" s="389">
        <v>4</v>
      </c>
      <c r="E59" s="455">
        <v>3</v>
      </c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I16" sqref="I16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CONCATENATE("6.3.3. melléklet ",Z_ALAPADATOK!A7," ",Z_ALAPADATOK!B7," ",Z_ALAPADATOK!C7," ",Z_ALAPADATOK!D7," ",Z_ALAPADATOK!E7," ",Z_ALAPADATOK!F7," ",Z_ALAPADATOK!G7," ",Z_ALAPADATOK!H7)</f>
        <v>6.3.3.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str">
        <f>CONCATENATE('Z_6.3.2.sz.mell'!B2:D2)</f>
        <v>Balatonvilágos Község Önkormányzat Gazdasági Ellátó és Vagyongazdálkodó Szervezete</v>
      </c>
      <c r="C2" s="850"/>
      <c r="D2" s="850"/>
      <c r="E2" s="403" t="s">
        <v>624</v>
      </c>
    </row>
    <row r="3" spans="1:5" s="404" customFormat="1" ht="24.75" customHeight="1">
      <c r="A3" s="402" t="s">
        <v>567</v>
      </c>
      <c r="B3" s="850" t="s">
        <v>595</v>
      </c>
      <c r="C3" s="850"/>
      <c r="D3" s="850"/>
      <c r="E3" s="403" t="s">
        <v>625</v>
      </c>
    </row>
    <row r="4" spans="1:5" s="405" customFormat="1" ht="15.75" customHeight="1">
      <c r="A4" s="341"/>
      <c r="B4" s="341"/>
      <c r="C4" s="342"/>
      <c r="D4" s="343"/>
      <c r="E4" s="342" t="str">
        <f>'Z_6.3.2.sz.mell'!E4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CONCATENATE('Z_6.3.2.sz.mell'!E5)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12" sqref="H12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47" t="str">
        <f>CONCATENATE("6.4. melléklet ",Z_ALAPADATOK!A7," ",Z_ALAPADATOK!B7," ",Z_ALAPADATOK!C7," ",Z_ALAPADATOK!D7," ",Z_ALAPADATOK!E7," ",Z_ALAPADATOK!F7," ",Z_ALAPADATOK!G7," ",Z_ALAPADATOK!H7)</f>
        <v>6.4. melléklet a … / 2019. ( … ) önkormányzati rendelethez</v>
      </c>
      <c r="C1" s="847"/>
      <c r="D1" s="847"/>
      <c r="E1" s="847"/>
    </row>
    <row r="2" spans="1:5" s="404" customFormat="1" ht="25.5" customHeight="1">
      <c r="A2" s="402" t="s">
        <v>596</v>
      </c>
      <c r="B2" s="850" t="str">
        <f>CONCATENATE(Z_ALAPADATOK!B14)</f>
        <v>Balatonvilágos Község Önkormányzat Gazdasági Ellátó és Vagyongazdálkodó Szervezete</v>
      </c>
      <c r="C2" s="850"/>
      <c r="D2" s="850"/>
      <c r="E2" s="403" t="s">
        <v>625</v>
      </c>
    </row>
    <row r="3" spans="1:5" s="404" customFormat="1" ht="24.75" customHeight="1">
      <c r="A3" s="402" t="s">
        <v>567</v>
      </c>
      <c r="B3" s="850" t="s">
        <v>568</v>
      </c>
      <c r="C3" s="850"/>
      <c r="D3" s="850"/>
      <c r="E3" s="403" t="s">
        <v>566</v>
      </c>
    </row>
    <row r="4" spans="1:5" s="405" customFormat="1" ht="15.75" customHeight="1">
      <c r="A4" s="341"/>
      <c r="B4" s="341"/>
      <c r="C4" s="342"/>
      <c r="D4" s="343"/>
      <c r="E4" s="342" t="str">
        <f>'Z_6.2.3.sz.mell'!E4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CONCATENATE('Z_6.3.3.sz.mell'!E5)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G13" sqref="G13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CONCATENATE("6.4.1. melléklet ",Z_ALAPADATOK!A7," ",Z_ALAPADATOK!B7," ",Z_ALAPADATOK!C7," ",Z_ALAPADATOK!D7," ",Z_ALAPADATOK!E7," ",Z_ALAPADATOK!F7," ",Z_ALAPADATOK!G7," ",Z_ALAPADATOK!H7)</f>
        <v>6.4.1.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str">
        <f>CONCATENATE('Z_6.4.sz.mell'!B2:D2)</f>
        <v>Balatonvilágos Község Önkormányzat Gazdasági Ellátó és Vagyongazdálkodó Szervezete</v>
      </c>
      <c r="C2" s="850"/>
      <c r="D2" s="850"/>
      <c r="E2" s="403" t="s">
        <v>625</v>
      </c>
    </row>
    <row r="3" spans="1:5" s="404" customFormat="1" ht="24.75" customHeight="1">
      <c r="A3" s="402" t="s">
        <v>567</v>
      </c>
      <c r="B3" s="850" t="s">
        <v>592</v>
      </c>
      <c r="C3" s="850"/>
      <c r="D3" s="850"/>
      <c r="E3" s="403" t="s">
        <v>593</v>
      </c>
    </row>
    <row r="4" spans="1:5" s="405" customFormat="1" ht="15.75" customHeight="1">
      <c r="A4" s="341"/>
      <c r="B4" s="341"/>
      <c r="C4" s="342"/>
      <c r="D4" s="343"/>
      <c r="E4" s="342" t="str">
        <f>'Z_6.4.sz.mell'!E4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CONCATENATE('Z_6.4.sz.mell'!E5)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J17" sqref="J17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CONCATENATE("6.4.2. melléklet ",Z_ALAPADATOK!A7," ",Z_ALAPADATOK!B7," ",Z_ALAPADATOK!C7," ",Z_ALAPADATOK!D7," ",Z_ALAPADATOK!E7," ",Z_ALAPADATOK!F7," ",Z_ALAPADATOK!G7," ",Z_ALAPADATOK!H7)</f>
        <v>6.4.2.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str">
        <f>CONCATENATE('Z_6.4.1.sz.mell'!B2:D2)</f>
        <v>Balatonvilágos Község Önkormányzat Gazdasági Ellátó és Vagyongazdálkodó Szervezete</v>
      </c>
      <c r="C2" s="850"/>
      <c r="D2" s="850"/>
      <c r="E2" s="403" t="s">
        <v>625</v>
      </c>
    </row>
    <row r="3" spans="1:5" s="404" customFormat="1" ht="24.75" customHeight="1">
      <c r="A3" s="402" t="s">
        <v>567</v>
      </c>
      <c r="B3" s="850" t="s">
        <v>29</v>
      </c>
      <c r="C3" s="850"/>
      <c r="D3" s="850"/>
      <c r="E3" s="403" t="s">
        <v>624</v>
      </c>
    </row>
    <row r="4" spans="1:5" s="405" customFormat="1" ht="15.75" customHeight="1">
      <c r="A4" s="341"/>
      <c r="B4" s="341"/>
      <c r="C4" s="342"/>
      <c r="D4" s="343"/>
      <c r="E4" s="342" t="str">
        <f>'Z_6.4.1.sz.mell'!E4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CONCATENATE('Z_6.4.1.sz.mell'!E5)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J17" sqref="J17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CONCATENATE("6.4.3. melléklet ",Z_ALAPADATOK!A7," ",Z_ALAPADATOK!B7," ",Z_ALAPADATOK!C7," ",Z_ALAPADATOK!D7," ",Z_ALAPADATOK!E7," ",Z_ALAPADATOK!F7," ",Z_ALAPADATOK!G7," ",Z_ALAPADATOK!H7)</f>
        <v>6.4.3.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str">
        <f>CONCATENATE('Z_6.4.2.sz.mell'!B2:D2)</f>
        <v>Balatonvilágos Község Önkormányzat Gazdasági Ellátó és Vagyongazdálkodó Szervezete</v>
      </c>
      <c r="C2" s="850"/>
      <c r="D2" s="850"/>
      <c r="E2" s="403" t="s">
        <v>625</v>
      </c>
    </row>
    <row r="3" spans="1:5" s="404" customFormat="1" ht="24.75" customHeight="1">
      <c r="A3" s="402" t="s">
        <v>567</v>
      </c>
      <c r="B3" s="850" t="s">
        <v>595</v>
      </c>
      <c r="C3" s="850"/>
      <c r="D3" s="850"/>
      <c r="E3" s="403" t="s">
        <v>625</v>
      </c>
    </row>
    <row r="4" spans="1:5" s="405" customFormat="1" ht="15.75" customHeight="1">
      <c r="A4" s="341"/>
      <c r="B4" s="341"/>
      <c r="C4" s="342"/>
      <c r="D4" s="343"/>
      <c r="E4" s="342" t="str">
        <f>'Z_6.4.2.sz.mell'!E4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CONCATENATE('Z_6.4.2.sz.mell'!E5)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="120" zoomScaleNormal="120" zoomScalePageLayoutView="0" workbookViewId="0" topLeftCell="A1">
      <selection activeCell="B5" sqref="B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4" t="s">
        <v>63</v>
      </c>
      <c r="B1" s="15"/>
    </row>
    <row r="2" spans="1:2" ht="12.75">
      <c r="A2" s="15"/>
      <c r="B2" s="15"/>
    </row>
    <row r="3" spans="1:2" ht="12.75">
      <c r="A3" s="16"/>
      <c r="B3" s="16"/>
    </row>
    <row r="4" spans="1:2" ht="15.75">
      <c r="A4" s="17"/>
      <c r="B4" s="18"/>
    </row>
    <row r="5" spans="1:2" ht="15.75">
      <c r="A5" s="17"/>
      <c r="B5" s="18"/>
    </row>
    <row r="6" spans="1:2" s="19" customFormat="1" ht="15.75">
      <c r="A6" s="17" t="s">
        <v>64</v>
      </c>
      <c r="B6" s="16"/>
    </row>
    <row r="7" spans="1:2" s="19" customFormat="1" ht="12.75">
      <c r="A7" s="16"/>
      <c r="B7" s="16"/>
    </row>
    <row r="8" spans="1:2" s="19" customFormat="1" ht="12.75">
      <c r="A8" s="16"/>
      <c r="B8" s="16"/>
    </row>
    <row r="9" spans="1:2" ht="12.75">
      <c r="A9" s="16" t="s">
        <v>65</v>
      </c>
      <c r="B9" s="16" t="s">
        <v>66</v>
      </c>
    </row>
    <row r="10" spans="1:2" ht="12.75">
      <c r="A10" s="16" t="s">
        <v>67</v>
      </c>
      <c r="B10" s="16" t="s">
        <v>68</v>
      </c>
    </row>
    <row r="11" spans="1:2" ht="12.75">
      <c r="A11" s="16" t="s">
        <v>69</v>
      </c>
      <c r="B11" s="16" t="s">
        <v>70</v>
      </c>
    </row>
    <row r="12" spans="1:2" ht="12.75">
      <c r="A12" s="16"/>
      <c r="B12" s="16"/>
    </row>
    <row r="13" spans="1:2" ht="15.75">
      <c r="A13" s="17" t="str">
        <f>+CONCATENATE(LEFT(A6,4),". évi módosított előirányzat BEVÉTELEK")</f>
        <v>2018. évi módosított előirányzat BEVÉTELEK</v>
      </c>
      <c r="B13" s="18"/>
    </row>
    <row r="14" spans="1:2" ht="12.75">
      <c r="A14" s="16"/>
      <c r="B14" s="16"/>
    </row>
    <row r="15" spans="1:2" s="19" customFormat="1" ht="12.75">
      <c r="A15" s="16" t="s">
        <v>71</v>
      </c>
      <c r="B15" s="16" t="s">
        <v>72</v>
      </c>
    </row>
    <row r="16" spans="1:2" ht="12.75">
      <c r="A16" s="16" t="s">
        <v>73</v>
      </c>
      <c r="B16" s="16" t="s">
        <v>74</v>
      </c>
    </row>
    <row r="17" spans="1:2" ht="12.75">
      <c r="A17" s="16" t="s">
        <v>75</v>
      </c>
      <c r="B17" s="16" t="s">
        <v>76</v>
      </c>
    </row>
    <row r="18" spans="1:2" ht="12.75">
      <c r="A18" s="16"/>
      <c r="B18" s="16"/>
    </row>
    <row r="19" spans="1:2" ht="14.25">
      <c r="A19" s="20" t="str">
        <f>+CONCATENATE(LEFT(A6,4),".évi teljesített BEVÉTELEK")</f>
        <v>2018.évi teljesített BEVÉTELEK</v>
      </c>
      <c r="B19" s="18"/>
    </row>
    <row r="20" spans="1:2" ht="12.75">
      <c r="A20" s="16"/>
      <c r="B20" s="16"/>
    </row>
    <row r="21" spans="1:2" ht="12.75">
      <c r="A21" s="16" t="s">
        <v>77</v>
      </c>
      <c r="B21" s="16" t="s">
        <v>78</v>
      </c>
    </row>
    <row r="22" spans="1:2" ht="12.75">
      <c r="A22" s="16" t="s">
        <v>79</v>
      </c>
      <c r="B22" s="16" t="s">
        <v>80</v>
      </c>
    </row>
    <row r="23" spans="1:2" ht="12.75">
      <c r="A23" s="16" t="s">
        <v>81</v>
      </c>
      <c r="B23" s="16" t="s">
        <v>82</v>
      </c>
    </row>
    <row r="24" spans="1:2" ht="12.75">
      <c r="A24" s="16"/>
      <c r="B24" s="16"/>
    </row>
    <row r="25" spans="1:2" ht="15.75">
      <c r="A25" s="17" t="str">
        <f>+CONCATENATE(LEFT(A6,4),". évi eredeti előirányzat KIADÁSOK")</f>
        <v>2018. évi eredeti előirányzat KIADÁSOK</v>
      </c>
      <c r="B25" s="18"/>
    </row>
    <row r="26" spans="1:2" ht="12.75">
      <c r="A26" s="16"/>
      <c r="B26" s="16"/>
    </row>
    <row r="27" spans="1:2" ht="12.75">
      <c r="A27" s="16" t="s">
        <v>83</v>
      </c>
      <c r="B27" s="16" t="s">
        <v>84</v>
      </c>
    </row>
    <row r="28" spans="1:2" ht="12.75">
      <c r="A28" s="16" t="s">
        <v>85</v>
      </c>
      <c r="B28" s="16" t="s">
        <v>86</v>
      </c>
    </row>
    <row r="29" spans="1:2" ht="12.75">
      <c r="A29" s="16" t="s">
        <v>87</v>
      </c>
      <c r="B29" s="16" t="s">
        <v>88</v>
      </c>
    </row>
    <row r="30" spans="1:2" ht="12.75">
      <c r="A30" s="16"/>
      <c r="B30" s="16"/>
    </row>
    <row r="31" spans="1:2" ht="15.75">
      <c r="A31" s="17" t="str">
        <f>+CONCATENATE(LEFT(A6,4),". évi módosított előirányzat KIADÁSOK")</f>
        <v>2018. évi módosított előirányzat KIADÁSOK</v>
      </c>
      <c r="B31" s="18"/>
    </row>
    <row r="32" spans="1:2" ht="12.75">
      <c r="A32" s="16"/>
      <c r="B32" s="16"/>
    </row>
    <row r="33" spans="1:2" ht="12.75">
      <c r="A33" s="16" t="s">
        <v>89</v>
      </c>
      <c r="B33" s="16" t="s">
        <v>90</v>
      </c>
    </row>
    <row r="34" spans="1:2" ht="12.75">
      <c r="A34" s="16" t="s">
        <v>91</v>
      </c>
      <c r="B34" s="16" t="s">
        <v>92</v>
      </c>
    </row>
    <row r="35" spans="1:2" ht="12.75">
      <c r="A35" s="16" t="s">
        <v>93</v>
      </c>
      <c r="B35" s="16" t="s">
        <v>94</v>
      </c>
    </row>
    <row r="36" spans="1:2" ht="12.75">
      <c r="A36" s="16"/>
      <c r="B36" s="16"/>
    </row>
    <row r="37" spans="1:2" ht="15.75">
      <c r="A37" s="21" t="str">
        <f>+CONCATENATE(LEFT(A6,4),".évi teljesített KIADÁSOK")</f>
        <v>2018.évi teljesített KIADÁSOK</v>
      </c>
      <c r="B37" s="18"/>
    </row>
    <row r="38" spans="1:2" ht="12.75">
      <c r="A38" s="16"/>
      <c r="B38" s="16"/>
    </row>
    <row r="39" spans="1:2" ht="12.75">
      <c r="A39" s="16" t="s">
        <v>95</v>
      </c>
      <c r="B39" s="16" t="s">
        <v>96</v>
      </c>
    </row>
    <row r="40" spans="1:2" ht="12.75">
      <c r="A40" s="16" t="s">
        <v>97</v>
      </c>
      <c r="B40" s="16" t="s">
        <v>98</v>
      </c>
    </row>
    <row r="41" spans="1:2" ht="12.75">
      <c r="A41" s="16" t="s">
        <v>99</v>
      </c>
      <c r="B41" s="16" t="s">
        <v>100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I18" sqref="I18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47" t="str">
        <f>CONCATENATE("6.5. melléklet ",Z_ALAPADATOK!A7," ",Z_ALAPADATOK!B7," ",Z_ALAPADATOK!C7," ",Z_ALAPADATOK!D7," ",Z_ALAPADATOK!E7," ",Z_ALAPADATOK!F7," ",Z_ALAPADATOK!G7," ",Z_ALAPADATOK!H7)</f>
        <v>6.5. melléklet a … / 2019. ( … ) önkormányzati rendelethez</v>
      </c>
      <c r="C1" s="847"/>
      <c r="D1" s="847"/>
      <c r="E1" s="847"/>
    </row>
    <row r="2" spans="1:5" s="404" customFormat="1" ht="25.5" customHeight="1">
      <c r="A2" s="402" t="s">
        <v>596</v>
      </c>
      <c r="B2" s="850" t="e">
        <f>CONCATENATE(Z_ALAPADATOK!#REF!)</f>
        <v>#REF!</v>
      </c>
      <c r="C2" s="850"/>
      <c r="D2" s="850"/>
      <c r="E2" s="403" t="s">
        <v>630</v>
      </c>
    </row>
    <row r="3" spans="1:5" s="404" customFormat="1" ht="24.75" customHeight="1">
      <c r="A3" s="402" t="s">
        <v>567</v>
      </c>
      <c r="B3" s="850" t="s">
        <v>568</v>
      </c>
      <c r="C3" s="850"/>
      <c r="D3" s="850"/>
      <c r="E3" s="403" t="s">
        <v>566</v>
      </c>
    </row>
    <row r="4" spans="1:5" s="405" customFormat="1" ht="15.75" customHeight="1">
      <c r="A4" s="341"/>
      <c r="B4" s="341"/>
      <c r="C4" s="342"/>
      <c r="D4" s="343"/>
      <c r="E4" s="342" t="str">
        <f>'Z_6.2.3.sz.mell'!E4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CONCATENATE('Z_6.4.3.sz.mell'!E5)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15" sqref="H15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CONCATENATE("6.5.1. melléklet ",Z_ALAPADATOK!A7," ",Z_ALAPADATOK!B7," ",Z_ALAPADATOK!C7," ",Z_ALAPADATOK!D7," ",Z_ALAPADATOK!E7," ",Z_ALAPADATOK!F7," ",Z_ALAPADATOK!G7," ",Z_ALAPADATOK!H7)</f>
        <v>6.5.1.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CONCATENATE('Z_6.5.sz.mell'!B2:D2)</f>
        <v>#REF!</v>
      </c>
      <c r="C2" s="850"/>
      <c r="D2" s="850"/>
      <c r="E2" s="403" t="s">
        <v>630</v>
      </c>
    </row>
    <row r="3" spans="1:5" s="404" customFormat="1" ht="24.75" customHeight="1">
      <c r="A3" s="402" t="s">
        <v>567</v>
      </c>
      <c r="B3" s="850" t="s">
        <v>592</v>
      </c>
      <c r="C3" s="850"/>
      <c r="D3" s="850"/>
      <c r="E3" s="403" t="s">
        <v>593</v>
      </c>
    </row>
    <row r="4" spans="1:5" s="405" customFormat="1" ht="15.75" customHeight="1">
      <c r="A4" s="341"/>
      <c r="B4" s="341"/>
      <c r="C4" s="342"/>
      <c r="D4" s="343"/>
      <c r="E4" s="342" t="str">
        <f>'Z_6.5.sz.mell'!E4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CONCATENATE('Z_6.5.sz.mell'!E5)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J17" sqref="J17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CONCATENATE("6.5.2. melléklet ",Z_ALAPADATOK!A7," ",Z_ALAPADATOK!B7," ",Z_ALAPADATOK!C7," ",Z_ALAPADATOK!D7," ",Z_ALAPADATOK!E7," ",Z_ALAPADATOK!F7," ",Z_ALAPADATOK!G7," ",Z_ALAPADATOK!H7)</f>
        <v>6.5.2.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CONCATENATE('Z_6.5.1.sz.mell'!B2:D2)</f>
        <v>#REF!</v>
      </c>
      <c r="C2" s="850"/>
      <c r="D2" s="850"/>
      <c r="E2" s="403" t="s">
        <v>630</v>
      </c>
    </row>
    <row r="3" spans="1:5" s="404" customFormat="1" ht="24.75" customHeight="1">
      <c r="A3" s="402" t="s">
        <v>567</v>
      </c>
      <c r="B3" s="850" t="s">
        <v>29</v>
      </c>
      <c r="C3" s="850"/>
      <c r="D3" s="850"/>
      <c r="E3" s="403" t="s">
        <v>624</v>
      </c>
    </row>
    <row r="4" spans="1:5" s="405" customFormat="1" ht="15.75" customHeight="1">
      <c r="A4" s="341"/>
      <c r="B4" s="341"/>
      <c r="C4" s="342"/>
      <c r="D4" s="343"/>
      <c r="E4" s="342" t="str">
        <f>'Z_6.5.1.sz.mell'!E4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CONCATENATE('Z_6.5.1.sz.mell'!E5)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G17" sqref="G17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CONCATENATE("6.5.3. melléklet ",Z_ALAPADATOK!A7," ",Z_ALAPADATOK!B7," ",Z_ALAPADATOK!C7," ",Z_ALAPADATOK!D7," ",Z_ALAPADATOK!E7," ",Z_ALAPADATOK!F7," ",Z_ALAPADATOK!G7," ",Z_ALAPADATOK!H7)</f>
        <v>6.5.3.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CONCATENATE('Z_6.5.2.sz.mell'!B2:D2)</f>
        <v>#REF!</v>
      </c>
      <c r="C2" s="850"/>
      <c r="D2" s="850"/>
      <c r="E2" s="403" t="s">
        <v>630</v>
      </c>
    </row>
    <row r="3" spans="1:5" s="404" customFormat="1" ht="24.75" customHeight="1">
      <c r="A3" s="402" t="s">
        <v>567</v>
      </c>
      <c r="B3" s="850" t="s">
        <v>595</v>
      </c>
      <c r="C3" s="850"/>
      <c r="D3" s="850"/>
      <c r="E3" s="403" t="s">
        <v>625</v>
      </c>
    </row>
    <row r="4" spans="1:5" s="405" customFormat="1" ht="15.75" customHeight="1">
      <c r="A4" s="341"/>
      <c r="B4" s="341"/>
      <c r="C4" s="342"/>
      <c r="D4" s="343"/>
      <c r="E4" s="342" t="str">
        <f>'Z_6.5.2.sz.mell'!E4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CONCATENATE('Z_6.5.2.sz.mell'!E5)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I19" sqref="I19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47" t="str">
        <f>CONCATENATE("6.6. melléklet ",Z_ALAPADATOK!A7," ",Z_ALAPADATOK!B7," ",Z_ALAPADATOK!C7," ",Z_ALAPADATOK!D7," ",Z_ALAPADATOK!E7," ",Z_ALAPADATOK!F7," ",Z_ALAPADATOK!G7," ",Z_ALAPADATOK!H7)</f>
        <v>6.6. melléklet a … / 2019. ( … ) önkormányzati rendelethez</v>
      </c>
      <c r="C1" s="847"/>
      <c r="D1" s="847"/>
      <c r="E1" s="847"/>
    </row>
    <row r="2" spans="1:5" s="404" customFormat="1" ht="25.5" customHeight="1">
      <c r="A2" s="402" t="s">
        <v>596</v>
      </c>
      <c r="B2" s="850" t="e">
        <f>CONCATENATE(Z_ALAPADATOK!#REF!)</f>
        <v>#REF!</v>
      </c>
      <c r="C2" s="850"/>
      <c r="D2" s="850"/>
      <c r="E2" s="403" t="s">
        <v>631</v>
      </c>
    </row>
    <row r="3" spans="1:5" s="404" customFormat="1" ht="24.75" customHeight="1">
      <c r="A3" s="402" t="s">
        <v>567</v>
      </c>
      <c r="B3" s="850" t="s">
        <v>568</v>
      </c>
      <c r="C3" s="850"/>
      <c r="D3" s="850"/>
      <c r="E3" s="403" t="s">
        <v>566</v>
      </c>
    </row>
    <row r="4" spans="1:5" s="405" customFormat="1" ht="15.75" customHeight="1">
      <c r="A4" s="341"/>
      <c r="B4" s="341"/>
      <c r="C4" s="342"/>
      <c r="D4" s="343"/>
      <c r="E4" s="342" t="str">
        <f>'Z_6.2.3.sz.mell'!E4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CONCATENATE('Z_6.5.3.sz.mell'!E5)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G14" sqref="G14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CONCATENATE("6.6.1. melléklet ",Z_ALAPADATOK!A7," ",Z_ALAPADATOK!B7," ",Z_ALAPADATOK!C7," ",Z_ALAPADATOK!D7," ",Z_ALAPADATOK!E7," ",Z_ALAPADATOK!F7," ",Z_ALAPADATOK!G7," ",Z_ALAPADATOK!H7)</f>
        <v>6.6.1.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CONCATENATE('Z_6.6.sz.mell'!B2:D2)</f>
        <v>#REF!</v>
      </c>
      <c r="C2" s="850"/>
      <c r="D2" s="850"/>
      <c r="E2" s="403" t="s">
        <v>631</v>
      </c>
    </row>
    <row r="3" spans="1:5" s="404" customFormat="1" ht="24.75" customHeight="1">
      <c r="A3" s="402" t="s">
        <v>567</v>
      </c>
      <c r="B3" s="850" t="s">
        <v>592</v>
      </c>
      <c r="C3" s="850"/>
      <c r="D3" s="850"/>
      <c r="E3" s="403" t="s">
        <v>593</v>
      </c>
    </row>
    <row r="4" spans="1:5" s="405" customFormat="1" ht="15.75" customHeight="1">
      <c r="A4" s="341"/>
      <c r="B4" s="341"/>
      <c r="C4" s="342"/>
      <c r="D4" s="343"/>
      <c r="E4" s="342" t="str">
        <f>'Z_6.6.sz.mell'!E4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CONCATENATE('Z_6.6.sz.mell'!E5)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I17" sqref="I17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CONCATENATE("6.6.2. melléklet ",Z_ALAPADATOK!A7," ",Z_ALAPADATOK!B7," ",Z_ALAPADATOK!C7," ",Z_ALAPADATOK!D7," ",Z_ALAPADATOK!E7," ",Z_ALAPADATOK!F7," ",Z_ALAPADATOK!G7," ",Z_ALAPADATOK!H7)</f>
        <v>6.6.2.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CONCATENATE('Z_6.6.1.sz.mell'!B2:D2)</f>
        <v>#REF!</v>
      </c>
      <c r="C2" s="850"/>
      <c r="D2" s="850"/>
      <c r="E2" s="403" t="s">
        <v>631</v>
      </c>
    </row>
    <row r="3" spans="1:5" s="404" customFormat="1" ht="24.75" customHeight="1">
      <c r="A3" s="402" t="s">
        <v>567</v>
      </c>
      <c r="B3" s="850" t="s">
        <v>29</v>
      </c>
      <c r="C3" s="850"/>
      <c r="D3" s="850"/>
      <c r="E3" s="403" t="s">
        <v>624</v>
      </c>
    </row>
    <row r="4" spans="1:5" s="405" customFormat="1" ht="15.75" customHeight="1">
      <c r="A4" s="341"/>
      <c r="B4" s="341"/>
      <c r="C4" s="342"/>
      <c r="D4" s="343"/>
      <c r="E4" s="342" t="str">
        <f>'Z_6.6.1.sz.mell'!E4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CONCATENATE('Z_6.6.1.sz.mell'!E5)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K24" sqref="K24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CONCATENATE("6.6.3. melléklet ",Z_ALAPADATOK!A7," ",Z_ALAPADATOK!B7," ",Z_ALAPADATOK!C7," ",Z_ALAPADATOK!D7," ",Z_ALAPADATOK!E7," ",Z_ALAPADATOK!F7," ",Z_ALAPADATOK!G7," ",Z_ALAPADATOK!H7)</f>
        <v>6.6.3.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CONCATENATE('Z_6.6.2.sz.mell'!B2:D2)</f>
        <v>#REF!</v>
      </c>
      <c r="C2" s="850"/>
      <c r="D2" s="850"/>
      <c r="E2" s="403" t="s">
        <v>631</v>
      </c>
    </row>
    <row r="3" spans="1:5" s="404" customFormat="1" ht="24.75" customHeight="1">
      <c r="A3" s="402" t="s">
        <v>567</v>
      </c>
      <c r="B3" s="850" t="s">
        <v>595</v>
      </c>
      <c r="C3" s="850"/>
      <c r="D3" s="850"/>
      <c r="E3" s="403" t="s">
        <v>625</v>
      </c>
    </row>
    <row r="4" spans="1:5" s="405" customFormat="1" ht="15.75" customHeight="1">
      <c r="A4" s="341"/>
      <c r="B4" s="341"/>
      <c r="C4" s="342"/>
      <c r="D4" s="343"/>
      <c r="E4" s="342" t="str">
        <f>'Z_6.6.2.sz.mell'!E4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CONCATENATE('Z_6.6.2.sz.mell'!E5)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18" sqref="H18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47" t="str">
        <f>CONCATENATE("6.7. melléklet ",Z_ALAPADATOK!A7," ",Z_ALAPADATOK!B7," ",Z_ALAPADATOK!C7," ",Z_ALAPADATOK!D7," ",Z_ALAPADATOK!E7," ",Z_ALAPADATOK!F7," ",Z_ALAPADATOK!G7," ",Z_ALAPADATOK!H7)</f>
        <v>6.7. melléklet a … / 2019. ( … ) önkormányzati rendelethez</v>
      </c>
      <c r="C1" s="847"/>
      <c r="D1" s="847"/>
      <c r="E1" s="847"/>
    </row>
    <row r="2" spans="1:5" s="404" customFormat="1" ht="25.5" customHeight="1">
      <c r="A2" s="402" t="s">
        <v>596</v>
      </c>
      <c r="B2" s="850" t="e">
        <f>CONCATENATE(Z_ALAPADATOK!#REF!)</f>
        <v>#REF!</v>
      </c>
      <c r="C2" s="850"/>
      <c r="D2" s="850"/>
      <c r="E2" s="403" t="s">
        <v>632</v>
      </c>
    </row>
    <row r="3" spans="1:5" s="404" customFormat="1" ht="24.75" customHeight="1">
      <c r="A3" s="402" t="s">
        <v>567</v>
      </c>
      <c r="B3" s="850" t="s">
        <v>568</v>
      </c>
      <c r="C3" s="850"/>
      <c r="D3" s="850"/>
      <c r="E3" s="403" t="s">
        <v>566</v>
      </c>
    </row>
    <row r="4" spans="1:5" s="405" customFormat="1" ht="15.75" customHeight="1">
      <c r="A4" s="341"/>
      <c r="B4" s="341"/>
      <c r="C4" s="342"/>
      <c r="D4" s="343"/>
      <c r="E4" s="342" t="str">
        <f>'Z_6.2.3.sz.mell'!E4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CONCATENATE('Z_6.6.3.sz.mell'!E5)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18" sqref="H18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CONCATENATE("6.7.1. melléklet ",Z_ALAPADATOK!A7," ",Z_ALAPADATOK!B7," ",Z_ALAPADATOK!C7," ",Z_ALAPADATOK!D7," ",Z_ALAPADATOK!E7," ",Z_ALAPADATOK!F7," ",Z_ALAPADATOK!G7," ",Z_ALAPADATOK!H7)</f>
        <v>6.7.1.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CONCATENATE('Z_6.7.sz.mell'!B2:D2)</f>
        <v>#REF!</v>
      </c>
      <c r="C2" s="850"/>
      <c r="D2" s="850"/>
      <c r="E2" s="403" t="s">
        <v>632</v>
      </c>
    </row>
    <row r="3" spans="1:5" s="404" customFormat="1" ht="24.75" customHeight="1">
      <c r="A3" s="402" t="s">
        <v>567</v>
      </c>
      <c r="B3" s="850" t="s">
        <v>592</v>
      </c>
      <c r="C3" s="850"/>
      <c r="D3" s="850"/>
      <c r="E3" s="403" t="s">
        <v>593</v>
      </c>
    </row>
    <row r="4" spans="1:5" s="405" customFormat="1" ht="15.75" customHeight="1">
      <c r="A4" s="341"/>
      <c r="B4" s="341"/>
      <c r="C4" s="342"/>
      <c r="D4" s="343"/>
      <c r="E4" s="342" t="str">
        <f>'Z_6.7.sz.mell'!E4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CONCATENATE('Z_6.7.sz.mell'!E5)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166"/>
  <sheetViews>
    <sheetView tabSelected="1" zoomScale="120" zoomScaleNormal="120" zoomScaleSheetLayoutView="100" zoomScalePageLayoutView="0" workbookViewId="0" topLeftCell="A136">
      <selection activeCell="E161" sqref="E161"/>
    </sheetView>
  </sheetViews>
  <sheetFormatPr defaultColWidth="9.00390625" defaultRowHeight="12.75"/>
  <cols>
    <col min="1" max="1" width="9.50390625" style="22" customWidth="1"/>
    <col min="2" max="2" width="65.875" style="22" customWidth="1"/>
    <col min="3" max="3" width="17.875" style="23" customWidth="1"/>
    <col min="4" max="5" width="17.875" style="24" customWidth="1"/>
    <col min="6" max="6" width="9.375" style="24" customWidth="1"/>
    <col min="7" max="7" width="20.875" style="24" customWidth="1"/>
    <col min="8" max="16384" width="9.375" style="24" customWidth="1"/>
  </cols>
  <sheetData>
    <row r="1" spans="1:5" ht="15.75">
      <c r="A1" s="25"/>
      <c r="B1" s="806" t="str">
        <f>CONCATENATE("1.1. melléklet ",Z_ALAPADATOK!A7," ",Z_ALAPADATOK!B7," ",Z_ALAPADATOK!C7," ",Z_ALAPADATOK!D7," ",Z_ALAPADATOK!E7," ",Z_ALAPADATOK!F7," ",Z_ALAPADATOK!G7," ",Z_ALAPADATOK!H7)</f>
        <v>1.1. melléklet a … / 2019. ( … ) önkormányzati rendelethez</v>
      </c>
      <c r="C1" s="806"/>
      <c r="D1" s="806"/>
      <c r="E1" s="806"/>
    </row>
    <row r="2" spans="1:5" ht="15.75" customHeight="1">
      <c r="A2" s="807" t="str">
        <f>CONCATENATE(Z_ALAPADATOK!A3)</f>
        <v>Balatonvilágos Község Önkormányzata</v>
      </c>
      <c r="B2" s="807"/>
      <c r="C2" s="807"/>
      <c r="D2" s="807"/>
      <c r="E2" s="807"/>
    </row>
    <row r="3" spans="1:5" ht="15.75">
      <c r="A3" s="807" t="s">
        <v>101</v>
      </c>
      <c r="B3" s="807"/>
      <c r="C3" s="807"/>
      <c r="D3" s="807"/>
      <c r="E3" s="807"/>
    </row>
    <row r="4" spans="1:5" ht="12" customHeight="1">
      <c r="A4" s="807"/>
      <c r="B4" s="807"/>
      <c r="C4" s="807"/>
      <c r="D4" s="807"/>
      <c r="E4" s="807"/>
    </row>
    <row r="5" spans="1:5" ht="15.75">
      <c r="A5" s="25"/>
      <c r="B5" s="25"/>
      <c r="C5" s="26"/>
      <c r="D5" s="27"/>
      <c r="E5" s="27"/>
    </row>
    <row r="6" spans="1:5" ht="15.75" customHeight="1">
      <c r="A6" s="808" t="s">
        <v>102</v>
      </c>
      <c r="B6" s="808"/>
      <c r="C6" s="808"/>
      <c r="D6" s="808"/>
      <c r="E6" s="808"/>
    </row>
    <row r="7" spans="1:5" ht="15.75" customHeight="1">
      <c r="A7" s="809" t="s">
        <v>103</v>
      </c>
      <c r="B7" s="809"/>
      <c r="C7" s="28"/>
      <c r="D7" s="27"/>
      <c r="E7" s="28" t="s">
        <v>104</v>
      </c>
    </row>
    <row r="8" spans="1:5" ht="15.75" customHeight="1">
      <c r="A8" s="812" t="s">
        <v>105</v>
      </c>
      <c r="B8" s="813" t="s">
        <v>106</v>
      </c>
      <c r="C8" s="814" t="str">
        <f>+CONCATENATE(LEFT(Z_ÖSSZEFÜGGÉSEK!A6,4),". évi")</f>
        <v>2018. évi</v>
      </c>
      <c r="D8" s="814"/>
      <c r="E8" s="814"/>
    </row>
    <row r="9" spans="1:5" ht="24">
      <c r="A9" s="812"/>
      <c r="B9" s="813"/>
      <c r="C9" s="29" t="s">
        <v>107</v>
      </c>
      <c r="D9" s="30" t="s">
        <v>108</v>
      </c>
      <c r="E9" s="31" t="str">
        <f>+CONCATENATE(LEFT(Z_ÖSSZEFÜGGÉSEK!A6,4),". XII. 31.",CHAR(10),"teljesítés")</f>
        <v>2018. XII. 31.
teljesítés</v>
      </c>
    </row>
    <row r="10" spans="1:5" s="35" customFormat="1" ht="12" customHeight="1">
      <c r="A10" s="32" t="s">
        <v>109</v>
      </c>
      <c r="B10" s="33" t="s">
        <v>110</v>
      </c>
      <c r="C10" s="33" t="s">
        <v>111</v>
      </c>
      <c r="D10" s="33" t="s">
        <v>112</v>
      </c>
      <c r="E10" s="34" t="s">
        <v>113</v>
      </c>
    </row>
    <row r="11" spans="1:5" s="40" customFormat="1" ht="12" customHeight="1">
      <c r="A11" s="36" t="s">
        <v>114</v>
      </c>
      <c r="B11" s="37" t="s">
        <v>115</v>
      </c>
      <c r="C11" s="38">
        <f>+C12+C13+C14+C15+C16+C17</f>
        <v>113142467</v>
      </c>
      <c r="D11" s="38">
        <f>+D12+D13+D14+D15+D16+D17</f>
        <v>128291755</v>
      </c>
      <c r="E11" s="39">
        <f>+E12+E13+E14+E15+E16+E17</f>
        <v>128291755</v>
      </c>
    </row>
    <row r="12" spans="1:5" s="40" customFormat="1" ht="12" customHeight="1">
      <c r="A12" s="41" t="s">
        <v>116</v>
      </c>
      <c r="B12" s="42" t="s">
        <v>117</v>
      </c>
      <c r="C12" s="43">
        <v>43438015</v>
      </c>
      <c r="D12" s="43">
        <v>43548669</v>
      </c>
      <c r="E12" s="44">
        <v>43548669</v>
      </c>
    </row>
    <row r="13" spans="1:5" s="40" customFormat="1" ht="12" customHeight="1">
      <c r="A13" s="45" t="s">
        <v>118</v>
      </c>
      <c r="B13" s="46" t="s">
        <v>119</v>
      </c>
      <c r="C13" s="44">
        <v>38684467</v>
      </c>
      <c r="D13" s="44">
        <v>39060767</v>
      </c>
      <c r="E13" s="44">
        <v>39060767</v>
      </c>
    </row>
    <row r="14" spans="1:5" s="40" customFormat="1" ht="12" customHeight="1">
      <c r="A14" s="45" t="s">
        <v>120</v>
      </c>
      <c r="B14" s="46" t="s">
        <v>121</v>
      </c>
      <c r="C14" s="44">
        <v>29219985</v>
      </c>
      <c r="D14" s="44">
        <v>30309228</v>
      </c>
      <c r="E14" s="44">
        <v>30309228</v>
      </c>
    </row>
    <row r="15" spans="1:5" s="40" customFormat="1" ht="12" customHeight="1">
      <c r="A15" s="45" t="s">
        <v>122</v>
      </c>
      <c r="B15" s="46" t="s">
        <v>123</v>
      </c>
      <c r="C15" s="44">
        <v>1800000</v>
      </c>
      <c r="D15" s="44">
        <v>1800000</v>
      </c>
      <c r="E15" s="44">
        <v>1800000</v>
      </c>
    </row>
    <row r="16" spans="1:5" s="40" customFormat="1" ht="12" customHeight="1">
      <c r="A16" s="45" t="s">
        <v>124</v>
      </c>
      <c r="B16" s="47" t="s">
        <v>125</v>
      </c>
      <c r="C16" s="44"/>
      <c r="D16" s="44">
        <v>13573091</v>
      </c>
      <c r="E16" s="44">
        <v>13573091</v>
      </c>
    </row>
    <row r="17" spans="1:5" s="40" customFormat="1" ht="12" customHeight="1">
      <c r="A17" s="48" t="s">
        <v>126</v>
      </c>
      <c r="B17" s="49" t="s">
        <v>127</v>
      </c>
      <c r="C17" s="44"/>
      <c r="D17" s="44"/>
      <c r="E17" s="50"/>
    </row>
    <row r="18" spans="1:5" s="40" customFormat="1" ht="12" customHeight="1">
      <c r="A18" s="36" t="s">
        <v>128</v>
      </c>
      <c r="B18" s="51" t="s">
        <v>129</v>
      </c>
      <c r="C18" s="38">
        <f>+C19+C20+C21+C22+C23</f>
        <v>19598400</v>
      </c>
      <c r="D18" s="38">
        <f>+D19+D20+D21+D22+D23</f>
        <v>21828900</v>
      </c>
      <c r="E18" s="39">
        <f>+E19+E20+E21+E22+E23</f>
        <v>21742130</v>
      </c>
    </row>
    <row r="19" spans="1:5" s="40" customFormat="1" ht="12" customHeight="1">
      <c r="A19" s="41" t="s">
        <v>130</v>
      </c>
      <c r="B19" s="42" t="s">
        <v>131</v>
      </c>
      <c r="C19" s="43"/>
      <c r="D19" s="52"/>
      <c r="E19" s="53"/>
    </row>
    <row r="20" spans="1:5" s="40" customFormat="1" ht="12" customHeight="1">
      <c r="A20" s="45" t="s">
        <v>132</v>
      </c>
      <c r="B20" s="46" t="s">
        <v>133</v>
      </c>
      <c r="C20" s="44"/>
      <c r="D20" s="54"/>
      <c r="E20" s="50"/>
    </row>
    <row r="21" spans="1:5" s="40" customFormat="1" ht="12" customHeight="1">
      <c r="A21" s="45" t="s">
        <v>134</v>
      </c>
      <c r="B21" s="46" t="s">
        <v>135</v>
      </c>
      <c r="C21" s="44"/>
      <c r="D21" s="54"/>
      <c r="E21" s="50"/>
    </row>
    <row r="22" spans="1:5" s="40" customFormat="1" ht="12" customHeight="1">
      <c r="A22" s="45" t="s">
        <v>136</v>
      </c>
      <c r="B22" s="46" t="s">
        <v>137</v>
      </c>
      <c r="C22" s="44"/>
      <c r="D22" s="54"/>
      <c r="E22" s="50"/>
    </row>
    <row r="23" spans="1:5" s="40" customFormat="1" ht="12" customHeight="1">
      <c r="A23" s="45" t="s">
        <v>138</v>
      </c>
      <c r="B23" s="46" t="s">
        <v>139</v>
      </c>
      <c r="C23" s="44">
        <v>19598400</v>
      </c>
      <c r="D23" s="44">
        <v>21828900</v>
      </c>
      <c r="E23" s="44">
        <v>21742130</v>
      </c>
    </row>
    <row r="24" spans="1:5" s="40" customFormat="1" ht="12" customHeight="1">
      <c r="A24" s="48" t="s">
        <v>140</v>
      </c>
      <c r="B24" s="49" t="s">
        <v>141</v>
      </c>
      <c r="C24" s="55"/>
      <c r="D24" s="56"/>
      <c r="E24" s="57"/>
    </row>
    <row r="25" spans="1:5" s="40" customFormat="1" ht="12" customHeight="1">
      <c r="A25" s="36" t="s">
        <v>142</v>
      </c>
      <c r="B25" s="37" t="s">
        <v>143</v>
      </c>
      <c r="C25" s="38">
        <f>+C26+C27+C28+C29+C30</f>
        <v>143309282</v>
      </c>
      <c r="D25" s="38">
        <f>+D26+D27+D28+D29+D30</f>
        <v>56669456</v>
      </c>
      <c r="E25" s="39">
        <f>+E26+E27+E28+E29+E30</f>
        <v>36327320</v>
      </c>
    </row>
    <row r="26" spans="1:5" s="40" customFormat="1" ht="12" customHeight="1">
      <c r="A26" s="41" t="s">
        <v>144</v>
      </c>
      <c r="B26" s="42" t="s">
        <v>145</v>
      </c>
      <c r="C26" s="43">
        <v>143309282</v>
      </c>
      <c r="D26" s="43">
        <v>56669456</v>
      </c>
      <c r="E26" s="43">
        <v>36327320</v>
      </c>
    </row>
    <row r="27" spans="1:5" s="40" customFormat="1" ht="12" customHeight="1">
      <c r="A27" s="45" t="s">
        <v>146</v>
      </c>
      <c r="B27" s="46" t="s">
        <v>147</v>
      </c>
      <c r="C27" s="54"/>
      <c r="D27" s="54"/>
      <c r="E27" s="50"/>
    </row>
    <row r="28" spans="1:5" s="40" customFormat="1" ht="12" customHeight="1">
      <c r="A28" s="45" t="s">
        <v>148</v>
      </c>
      <c r="B28" s="46" t="s">
        <v>149</v>
      </c>
      <c r="C28" s="54"/>
      <c r="D28" s="54"/>
      <c r="E28" s="50"/>
    </row>
    <row r="29" spans="1:5" s="40" customFormat="1" ht="12" customHeight="1">
      <c r="A29" s="45" t="s">
        <v>150</v>
      </c>
      <c r="B29" s="46" t="s">
        <v>151</v>
      </c>
      <c r="C29" s="54"/>
      <c r="D29" s="54"/>
      <c r="E29" s="50"/>
    </row>
    <row r="30" spans="1:5" s="40" customFormat="1" ht="12" customHeight="1">
      <c r="A30" s="45" t="s">
        <v>152</v>
      </c>
      <c r="B30" s="46" t="s">
        <v>153</v>
      </c>
      <c r="C30" s="54"/>
      <c r="D30" s="54"/>
      <c r="E30" s="50"/>
    </row>
    <row r="31" spans="1:5" s="40" customFormat="1" ht="12" customHeight="1">
      <c r="A31" s="48" t="s">
        <v>154</v>
      </c>
      <c r="B31" s="58" t="s">
        <v>155</v>
      </c>
      <c r="C31" s="56"/>
      <c r="D31" s="56"/>
      <c r="E31" s="57"/>
    </row>
    <row r="32" spans="1:5" s="40" customFormat="1" ht="12" customHeight="1">
      <c r="A32" s="36" t="s">
        <v>156</v>
      </c>
      <c r="B32" s="37" t="s">
        <v>157</v>
      </c>
      <c r="C32" s="59">
        <f>SUM(C33:C39)</f>
        <v>196229000</v>
      </c>
      <c r="D32" s="59">
        <f>SUM(D33:D39)</f>
        <v>196229000</v>
      </c>
      <c r="E32" s="60">
        <f>SUM(E33:E39)</f>
        <v>207402966</v>
      </c>
    </row>
    <row r="33" spans="1:5" s="40" customFormat="1" ht="12" customHeight="1">
      <c r="A33" s="41" t="s">
        <v>158</v>
      </c>
      <c r="B33" s="42" t="s">
        <v>159</v>
      </c>
      <c r="C33" s="43">
        <v>141679000</v>
      </c>
      <c r="D33" s="43">
        <v>141679000</v>
      </c>
      <c r="E33" s="43">
        <v>139222737</v>
      </c>
    </row>
    <row r="34" spans="1:5" s="40" customFormat="1" ht="12" customHeight="1">
      <c r="A34" s="45" t="s">
        <v>160</v>
      </c>
      <c r="B34" s="46" t="s">
        <v>161</v>
      </c>
      <c r="C34" s="44">
        <v>20000000</v>
      </c>
      <c r="D34" s="44">
        <v>20000000</v>
      </c>
      <c r="E34" s="44">
        <v>19388110</v>
      </c>
    </row>
    <row r="35" spans="1:5" s="40" customFormat="1" ht="12" customHeight="1">
      <c r="A35" s="45" t="s">
        <v>162</v>
      </c>
      <c r="B35" s="46" t="s">
        <v>163</v>
      </c>
      <c r="C35" s="44">
        <v>30000000</v>
      </c>
      <c r="D35" s="44">
        <v>30000000</v>
      </c>
      <c r="E35" s="44">
        <v>41918668</v>
      </c>
    </row>
    <row r="36" spans="1:5" s="40" customFormat="1" ht="12" customHeight="1">
      <c r="A36" s="45" t="s">
        <v>164</v>
      </c>
      <c r="B36" s="46" t="s">
        <v>165</v>
      </c>
      <c r="C36" s="44"/>
      <c r="D36" s="44"/>
      <c r="E36" s="44"/>
    </row>
    <row r="37" spans="1:5" s="40" customFormat="1" ht="12" customHeight="1">
      <c r="A37" s="45" t="s">
        <v>166</v>
      </c>
      <c r="B37" s="46" t="s">
        <v>167</v>
      </c>
      <c r="C37" s="44">
        <v>3900000</v>
      </c>
      <c r="D37" s="44">
        <v>3900000</v>
      </c>
      <c r="E37" s="44">
        <v>5097370</v>
      </c>
    </row>
    <row r="38" spans="1:5" s="40" customFormat="1" ht="12" customHeight="1">
      <c r="A38" s="45" t="s">
        <v>168</v>
      </c>
      <c r="B38" s="46" t="s">
        <v>169</v>
      </c>
      <c r="C38" s="44"/>
      <c r="D38" s="44"/>
      <c r="E38" s="44"/>
    </row>
    <row r="39" spans="1:5" s="40" customFormat="1" ht="12" customHeight="1">
      <c r="A39" s="48" t="s">
        <v>170</v>
      </c>
      <c r="B39" s="61" t="s">
        <v>171</v>
      </c>
      <c r="C39" s="55">
        <v>650000</v>
      </c>
      <c r="D39" s="55">
        <v>650000</v>
      </c>
      <c r="E39" s="55">
        <v>1776081</v>
      </c>
    </row>
    <row r="40" spans="1:5" s="40" customFormat="1" ht="12" customHeight="1">
      <c r="A40" s="36" t="s">
        <v>172</v>
      </c>
      <c r="B40" s="37" t="s">
        <v>173</v>
      </c>
      <c r="C40" s="38">
        <f>SUM(C41:C51)</f>
        <v>64648309</v>
      </c>
      <c r="D40" s="38">
        <f>SUM(D41:D51)</f>
        <v>69743389</v>
      </c>
      <c r="E40" s="39">
        <f>SUM(E41:E51)</f>
        <v>67563103</v>
      </c>
    </row>
    <row r="41" spans="1:5" s="40" customFormat="1" ht="12" customHeight="1">
      <c r="A41" s="41" t="s">
        <v>174</v>
      </c>
      <c r="B41" s="42" t="s">
        <v>175</v>
      </c>
      <c r="C41" s="43"/>
      <c r="D41" s="43"/>
      <c r="E41" s="44"/>
    </row>
    <row r="42" spans="1:5" s="40" customFormat="1" ht="12" customHeight="1">
      <c r="A42" s="45" t="s">
        <v>176</v>
      </c>
      <c r="B42" s="46" t="s">
        <v>177</v>
      </c>
      <c r="C42" s="44">
        <v>20798846</v>
      </c>
      <c r="D42" s="44">
        <v>21428767</v>
      </c>
      <c r="E42" s="44">
        <v>15584973</v>
      </c>
    </row>
    <row r="43" spans="1:5" s="40" customFormat="1" ht="12" customHeight="1">
      <c r="A43" s="45" t="s">
        <v>178</v>
      </c>
      <c r="B43" s="46" t="s">
        <v>179</v>
      </c>
      <c r="C43" s="44">
        <v>16260000</v>
      </c>
      <c r="D43" s="44">
        <v>16260000</v>
      </c>
      <c r="E43" s="44">
        <v>12556051</v>
      </c>
    </row>
    <row r="44" spans="1:5" s="40" customFormat="1" ht="12" customHeight="1">
      <c r="A44" s="45" t="s">
        <v>180</v>
      </c>
      <c r="B44" s="46" t="s">
        <v>181</v>
      </c>
      <c r="C44" s="44">
        <v>3717200</v>
      </c>
      <c r="D44" s="44">
        <v>3717200</v>
      </c>
      <c r="E44" s="44">
        <v>12848471</v>
      </c>
    </row>
    <row r="45" spans="1:5" s="40" customFormat="1" ht="12" customHeight="1">
      <c r="A45" s="45" t="s">
        <v>182</v>
      </c>
      <c r="B45" s="46" t="s">
        <v>183</v>
      </c>
      <c r="C45" s="44">
        <v>11732830</v>
      </c>
      <c r="D45" s="44">
        <v>11732830</v>
      </c>
      <c r="E45" s="44">
        <v>9819054</v>
      </c>
    </row>
    <row r="46" spans="1:5" s="40" customFormat="1" ht="12" customHeight="1">
      <c r="A46" s="45" t="s">
        <v>184</v>
      </c>
      <c r="B46" s="46" t="s">
        <v>185</v>
      </c>
      <c r="C46" s="44">
        <v>12054433</v>
      </c>
      <c r="D46" s="44">
        <v>15394192</v>
      </c>
      <c r="E46" s="44">
        <v>14542351</v>
      </c>
    </row>
    <row r="47" spans="1:5" s="40" customFormat="1" ht="12" customHeight="1">
      <c r="A47" s="45" t="s">
        <v>186</v>
      </c>
      <c r="B47" s="46" t="s">
        <v>187</v>
      </c>
      <c r="C47" s="44"/>
      <c r="D47" s="44"/>
      <c r="E47" s="44">
        <v>1586000</v>
      </c>
    </row>
    <row r="48" spans="1:5" s="40" customFormat="1" ht="12" customHeight="1">
      <c r="A48" s="45" t="s">
        <v>188</v>
      </c>
      <c r="B48" s="46" t="s">
        <v>189</v>
      </c>
      <c r="C48" s="44">
        <v>85000</v>
      </c>
      <c r="D48" s="44">
        <v>85000</v>
      </c>
      <c r="E48" s="44">
        <v>236</v>
      </c>
    </row>
    <row r="49" spans="1:5" s="40" customFormat="1" ht="12" customHeight="1">
      <c r="A49" s="45" t="s">
        <v>190</v>
      </c>
      <c r="B49" s="46" t="s">
        <v>191</v>
      </c>
      <c r="C49" s="62"/>
      <c r="D49" s="62"/>
      <c r="E49" s="44">
        <v>848</v>
      </c>
    </row>
    <row r="50" spans="1:5" s="40" customFormat="1" ht="12" customHeight="1">
      <c r="A50" s="48" t="s">
        <v>192</v>
      </c>
      <c r="B50" s="58" t="s">
        <v>193</v>
      </c>
      <c r="C50" s="63"/>
      <c r="D50" s="63"/>
      <c r="E50" s="44"/>
    </row>
    <row r="51" spans="1:5" s="40" customFormat="1" ht="12" customHeight="1">
      <c r="A51" s="48" t="s">
        <v>194</v>
      </c>
      <c r="B51" s="49" t="s">
        <v>195</v>
      </c>
      <c r="C51" s="63"/>
      <c r="D51" s="63">
        <v>1125400</v>
      </c>
      <c r="E51" s="44">
        <v>625119</v>
      </c>
    </row>
    <row r="52" spans="1:5" s="40" customFormat="1" ht="12" customHeight="1">
      <c r="A52" s="36" t="s">
        <v>196</v>
      </c>
      <c r="B52" s="37" t="s">
        <v>197</v>
      </c>
      <c r="C52" s="38">
        <f>SUM(C53:C57)</f>
        <v>4588520</v>
      </c>
      <c r="D52" s="38">
        <f>SUM(D53:D57)</f>
        <v>16328080</v>
      </c>
      <c r="E52" s="39">
        <f>SUM(E53:E57)</f>
        <v>16524930</v>
      </c>
    </row>
    <row r="53" spans="1:5" s="40" customFormat="1" ht="12" customHeight="1">
      <c r="A53" s="41" t="s">
        <v>198</v>
      </c>
      <c r="B53" s="42" t="s">
        <v>199</v>
      </c>
      <c r="C53" s="64"/>
      <c r="D53" s="65"/>
      <c r="E53" s="62"/>
    </row>
    <row r="54" spans="1:5" s="40" customFormat="1" ht="12" customHeight="1">
      <c r="A54" s="45" t="s">
        <v>200</v>
      </c>
      <c r="B54" s="46" t="s">
        <v>201</v>
      </c>
      <c r="C54" s="62">
        <v>4588520</v>
      </c>
      <c r="D54" s="62">
        <v>16328080</v>
      </c>
      <c r="E54" s="62">
        <v>16328080</v>
      </c>
    </row>
    <row r="55" spans="1:5" s="40" customFormat="1" ht="12" customHeight="1">
      <c r="A55" s="45" t="s">
        <v>202</v>
      </c>
      <c r="B55" s="46" t="s">
        <v>203</v>
      </c>
      <c r="C55" s="62"/>
      <c r="D55" s="66"/>
      <c r="E55" s="62">
        <v>196850</v>
      </c>
    </row>
    <row r="56" spans="1:5" s="40" customFormat="1" ht="12" customHeight="1">
      <c r="A56" s="45" t="s">
        <v>204</v>
      </c>
      <c r="B56" s="46" t="s">
        <v>205</v>
      </c>
      <c r="C56" s="62"/>
      <c r="D56" s="66"/>
      <c r="E56" s="62"/>
    </row>
    <row r="57" spans="1:5" s="40" customFormat="1" ht="12" customHeight="1">
      <c r="A57" s="48" t="s">
        <v>206</v>
      </c>
      <c r="B57" s="49" t="s">
        <v>207</v>
      </c>
      <c r="C57" s="63"/>
      <c r="D57" s="67"/>
      <c r="E57" s="62"/>
    </row>
    <row r="58" spans="1:5" s="40" customFormat="1" ht="12" customHeight="1">
      <c r="A58" s="36" t="s">
        <v>208</v>
      </c>
      <c r="B58" s="37" t="s">
        <v>209</v>
      </c>
      <c r="C58" s="38">
        <f>SUM(C59:C61)</f>
        <v>1500000</v>
      </c>
      <c r="D58" s="38">
        <f>SUM(D59:D61)</f>
        <v>1500000</v>
      </c>
      <c r="E58" s="39">
        <f>SUM(E59:E61)</f>
        <v>2125400</v>
      </c>
    </row>
    <row r="59" spans="1:5" s="40" customFormat="1" ht="12" customHeight="1">
      <c r="A59" s="41" t="s">
        <v>210</v>
      </c>
      <c r="B59" s="42" t="s">
        <v>211</v>
      </c>
      <c r="C59" s="43"/>
      <c r="D59" s="52"/>
      <c r="E59" s="53"/>
    </row>
    <row r="60" spans="1:5" s="40" customFormat="1" ht="12" customHeight="1">
      <c r="A60" s="45" t="s">
        <v>212</v>
      </c>
      <c r="B60" s="46" t="s">
        <v>213</v>
      </c>
      <c r="C60" s="44"/>
      <c r="D60" s="54"/>
      <c r="E60" s="50"/>
    </row>
    <row r="61" spans="1:5" s="40" customFormat="1" ht="12" customHeight="1">
      <c r="A61" s="45" t="s">
        <v>214</v>
      </c>
      <c r="B61" s="46" t="s">
        <v>215</v>
      </c>
      <c r="C61" s="44">
        <v>1500000</v>
      </c>
      <c r="D61" s="44">
        <v>1500000</v>
      </c>
      <c r="E61" s="44">
        <v>2125400</v>
      </c>
    </row>
    <row r="62" spans="1:5" s="40" customFormat="1" ht="12" customHeight="1">
      <c r="A62" s="48" t="s">
        <v>216</v>
      </c>
      <c r="B62" s="49" t="s">
        <v>217</v>
      </c>
      <c r="C62" s="55"/>
      <c r="D62" s="56"/>
      <c r="E62" s="57"/>
    </row>
    <row r="63" spans="1:5" s="40" customFormat="1" ht="12" customHeight="1">
      <c r="A63" s="36" t="s">
        <v>218</v>
      </c>
      <c r="B63" s="51" t="s">
        <v>219</v>
      </c>
      <c r="C63" s="38">
        <f>SUM(C64:C66)</f>
        <v>6064053</v>
      </c>
      <c r="D63" s="38">
        <f>SUM(D64:D66)</f>
        <v>8302253</v>
      </c>
      <c r="E63" s="39">
        <f>SUM(E64:E66)</f>
        <v>9212473</v>
      </c>
    </row>
    <row r="64" spans="1:5" s="40" customFormat="1" ht="12" customHeight="1">
      <c r="A64" s="41" t="s">
        <v>220</v>
      </c>
      <c r="B64" s="42" t="s">
        <v>221</v>
      </c>
      <c r="C64" s="62"/>
      <c r="D64" s="62"/>
      <c r="E64" s="68"/>
    </row>
    <row r="65" spans="1:5" s="40" customFormat="1" ht="12" customHeight="1">
      <c r="A65" s="45" t="s">
        <v>222</v>
      </c>
      <c r="B65" s="46" t="s">
        <v>223</v>
      </c>
      <c r="C65" s="62">
        <v>6064053</v>
      </c>
      <c r="D65" s="62">
        <v>6064053</v>
      </c>
      <c r="E65" s="62">
        <v>1619356</v>
      </c>
    </row>
    <row r="66" spans="1:5" s="40" customFormat="1" ht="12" customHeight="1">
      <c r="A66" s="45" t="s">
        <v>224</v>
      </c>
      <c r="B66" s="46" t="s">
        <v>225</v>
      </c>
      <c r="C66" s="62"/>
      <c r="D66" s="62">
        <v>2238200</v>
      </c>
      <c r="E66" s="62">
        <v>7593117</v>
      </c>
    </row>
    <row r="67" spans="1:5" s="40" customFormat="1" ht="12" customHeight="1">
      <c r="A67" s="48" t="s">
        <v>226</v>
      </c>
      <c r="B67" s="49" t="s">
        <v>227</v>
      </c>
      <c r="C67" s="62"/>
      <c r="D67" s="62"/>
      <c r="E67" s="68"/>
    </row>
    <row r="68" spans="1:5" s="40" customFormat="1" ht="12" customHeight="1">
      <c r="A68" s="69" t="s">
        <v>228</v>
      </c>
      <c r="B68" s="37" t="s">
        <v>229</v>
      </c>
      <c r="C68" s="59">
        <f>+C11+C18+C25+C32+C40+C52+C58+C63</f>
        <v>549080031</v>
      </c>
      <c r="D68" s="59">
        <f>+D11+D18+D25+D32+D40+D52+D58+D63</f>
        <v>498892833</v>
      </c>
      <c r="E68" s="60">
        <f>+E11+E18+E25+E32+E40+E52+E58+E63</f>
        <v>489190077</v>
      </c>
    </row>
    <row r="69" spans="1:5" s="40" customFormat="1" ht="12" customHeight="1">
      <c r="A69" s="70" t="s">
        <v>230</v>
      </c>
      <c r="B69" s="51" t="s">
        <v>231</v>
      </c>
      <c r="C69" s="38">
        <f>SUM(C70:C72)</f>
        <v>0</v>
      </c>
      <c r="D69" s="38">
        <f>SUM(D70:D72)</f>
        <v>0</v>
      </c>
      <c r="E69" s="39">
        <f>SUM(E70:E72)</f>
        <v>0</v>
      </c>
    </row>
    <row r="70" spans="1:5" s="40" customFormat="1" ht="12" customHeight="1">
      <c r="A70" s="41" t="s">
        <v>232</v>
      </c>
      <c r="B70" s="42" t="s">
        <v>233</v>
      </c>
      <c r="C70" s="66"/>
      <c r="D70" s="66"/>
      <c r="E70" s="68"/>
    </row>
    <row r="71" spans="1:5" s="40" customFormat="1" ht="12" customHeight="1">
      <c r="A71" s="45" t="s">
        <v>234</v>
      </c>
      <c r="B71" s="46" t="s">
        <v>235</v>
      </c>
      <c r="C71" s="66"/>
      <c r="D71" s="66"/>
      <c r="E71" s="68"/>
    </row>
    <row r="72" spans="1:5" s="40" customFormat="1" ht="12" customHeight="1">
      <c r="A72" s="48" t="s">
        <v>236</v>
      </c>
      <c r="B72" s="71" t="s">
        <v>237</v>
      </c>
      <c r="C72" s="66"/>
      <c r="D72" s="66"/>
      <c r="E72" s="68"/>
    </row>
    <row r="73" spans="1:5" s="40" customFormat="1" ht="12" customHeight="1">
      <c r="A73" s="70" t="s">
        <v>238</v>
      </c>
      <c r="B73" s="51" t="s">
        <v>239</v>
      </c>
      <c r="C73" s="38">
        <f>SUM(C74:C77)</f>
        <v>0</v>
      </c>
      <c r="D73" s="38">
        <f>SUM(D74:D77)</f>
        <v>0</v>
      </c>
      <c r="E73" s="39">
        <f>SUM(E74:E77)</f>
        <v>0</v>
      </c>
    </row>
    <row r="74" spans="1:5" s="40" customFormat="1" ht="12" customHeight="1">
      <c r="A74" s="41" t="s">
        <v>240</v>
      </c>
      <c r="B74" s="72" t="s">
        <v>241</v>
      </c>
      <c r="C74" s="66"/>
      <c r="D74" s="66"/>
      <c r="E74" s="68"/>
    </row>
    <row r="75" spans="1:5" s="40" customFormat="1" ht="12" customHeight="1">
      <c r="A75" s="45" t="s">
        <v>242</v>
      </c>
      <c r="B75" s="72" t="s">
        <v>243</v>
      </c>
      <c r="C75" s="66"/>
      <c r="D75" s="66"/>
      <c r="E75" s="68"/>
    </row>
    <row r="76" spans="1:5" s="40" customFormat="1" ht="12" customHeight="1">
      <c r="A76" s="45" t="s">
        <v>244</v>
      </c>
      <c r="B76" s="72" t="s">
        <v>245</v>
      </c>
      <c r="C76" s="66"/>
      <c r="D76" s="66"/>
      <c r="E76" s="68"/>
    </row>
    <row r="77" spans="1:5" s="40" customFormat="1" ht="12" customHeight="1">
      <c r="A77" s="48" t="s">
        <v>246</v>
      </c>
      <c r="B77" s="73" t="s">
        <v>247</v>
      </c>
      <c r="C77" s="66"/>
      <c r="D77" s="66"/>
      <c r="E77" s="68"/>
    </row>
    <row r="78" spans="1:5" s="40" customFormat="1" ht="12" customHeight="1">
      <c r="A78" s="70" t="s">
        <v>248</v>
      </c>
      <c r="B78" s="51" t="s">
        <v>249</v>
      </c>
      <c r="C78" s="38">
        <f>SUM(C79:C80)</f>
        <v>183872589</v>
      </c>
      <c r="D78" s="38">
        <f>SUM(D79:D80)</f>
        <v>183872589</v>
      </c>
      <c r="E78" s="39">
        <f>SUM(E79:E80)</f>
        <v>183872589</v>
      </c>
    </row>
    <row r="79" spans="1:5" s="40" customFormat="1" ht="12" customHeight="1">
      <c r="A79" s="41" t="s">
        <v>250</v>
      </c>
      <c r="B79" s="42" t="s">
        <v>251</v>
      </c>
      <c r="C79" s="62">
        <v>183872589</v>
      </c>
      <c r="D79" s="62">
        <v>183872589</v>
      </c>
      <c r="E79" s="74">
        <v>183872589</v>
      </c>
    </row>
    <row r="80" spans="1:5" s="40" customFormat="1" ht="12" customHeight="1">
      <c r="A80" s="48" t="s">
        <v>252</v>
      </c>
      <c r="B80" s="49" t="s">
        <v>253</v>
      </c>
      <c r="C80" s="66"/>
      <c r="D80" s="66"/>
      <c r="E80" s="68"/>
    </row>
    <row r="81" spans="1:5" s="40" customFormat="1" ht="12" customHeight="1">
      <c r="A81" s="70" t="s">
        <v>254</v>
      </c>
      <c r="B81" s="51" t="s">
        <v>255</v>
      </c>
      <c r="C81" s="38">
        <f>SUM(C82:C84)</f>
        <v>0</v>
      </c>
      <c r="D81" s="38">
        <f>SUM(D82:D84)</f>
        <v>4112627</v>
      </c>
      <c r="E81" s="39">
        <f>SUM(E82:E84)</f>
        <v>4112627</v>
      </c>
    </row>
    <row r="82" spans="1:5" s="40" customFormat="1" ht="12" customHeight="1">
      <c r="A82" s="41" t="s">
        <v>256</v>
      </c>
      <c r="B82" s="42" t="s">
        <v>257</v>
      </c>
      <c r="C82" s="66"/>
      <c r="D82" s="62">
        <v>4112627</v>
      </c>
      <c r="E82" s="62">
        <v>4112627</v>
      </c>
    </row>
    <row r="83" spans="1:5" s="40" customFormat="1" ht="12" customHeight="1">
      <c r="A83" s="45" t="s">
        <v>258</v>
      </c>
      <c r="B83" s="46" t="s">
        <v>259</v>
      </c>
      <c r="C83" s="66"/>
      <c r="D83" s="66"/>
      <c r="E83" s="68"/>
    </row>
    <row r="84" spans="1:5" s="40" customFormat="1" ht="12" customHeight="1">
      <c r="A84" s="48" t="s">
        <v>260</v>
      </c>
      <c r="B84" s="49" t="s">
        <v>261</v>
      </c>
      <c r="C84" s="66"/>
      <c r="D84" s="66"/>
      <c r="E84" s="68"/>
    </row>
    <row r="85" spans="1:5" s="40" customFormat="1" ht="12" customHeight="1">
      <c r="A85" s="70" t="s">
        <v>262</v>
      </c>
      <c r="B85" s="51" t="s">
        <v>263</v>
      </c>
      <c r="C85" s="38">
        <f>SUM(C86:C89)</f>
        <v>0</v>
      </c>
      <c r="D85" s="38">
        <f>SUM(D86:D89)</f>
        <v>0</v>
      </c>
      <c r="E85" s="39">
        <f>SUM(E86:E89)</f>
        <v>0</v>
      </c>
    </row>
    <row r="86" spans="1:5" s="40" customFormat="1" ht="12" customHeight="1">
      <c r="A86" s="75" t="s">
        <v>264</v>
      </c>
      <c r="B86" s="42" t="s">
        <v>265</v>
      </c>
      <c r="C86" s="66"/>
      <c r="D86" s="66"/>
      <c r="E86" s="68"/>
    </row>
    <row r="87" spans="1:5" s="40" customFormat="1" ht="12" customHeight="1">
      <c r="A87" s="76" t="s">
        <v>266</v>
      </c>
      <c r="B87" s="46" t="s">
        <v>267</v>
      </c>
      <c r="C87" s="66"/>
      <c r="D87" s="66"/>
      <c r="E87" s="68"/>
    </row>
    <row r="88" spans="1:5" s="40" customFormat="1" ht="12" customHeight="1">
      <c r="A88" s="76" t="s">
        <v>268</v>
      </c>
      <c r="B88" s="46" t="s">
        <v>269</v>
      </c>
      <c r="C88" s="66"/>
      <c r="D88" s="66"/>
      <c r="E88" s="68"/>
    </row>
    <row r="89" spans="1:5" s="40" customFormat="1" ht="12" customHeight="1">
      <c r="A89" s="77" t="s">
        <v>270</v>
      </c>
      <c r="B89" s="49" t="s">
        <v>271</v>
      </c>
      <c r="C89" s="66"/>
      <c r="D89" s="66"/>
      <c r="E89" s="68"/>
    </row>
    <row r="90" spans="1:5" s="40" customFormat="1" ht="12" customHeight="1">
      <c r="A90" s="70" t="s">
        <v>272</v>
      </c>
      <c r="B90" s="51" t="s">
        <v>273</v>
      </c>
      <c r="C90" s="78"/>
      <c r="D90" s="78"/>
      <c r="E90" s="79"/>
    </row>
    <row r="91" spans="1:5" s="40" customFormat="1" ht="13.5" customHeight="1">
      <c r="A91" s="70" t="s">
        <v>274</v>
      </c>
      <c r="B91" s="51" t="s">
        <v>275</v>
      </c>
      <c r="C91" s="78"/>
      <c r="D91" s="78"/>
      <c r="E91" s="79"/>
    </row>
    <row r="92" spans="1:5" s="40" customFormat="1" ht="15.75" customHeight="1">
      <c r="A92" s="70" t="s">
        <v>276</v>
      </c>
      <c r="B92" s="80" t="s">
        <v>277</v>
      </c>
      <c r="C92" s="59">
        <f>+C69+C73+C78+C81+C85+C91+C90</f>
        <v>183872589</v>
      </c>
      <c r="D92" s="59">
        <f>+D69+D73+D78+D81+D85+D91+D90</f>
        <v>187985216</v>
      </c>
      <c r="E92" s="60">
        <f>+E69+E73+E78+E81+E85+E91+E90</f>
        <v>187985216</v>
      </c>
    </row>
    <row r="93" spans="1:5" s="40" customFormat="1" ht="25.5" customHeight="1">
      <c r="A93" s="81" t="s">
        <v>278</v>
      </c>
      <c r="B93" s="82" t="s">
        <v>279</v>
      </c>
      <c r="C93" s="59">
        <f>+C68+C92</f>
        <v>732952620</v>
      </c>
      <c r="D93" s="59">
        <f>+D68+D92</f>
        <v>686878049</v>
      </c>
      <c r="E93" s="60">
        <f>+E68+E92</f>
        <v>677175293</v>
      </c>
    </row>
    <row r="94" spans="1:3" s="40" customFormat="1" ht="15" customHeight="1">
      <c r="A94" s="83"/>
      <c r="B94" s="84"/>
      <c r="C94" s="85"/>
    </row>
    <row r="95" spans="1:5" ht="16.5" customHeight="1">
      <c r="A95" s="815" t="s">
        <v>280</v>
      </c>
      <c r="B95" s="815"/>
      <c r="C95" s="815"/>
      <c r="D95" s="815"/>
      <c r="E95" s="815"/>
    </row>
    <row r="96" spans="1:5" s="87" customFormat="1" ht="16.5" customHeight="1">
      <c r="A96" s="816" t="s">
        <v>281</v>
      </c>
      <c r="B96" s="816"/>
      <c r="C96" s="86"/>
      <c r="E96" s="86" t="str">
        <f>E7</f>
        <v> Forintban!</v>
      </c>
    </row>
    <row r="97" spans="1:5" ht="15.75" customHeight="1">
      <c r="A97" s="812" t="s">
        <v>105</v>
      </c>
      <c r="B97" s="813" t="s">
        <v>282</v>
      </c>
      <c r="C97" s="814" t="str">
        <f>+CONCATENATE(LEFT(Z_ÖSSZEFÜGGÉSEK!A6,4),". évi")</f>
        <v>2018. évi</v>
      </c>
      <c r="D97" s="814"/>
      <c r="E97" s="814"/>
    </row>
    <row r="98" spans="1:5" ht="24">
      <c r="A98" s="812"/>
      <c r="B98" s="813"/>
      <c r="C98" s="29" t="s">
        <v>107</v>
      </c>
      <c r="D98" s="30" t="s">
        <v>108</v>
      </c>
      <c r="E98" s="31" t="str">
        <f>CONCATENATE(E9)</f>
        <v>2018. XII. 31.
teljesítés</v>
      </c>
    </row>
    <row r="99" spans="1:5" s="35" customFormat="1" ht="12" customHeight="1">
      <c r="A99" s="88" t="s">
        <v>109</v>
      </c>
      <c r="B99" s="89" t="s">
        <v>110</v>
      </c>
      <c r="C99" s="89" t="s">
        <v>111</v>
      </c>
      <c r="D99" s="89" t="s">
        <v>112</v>
      </c>
      <c r="E99" s="90" t="s">
        <v>113</v>
      </c>
    </row>
    <row r="100" spans="1:5" ht="12" customHeight="1">
      <c r="A100" s="91" t="s">
        <v>114</v>
      </c>
      <c r="B100" s="92" t="s">
        <v>283</v>
      </c>
      <c r="C100" s="93">
        <f>C101+C102+C103+C104+C105+C118</f>
        <v>509300841</v>
      </c>
      <c r="D100" s="93">
        <f>D101+D102+D103+D104+D105+D118</f>
        <v>518181686</v>
      </c>
      <c r="E100" s="94">
        <f>E101+E102+E103+E104+E105+E118</f>
        <v>373927128</v>
      </c>
    </row>
    <row r="101" spans="1:5" ht="12" customHeight="1">
      <c r="A101" s="95" t="s">
        <v>116</v>
      </c>
      <c r="B101" s="96" t="s">
        <v>284</v>
      </c>
      <c r="C101" s="97">
        <v>143310292</v>
      </c>
      <c r="D101" s="97">
        <v>148381719</v>
      </c>
      <c r="E101" s="98">
        <v>132239159</v>
      </c>
    </row>
    <row r="102" spans="1:5" ht="12" customHeight="1">
      <c r="A102" s="45" t="s">
        <v>118</v>
      </c>
      <c r="B102" s="99" t="s">
        <v>285</v>
      </c>
      <c r="C102" s="44">
        <v>29039685</v>
      </c>
      <c r="D102" s="44">
        <v>30027348</v>
      </c>
      <c r="E102" s="50">
        <v>26862614</v>
      </c>
    </row>
    <row r="103" spans="1:5" ht="12" customHeight="1">
      <c r="A103" s="45" t="s">
        <v>120</v>
      </c>
      <c r="B103" s="99" t="s">
        <v>286</v>
      </c>
      <c r="C103" s="55">
        <v>174058504</v>
      </c>
      <c r="D103" s="55">
        <v>193442539</v>
      </c>
      <c r="E103" s="57">
        <v>139898416</v>
      </c>
    </row>
    <row r="104" spans="1:5" ht="12" customHeight="1">
      <c r="A104" s="45" t="s">
        <v>122</v>
      </c>
      <c r="B104" s="100" t="s">
        <v>287</v>
      </c>
      <c r="C104" s="55">
        <v>10646000</v>
      </c>
      <c r="D104" s="55">
        <v>12089760</v>
      </c>
      <c r="E104" s="57">
        <v>8152744</v>
      </c>
    </row>
    <row r="105" spans="1:5" ht="12" customHeight="1">
      <c r="A105" s="45" t="s">
        <v>288</v>
      </c>
      <c r="B105" s="101" t="s">
        <v>289</v>
      </c>
      <c r="C105" s="55">
        <v>53073208</v>
      </c>
      <c r="D105" s="55">
        <v>68485310</v>
      </c>
      <c r="E105" s="57">
        <v>66774195</v>
      </c>
    </row>
    <row r="106" spans="1:5" ht="12" customHeight="1">
      <c r="A106" s="45" t="s">
        <v>126</v>
      </c>
      <c r="B106" s="99" t="s">
        <v>290</v>
      </c>
      <c r="C106" s="55">
        <v>1702797</v>
      </c>
      <c r="D106" s="55">
        <v>2842770</v>
      </c>
      <c r="E106" s="57">
        <v>2842770</v>
      </c>
    </row>
    <row r="107" spans="1:5" ht="12" customHeight="1">
      <c r="A107" s="45" t="s">
        <v>291</v>
      </c>
      <c r="B107" s="102" t="s">
        <v>292</v>
      </c>
      <c r="C107" s="55"/>
      <c r="D107" s="55"/>
      <c r="E107" s="57"/>
    </row>
    <row r="108" spans="1:5" ht="12" customHeight="1">
      <c r="A108" s="45" t="s">
        <v>293</v>
      </c>
      <c r="B108" s="102" t="s">
        <v>294</v>
      </c>
      <c r="C108" s="55"/>
      <c r="D108" s="55"/>
      <c r="E108" s="57"/>
    </row>
    <row r="109" spans="1:5" ht="12" customHeight="1">
      <c r="A109" s="45" t="s">
        <v>295</v>
      </c>
      <c r="B109" s="103" t="s">
        <v>296</v>
      </c>
      <c r="C109" s="55"/>
      <c r="D109" s="55"/>
      <c r="E109" s="57"/>
    </row>
    <row r="110" spans="1:5" ht="12" customHeight="1">
      <c r="A110" s="45" t="s">
        <v>297</v>
      </c>
      <c r="B110" s="104" t="s">
        <v>298</v>
      </c>
      <c r="C110" s="55"/>
      <c r="D110" s="55"/>
      <c r="E110" s="57"/>
    </row>
    <row r="111" spans="1:5" ht="12" customHeight="1">
      <c r="A111" s="45" t="s">
        <v>299</v>
      </c>
      <c r="B111" s="104" t="s">
        <v>300</v>
      </c>
      <c r="C111" s="55"/>
      <c r="D111" s="55"/>
      <c r="E111" s="57"/>
    </row>
    <row r="112" spans="1:5" ht="12" customHeight="1">
      <c r="A112" s="45" t="s">
        <v>301</v>
      </c>
      <c r="B112" s="103" t="s">
        <v>302</v>
      </c>
      <c r="C112" s="55">
        <v>34165411</v>
      </c>
      <c r="D112" s="55">
        <v>35011540</v>
      </c>
      <c r="E112" s="57">
        <v>34694425</v>
      </c>
    </row>
    <row r="113" spans="1:5" ht="12" customHeight="1">
      <c r="A113" s="45" t="s">
        <v>303</v>
      </c>
      <c r="B113" s="103" t="s">
        <v>304</v>
      </c>
      <c r="C113" s="55"/>
      <c r="D113" s="55"/>
      <c r="E113" s="57"/>
    </row>
    <row r="114" spans="1:5" ht="12" customHeight="1">
      <c r="A114" s="45" t="s">
        <v>305</v>
      </c>
      <c r="B114" s="104" t="s">
        <v>306</v>
      </c>
      <c r="C114" s="55"/>
      <c r="D114" s="55"/>
      <c r="E114" s="57"/>
    </row>
    <row r="115" spans="1:5" ht="12" customHeight="1">
      <c r="A115" s="105" t="s">
        <v>307</v>
      </c>
      <c r="B115" s="102" t="s">
        <v>308</v>
      </c>
      <c r="C115" s="55"/>
      <c r="D115" s="55"/>
      <c r="E115" s="57"/>
    </row>
    <row r="116" spans="1:5" ht="12" customHeight="1">
      <c r="A116" s="45" t="s">
        <v>309</v>
      </c>
      <c r="B116" s="102" t="s">
        <v>310</v>
      </c>
      <c r="C116" s="55"/>
      <c r="D116" s="55"/>
      <c r="E116" s="57"/>
    </row>
    <row r="117" spans="1:5" ht="12" customHeight="1">
      <c r="A117" s="48" t="s">
        <v>311</v>
      </c>
      <c r="B117" s="102" t="s">
        <v>312</v>
      </c>
      <c r="C117" s="55">
        <v>17205000</v>
      </c>
      <c r="D117" s="55">
        <v>30631000</v>
      </c>
      <c r="E117" s="57">
        <v>29237000</v>
      </c>
    </row>
    <row r="118" spans="1:5" ht="12" customHeight="1">
      <c r="A118" s="45" t="s">
        <v>313</v>
      </c>
      <c r="B118" s="100" t="s">
        <v>314</v>
      </c>
      <c r="C118" s="44">
        <v>99173152</v>
      </c>
      <c r="D118" s="44">
        <v>65755010</v>
      </c>
      <c r="E118" s="50"/>
    </row>
    <row r="119" spans="1:5" ht="12" customHeight="1">
      <c r="A119" s="45" t="s">
        <v>315</v>
      </c>
      <c r="B119" s="99" t="s">
        <v>316</v>
      </c>
      <c r="C119" s="44">
        <v>92872967</v>
      </c>
      <c r="D119" s="44">
        <v>59454825</v>
      </c>
      <c r="E119" s="50"/>
    </row>
    <row r="120" spans="1:5" ht="12" customHeight="1">
      <c r="A120" s="106" t="s">
        <v>317</v>
      </c>
      <c r="B120" s="107" t="s">
        <v>318</v>
      </c>
      <c r="C120" s="108">
        <v>6300185</v>
      </c>
      <c r="D120" s="108">
        <v>6300185</v>
      </c>
      <c r="E120" s="109">
        <v>6300185</v>
      </c>
    </row>
    <row r="121" spans="1:5" ht="12" customHeight="1">
      <c r="A121" s="110" t="s">
        <v>128</v>
      </c>
      <c r="B121" s="111" t="s">
        <v>319</v>
      </c>
      <c r="C121" s="112">
        <f>+C122+C124+C126</f>
        <v>219599727</v>
      </c>
      <c r="D121" s="38">
        <f>+D122+D124+D126</f>
        <v>164644311</v>
      </c>
      <c r="E121" s="113">
        <f>+E122+E124+E126</f>
        <v>137290800</v>
      </c>
    </row>
    <row r="122" spans="1:5" ht="12" customHeight="1">
      <c r="A122" s="41" t="s">
        <v>130</v>
      </c>
      <c r="B122" s="99" t="s">
        <v>320</v>
      </c>
      <c r="C122" s="43">
        <v>180960083</v>
      </c>
      <c r="D122" s="43">
        <v>93260404</v>
      </c>
      <c r="E122" s="53">
        <v>76346316</v>
      </c>
    </row>
    <row r="123" spans="1:5" ht="12" customHeight="1">
      <c r="A123" s="41" t="s">
        <v>132</v>
      </c>
      <c r="B123" s="114" t="s">
        <v>321</v>
      </c>
      <c r="C123" s="43">
        <v>143309282</v>
      </c>
      <c r="D123" s="43">
        <v>46041365</v>
      </c>
      <c r="E123" s="53">
        <v>44342865</v>
      </c>
    </row>
    <row r="124" spans="1:5" ht="12" customHeight="1">
      <c r="A124" s="41" t="s">
        <v>134</v>
      </c>
      <c r="B124" s="114" t="s">
        <v>322</v>
      </c>
      <c r="C124" s="44">
        <v>34139644</v>
      </c>
      <c r="D124" s="44">
        <v>66883907</v>
      </c>
      <c r="E124" s="50">
        <v>57866504</v>
      </c>
    </row>
    <row r="125" spans="1:5" ht="12" customHeight="1">
      <c r="A125" s="41" t="s">
        <v>136</v>
      </c>
      <c r="B125" s="114" t="s">
        <v>323</v>
      </c>
      <c r="C125" s="50"/>
      <c r="D125" s="50"/>
      <c r="E125" s="50"/>
    </row>
    <row r="126" spans="1:5" ht="12" customHeight="1">
      <c r="A126" s="41" t="s">
        <v>138</v>
      </c>
      <c r="B126" s="49" t="s">
        <v>324</v>
      </c>
      <c r="C126" s="50">
        <v>4500000</v>
      </c>
      <c r="D126" s="50">
        <v>4500000</v>
      </c>
      <c r="E126" s="50">
        <v>3077980</v>
      </c>
    </row>
    <row r="127" spans="1:5" ht="12" customHeight="1">
      <c r="A127" s="41" t="s">
        <v>140</v>
      </c>
      <c r="B127" s="47" t="s">
        <v>325</v>
      </c>
      <c r="C127" s="50"/>
      <c r="D127" s="50"/>
      <c r="E127" s="50"/>
    </row>
    <row r="128" spans="1:5" ht="12" customHeight="1">
      <c r="A128" s="41" t="s">
        <v>326</v>
      </c>
      <c r="B128" s="115" t="s">
        <v>327</v>
      </c>
      <c r="C128" s="50"/>
      <c r="D128" s="50"/>
      <c r="E128" s="50"/>
    </row>
    <row r="129" spans="1:5" ht="15.75">
      <c r="A129" s="41" t="s">
        <v>328</v>
      </c>
      <c r="B129" s="104" t="s">
        <v>300</v>
      </c>
      <c r="C129" s="50"/>
      <c r="D129" s="50"/>
      <c r="E129" s="50"/>
    </row>
    <row r="130" spans="1:5" ht="12" customHeight="1">
      <c r="A130" s="41" t="s">
        <v>329</v>
      </c>
      <c r="B130" s="104" t="s">
        <v>330</v>
      </c>
      <c r="C130" s="50"/>
      <c r="D130" s="50"/>
      <c r="E130" s="50"/>
    </row>
    <row r="131" spans="1:5" ht="12" customHeight="1">
      <c r="A131" s="41" t="s">
        <v>331</v>
      </c>
      <c r="B131" s="104" t="s">
        <v>332</v>
      </c>
      <c r="C131" s="50"/>
      <c r="D131" s="50"/>
      <c r="E131" s="50"/>
    </row>
    <row r="132" spans="1:5" ht="12" customHeight="1">
      <c r="A132" s="41" t="s">
        <v>333</v>
      </c>
      <c r="B132" s="104" t="s">
        <v>306</v>
      </c>
      <c r="C132" s="50">
        <v>2000000</v>
      </c>
      <c r="D132" s="50">
        <v>2000000</v>
      </c>
      <c r="E132" s="50">
        <v>1585675</v>
      </c>
    </row>
    <row r="133" spans="1:5" ht="12" customHeight="1">
      <c r="A133" s="41" t="s">
        <v>334</v>
      </c>
      <c r="B133" s="104" t="s">
        <v>335</v>
      </c>
      <c r="C133" s="50"/>
      <c r="D133" s="50"/>
      <c r="E133" s="50"/>
    </row>
    <row r="134" spans="1:5" ht="15.75">
      <c r="A134" s="105" t="s">
        <v>336</v>
      </c>
      <c r="B134" s="104" t="s">
        <v>337</v>
      </c>
      <c r="C134" s="57">
        <v>2500000</v>
      </c>
      <c r="D134" s="57">
        <v>2500000</v>
      </c>
      <c r="E134" s="50">
        <v>1492305</v>
      </c>
    </row>
    <row r="135" spans="1:5" ht="12" customHeight="1">
      <c r="A135" s="36" t="s">
        <v>142</v>
      </c>
      <c r="B135" s="116" t="s">
        <v>338</v>
      </c>
      <c r="C135" s="38">
        <f>+C100+C121</f>
        <v>728900568</v>
      </c>
      <c r="D135" s="117">
        <f>+D100+D121</f>
        <v>682825997</v>
      </c>
      <c r="E135" s="39">
        <f>+E100+E121</f>
        <v>511217928</v>
      </c>
    </row>
    <row r="136" spans="1:5" ht="12" customHeight="1">
      <c r="A136" s="36" t="s">
        <v>339</v>
      </c>
      <c r="B136" s="116" t="s">
        <v>340</v>
      </c>
      <c r="C136" s="38">
        <f>+C137+C138+C139</f>
        <v>0</v>
      </c>
      <c r="D136" s="117">
        <f>+D137+D138+D139</f>
        <v>0</v>
      </c>
      <c r="E136" s="39">
        <f>+E137+E138+E139</f>
        <v>0</v>
      </c>
    </row>
    <row r="137" spans="1:5" ht="12" customHeight="1">
      <c r="A137" s="41" t="s">
        <v>158</v>
      </c>
      <c r="B137" s="114" t="s">
        <v>341</v>
      </c>
      <c r="C137" s="54"/>
      <c r="D137" s="118"/>
      <c r="E137" s="50"/>
    </row>
    <row r="138" spans="1:5" ht="12" customHeight="1">
      <c r="A138" s="41" t="s">
        <v>160</v>
      </c>
      <c r="B138" s="114" t="s">
        <v>342</v>
      </c>
      <c r="C138" s="54"/>
      <c r="D138" s="118"/>
      <c r="E138" s="50"/>
    </row>
    <row r="139" spans="1:5" ht="12" customHeight="1">
      <c r="A139" s="105" t="s">
        <v>162</v>
      </c>
      <c r="B139" s="114" t="s">
        <v>343</v>
      </c>
      <c r="C139" s="54"/>
      <c r="D139" s="118"/>
      <c r="E139" s="50"/>
    </row>
    <row r="140" spans="1:5" ht="12" customHeight="1">
      <c r="A140" s="36" t="s">
        <v>172</v>
      </c>
      <c r="B140" s="116" t="s">
        <v>344</v>
      </c>
      <c r="C140" s="38">
        <f>SUM(C141:C146)</f>
        <v>0</v>
      </c>
      <c r="D140" s="117">
        <f>SUM(D141:D146)</f>
        <v>0</v>
      </c>
      <c r="E140" s="39">
        <f>SUM(E141:E146)</f>
        <v>0</v>
      </c>
    </row>
    <row r="141" spans="1:5" ht="12" customHeight="1">
      <c r="A141" s="41" t="s">
        <v>174</v>
      </c>
      <c r="B141" s="119" t="s">
        <v>345</v>
      </c>
      <c r="C141" s="54"/>
      <c r="D141" s="118"/>
      <c r="E141" s="50"/>
    </row>
    <row r="142" spans="1:5" ht="12" customHeight="1">
      <c r="A142" s="41" t="s">
        <v>176</v>
      </c>
      <c r="B142" s="119" t="s">
        <v>346</v>
      </c>
      <c r="C142" s="54"/>
      <c r="D142" s="118"/>
      <c r="E142" s="50"/>
    </row>
    <row r="143" spans="1:5" ht="12" customHeight="1">
      <c r="A143" s="41" t="s">
        <v>178</v>
      </c>
      <c r="B143" s="119" t="s">
        <v>347</v>
      </c>
      <c r="C143" s="54"/>
      <c r="D143" s="118"/>
      <c r="E143" s="50"/>
    </row>
    <row r="144" spans="1:5" ht="12" customHeight="1">
      <c r="A144" s="41" t="s">
        <v>180</v>
      </c>
      <c r="B144" s="119" t="s">
        <v>348</v>
      </c>
      <c r="C144" s="54"/>
      <c r="D144" s="118"/>
      <c r="E144" s="50"/>
    </row>
    <row r="145" spans="1:5" ht="12" customHeight="1">
      <c r="A145" s="41" t="s">
        <v>182</v>
      </c>
      <c r="B145" s="119" t="s">
        <v>349</v>
      </c>
      <c r="C145" s="54"/>
      <c r="D145" s="118"/>
      <c r="E145" s="50"/>
    </row>
    <row r="146" spans="1:5" ht="12" customHeight="1">
      <c r="A146" s="106" t="s">
        <v>184</v>
      </c>
      <c r="B146" s="120" t="s">
        <v>350</v>
      </c>
      <c r="C146" s="121"/>
      <c r="D146" s="122"/>
      <c r="E146" s="109"/>
    </row>
    <row r="147" spans="1:5" ht="12" customHeight="1">
      <c r="A147" s="36" t="s">
        <v>196</v>
      </c>
      <c r="B147" s="116" t="s">
        <v>351</v>
      </c>
      <c r="C147" s="59">
        <f>+C148+C149+C150+C151</f>
        <v>4052052</v>
      </c>
      <c r="D147" s="123">
        <f>+D148+D149+D150+D151</f>
        <v>4052052</v>
      </c>
      <c r="E147" s="60">
        <f>+E148+E149+E150+E151</f>
        <v>4052052</v>
      </c>
    </row>
    <row r="148" spans="1:5" ht="12" customHeight="1">
      <c r="A148" s="41" t="s">
        <v>198</v>
      </c>
      <c r="B148" s="119" t="s">
        <v>352</v>
      </c>
      <c r="C148" s="50"/>
      <c r="D148" s="50"/>
      <c r="E148" s="50"/>
    </row>
    <row r="149" spans="1:5" ht="12" customHeight="1">
      <c r="A149" s="41" t="s">
        <v>200</v>
      </c>
      <c r="B149" s="119" t="s">
        <v>353</v>
      </c>
      <c r="C149" s="50">
        <v>4052052</v>
      </c>
      <c r="D149" s="50">
        <v>4052052</v>
      </c>
      <c r="E149" s="50">
        <v>4052052</v>
      </c>
    </row>
    <row r="150" spans="1:5" ht="12" customHeight="1">
      <c r="A150" s="41" t="s">
        <v>202</v>
      </c>
      <c r="B150" s="119" t="s">
        <v>354</v>
      </c>
      <c r="C150" s="50"/>
      <c r="D150" s="50"/>
      <c r="E150" s="50"/>
    </row>
    <row r="151" spans="1:5" ht="12" customHeight="1">
      <c r="A151" s="105" t="s">
        <v>204</v>
      </c>
      <c r="B151" s="124" t="s">
        <v>355</v>
      </c>
      <c r="C151" s="50"/>
      <c r="D151" s="50"/>
      <c r="E151" s="50"/>
    </row>
    <row r="152" spans="1:5" ht="12" customHeight="1">
      <c r="A152" s="36" t="s">
        <v>356</v>
      </c>
      <c r="B152" s="116" t="s">
        <v>357</v>
      </c>
      <c r="C152" s="125">
        <f>SUM(C153:C157)</f>
        <v>0</v>
      </c>
      <c r="D152" s="126">
        <f>SUM(D153:D157)</f>
        <v>0</v>
      </c>
      <c r="E152" s="127">
        <f>SUM(E153:E157)</f>
        <v>0</v>
      </c>
    </row>
    <row r="153" spans="1:5" ht="12" customHeight="1">
      <c r="A153" s="41" t="s">
        <v>210</v>
      </c>
      <c r="B153" s="119" t="s">
        <v>358</v>
      </c>
      <c r="C153" s="54"/>
      <c r="D153" s="118"/>
      <c r="E153" s="50"/>
    </row>
    <row r="154" spans="1:5" ht="12" customHeight="1">
      <c r="A154" s="41" t="s">
        <v>212</v>
      </c>
      <c r="B154" s="119" t="s">
        <v>359</v>
      </c>
      <c r="C154" s="54"/>
      <c r="D154" s="118"/>
      <c r="E154" s="50"/>
    </row>
    <row r="155" spans="1:5" ht="12" customHeight="1">
      <c r="A155" s="41" t="s">
        <v>214</v>
      </c>
      <c r="B155" s="119" t="s">
        <v>360</v>
      </c>
      <c r="C155" s="54"/>
      <c r="D155" s="118"/>
      <c r="E155" s="50"/>
    </row>
    <row r="156" spans="1:5" ht="12" customHeight="1">
      <c r="A156" s="41" t="s">
        <v>216</v>
      </c>
      <c r="B156" s="119" t="s">
        <v>361</v>
      </c>
      <c r="C156" s="54"/>
      <c r="D156" s="118"/>
      <c r="E156" s="50"/>
    </row>
    <row r="157" spans="1:5" ht="12" customHeight="1">
      <c r="A157" s="41" t="s">
        <v>362</v>
      </c>
      <c r="B157" s="119" t="s">
        <v>363</v>
      </c>
      <c r="C157" s="54"/>
      <c r="D157" s="118"/>
      <c r="E157" s="50"/>
    </row>
    <row r="158" spans="1:5" ht="12" customHeight="1">
      <c r="A158" s="36" t="s">
        <v>218</v>
      </c>
      <c r="B158" s="116" t="s">
        <v>364</v>
      </c>
      <c r="C158" s="128"/>
      <c r="D158" s="129"/>
      <c r="E158" s="130"/>
    </row>
    <row r="159" spans="1:5" ht="12" customHeight="1">
      <c r="A159" s="36" t="s">
        <v>365</v>
      </c>
      <c r="B159" s="116" t="s">
        <v>366</v>
      </c>
      <c r="C159" s="128"/>
      <c r="D159" s="129"/>
      <c r="E159" s="130"/>
    </row>
    <row r="160" spans="1:9" ht="15" customHeight="1">
      <c r="A160" s="36" t="s">
        <v>367</v>
      </c>
      <c r="B160" s="116" t="s">
        <v>368</v>
      </c>
      <c r="C160" s="131">
        <f>+C136+C140+C147+C152+C158+C159</f>
        <v>4052052</v>
      </c>
      <c r="D160" s="132">
        <f>+D136+D140+D147+D152+D158+D159</f>
        <v>4052052</v>
      </c>
      <c r="E160" s="133">
        <f>+E136+E140+E147+E152+E158+E159</f>
        <v>4052052</v>
      </c>
      <c r="F160" s="134"/>
      <c r="G160" s="135"/>
      <c r="H160" s="135"/>
      <c r="I160" s="135"/>
    </row>
    <row r="161" spans="1:7" s="40" customFormat="1" ht="12.75" customHeight="1">
      <c r="A161" s="136" t="s">
        <v>369</v>
      </c>
      <c r="B161" s="137" t="s">
        <v>370</v>
      </c>
      <c r="C161" s="131">
        <f>+C135+C160</f>
        <v>732952620</v>
      </c>
      <c r="D161" s="132">
        <f>+D135+D160</f>
        <v>686878049</v>
      </c>
      <c r="E161" s="133">
        <f>+E135+E160</f>
        <v>515269980</v>
      </c>
      <c r="G161" s="138"/>
    </row>
    <row r="162" spans="3:4" ht="15.75">
      <c r="C162" s="139">
        <f>C93-C161</f>
        <v>0</v>
      </c>
      <c r="D162" s="139">
        <f>D93-D161</f>
        <v>0</v>
      </c>
    </row>
    <row r="163" spans="1:5" ht="15.75">
      <c r="A163" s="810" t="s">
        <v>371</v>
      </c>
      <c r="B163" s="810"/>
      <c r="C163" s="810"/>
      <c r="D163" s="810"/>
      <c r="E163" s="810"/>
    </row>
    <row r="164" spans="1:5" ht="15" customHeight="1">
      <c r="A164" s="811" t="s">
        <v>372</v>
      </c>
      <c r="B164" s="811"/>
      <c r="C164" s="140"/>
      <c r="E164" s="140" t="str">
        <f>E96</f>
        <v> Forintban!</v>
      </c>
    </row>
    <row r="165" spans="1:5" ht="25.5" customHeight="1">
      <c r="A165" s="36">
        <v>1</v>
      </c>
      <c r="B165" s="141" t="s">
        <v>373</v>
      </c>
      <c r="C165" s="142">
        <f>+C68-C135</f>
        <v>-179820537</v>
      </c>
      <c r="D165" s="38">
        <f>+D68-D135</f>
        <v>-183933164</v>
      </c>
      <c r="E165" s="39">
        <f>+E68-E135</f>
        <v>-22027851</v>
      </c>
    </row>
    <row r="166" spans="1:5" ht="32.25" customHeight="1">
      <c r="A166" s="36" t="s">
        <v>128</v>
      </c>
      <c r="B166" s="141" t="s">
        <v>374</v>
      </c>
      <c r="C166" s="38">
        <f>+C92-C160</f>
        <v>179820537</v>
      </c>
      <c r="D166" s="38">
        <f>+D92-D160</f>
        <v>183933164</v>
      </c>
      <c r="E166" s="39">
        <f>+E92-E160</f>
        <v>183933164</v>
      </c>
    </row>
  </sheetData>
  <sheetProtection selectLockedCells="1" selectUnlockedCells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4444444444444" right="0.6694444444444444" top="0.8659722222222223" bottom="0.8659722222222223" header="0.5118055555555555" footer="0.5118055555555555"/>
  <pageSetup fitToHeight="0" fitToWidth="1" horizontalDpi="300" verticalDpi="300" orientation="portrait" paperSize="9" scale="76" r:id="rId1"/>
  <rowBreaks count="2" manualBreakCount="2">
    <brk id="68" max="255" man="1"/>
    <brk id="146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I18" sqref="I18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CONCATENATE("6.7.2. melléklet ",Z_ALAPADATOK!A7," ",Z_ALAPADATOK!B7," ",Z_ALAPADATOK!C7," ",Z_ALAPADATOK!D7," ",Z_ALAPADATOK!E7," ",Z_ALAPADATOK!F7," ",Z_ALAPADATOK!G7," ",Z_ALAPADATOK!H7)</f>
        <v>6.7.2.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CONCATENATE('Z_6.7.1.sz.mell'!B2:D2)</f>
        <v>#REF!</v>
      </c>
      <c r="C2" s="850"/>
      <c r="D2" s="850"/>
      <c r="E2" s="403" t="s">
        <v>632</v>
      </c>
    </row>
    <row r="3" spans="1:5" s="404" customFormat="1" ht="24.75" customHeight="1">
      <c r="A3" s="402" t="s">
        <v>567</v>
      </c>
      <c r="B3" s="850" t="s">
        <v>29</v>
      </c>
      <c r="C3" s="850"/>
      <c r="D3" s="850"/>
      <c r="E3" s="403" t="s">
        <v>624</v>
      </c>
    </row>
    <row r="4" spans="1:5" s="405" customFormat="1" ht="15.75" customHeight="1">
      <c r="A4" s="341"/>
      <c r="B4" s="341"/>
      <c r="C4" s="342"/>
      <c r="D4" s="343"/>
      <c r="E4" s="342" t="str">
        <f>'Z_6.7.1.sz.mell'!E4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CONCATENATE('Z_6.7.1.sz.mell'!E5)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18" sqref="H18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CONCATENATE("6.7.3. melléklet ",Z_ALAPADATOK!A7," ",Z_ALAPADATOK!B7," ",Z_ALAPADATOK!C7," ",Z_ALAPADATOK!D7," ",Z_ALAPADATOK!E7," ",Z_ALAPADATOK!F7," ",Z_ALAPADATOK!G7," ",Z_ALAPADATOK!H7)</f>
        <v>6.7.3.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CONCATENATE('Z_6.7.2.sz.mell'!B2:D2)</f>
        <v>#REF!</v>
      </c>
      <c r="C2" s="850"/>
      <c r="D2" s="850"/>
      <c r="E2" s="403" t="s">
        <v>632</v>
      </c>
    </row>
    <row r="3" spans="1:5" s="404" customFormat="1" ht="24.75" customHeight="1">
      <c r="A3" s="402" t="s">
        <v>567</v>
      </c>
      <c r="B3" s="850" t="s">
        <v>595</v>
      </c>
      <c r="C3" s="850"/>
      <c r="D3" s="850"/>
      <c r="E3" s="403" t="s">
        <v>625</v>
      </c>
    </row>
    <row r="4" spans="1:5" s="405" customFormat="1" ht="15.75" customHeight="1">
      <c r="A4" s="341"/>
      <c r="B4" s="341"/>
      <c r="C4" s="342"/>
      <c r="D4" s="343"/>
      <c r="E4" s="342" t="str">
        <f>'Z_6.7.2.sz.mell'!E4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CONCATENATE('Z_6.7.2.sz.mell'!E5)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16" sqref="H16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47" t="str">
        <f>CONCATENATE("6.8. melléklet ",Z_ALAPADATOK!A7," ",Z_ALAPADATOK!B7," ",Z_ALAPADATOK!C7," ",Z_ALAPADATOK!D7," ",Z_ALAPADATOK!E7," ",Z_ALAPADATOK!F7," ",Z_ALAPADATOK!G7," ",Z_ALAPADATOK!H7)</f>
        <v>6.8. melléklet a … / 2019. ( … ) önkormányzati rendelethez</v>
      </c>
      <c r="C1" s="847"/>
      <c r="D1" s="847"/>
      <c r="E1" s="847"/>
    </row>
    <row r="2" spans="1:5" s="404" customFormat="1" ht="25.5" customHeight="1">
      <c r="A2" s="402" t="s">
        <v>596</v>
      </c>
      <c r="B2" s="850" t="e">
        <f>CONCATENATE(Z_ALAPADATOK!#REF!)</f>
        <v>#REF!</v>
      </c>
      <c r="C2" s="850"/>
      <c r="D2" s="850"/>
      <c r="E2" s="403" t="s">
        <v>633</v>
      </c>
    </row>
    <row r="3" spans="1:5" s="404" customFormat="1" ht="24.75" customHeight="1">
      <c r="A3" s="402" t="s">
        <v>567</v>
      </c>
      <c r="B3" s="850" t="s">
        <v>568</v>
      </c>
      <c r="C3" s="850"/>
      <c r="D3" s="850"/>
      <c r="E3" s="403" t="s">
        <v>566</v>
      </c>
    </row>
    <row r="4" spans="1:5" s="405" customFormat="1" ht="15.75" customHeight="1">
      <c r="A4" s="341"/>
      <c r="B4" s="341"/>
      <c r="C4" s="342"/>
      <c r="D4" s="343"/>
      <c r="E4" s="342" t="str">
        <f>'Z_6.2.3.sz.mell'!E4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CONCATENATE('Z_6.7.3.sz.mell'!E5)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I21" sqref="I21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CONCATENATE("6.8.1. melléklet ",Z_ALAPADATOK!A7," ",Z_ALAPADATOK!B7," ",Z_ALAPADATOK!C7," ",Z_ALAPADATOK!D7," ",Z_ALAPADATOK!E7," ",Z_ALAPADATOK!F7," ",Z_ALAPADATOK!G7," ",Z_ALAPADATOK!H7)</f>
        <v>6.8.1.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CONCATENATE('Z_6.8.sz.mell'!B2:D2)</f>
        <v>#REF!</v>
      </c>
      <c r="C2" s="850"/>
      <c r="D2" s="850"/>
      <c r="E2" s="403" t="s">
        <v>633</v>
      </c>
    </row>
    <row r="3" spans="1:5" s="404" customFormat="1" ht="24.75" customHeight="1">
      <c r="A3" s="402" t="s">
        <v>567</v>
      </c>
      <c r="B3" s="850" t="s">
        <v>592</v>
      </c>
      <c r="C3" s="850"/>
      <c r="D3" s="850"/>
      <c r="E3" s="403" t="s">
        <v>593</v>
      </c>
    </row>
    <row r="4" spans="1:5" s="405" customFormat="1" ht="15.75" customHeight="1">
      <c r="A4" s="341"/>
      <c r="B4" s="341"/>
      <c r="C4" s="342"/>
      <c r="D4" s="343"/>
      <c r="E4" s="342" t="str">
        <f>'Z_6.8.sz.mell'!E4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CONCATENATE('Z_6.8.sz.mell'!E5)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J21" sqref="J21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CONCATENATE("6.8.2. melléklet ",Z_ALAPADATOK!A7," ",Z_ALAPADATOK!B7," ",Z_ALAPADATOK!C7," ",Z_ALAPADATOK!D7," ",Z_ALAPADATOK!E7," ",Z_ALAPADATOK!F7," ",Z_ALAPADATOK!G7," ",Z_ALAPADATOK!H7)</f>
        <v>6.8.2.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CONCATENATE('Z_6.8.1.sz.mell'!B2:D2)</f>
        <v>#REF!</v>
      </c>
      <c r="C2" s="850"/>
      <c r="D2" s="850"/>
      <c r="E2" s="403" t="s">
        <v>633</v>
      </c>
    </row>
    <row r="3" spans="1:5" s="404" customFormat="1" ht="24.75" customHeight="1">
      <c r="A3" s="402" t="s">
        <v>567</v>
      </c>
      <c r="B3" s="850" t="s">
        <v>29</v>
      </c>
      <c r="C3" s="850"/>
      <c r="D3" s="850"/>
      <c r="E3" s="403" t="s">
        <v>624</v>
      </c>
    </row>
    <row r="4" spans="1:5" s="405" customFormat="1" ht="15.75" customHeight="1">
      <c r="A4" s="341"/>
      <c r="B4" s="341"/>
      <c r="C4" s="342"/>
      <c r="D4" s="343"/>
      <c r="E4" s="342" t="str">
        <f>'Z_6.8.1.sz.mell'!E4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CONCATENATE('Z_6.8.1.sz.mell'!E5)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20" sqref="H20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CONCATENATE("6.8.3. melléklet ",Z_ALAPADATOK!A7," ",Z_ALAPADATOK!B7," ",Z_ALAPADATOK!C7," ",Z_ALAPADATOK!D7," ",Z_ALAPADATOK!E7," ",Z_ALAPADATOK!F7," ",Z_ALAPADATOK!G7," ",Z_ALAPADATOK!H7)</f>
        <v>6.8.3.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CONCATENATE('Z_6.8.2.sz.mell'!B2:D2)</f>
        <v>#REF!</v>
      </c>
      <c r="C2" s="850"/>
      <c r="D2" s="850"/>
      <c r="E2" s="403" t="s">
        <v>633</v>
      </c>
    </row>
    <row r="3" spans="1:5" s="404" customFormat="1" ht="24.75" customHeight="1">
      <c r="A3" s="402" t="s">
        <v>567</v>
      </c>
      <c r="B3" s="850" t="s">
        <v>595</v>
      </c>
      <c r="C3" s="850"/>
      <c r="D3" s="850"/>
      <c r="E3" s="403" t="s">
        <v>625</v>
      </c>
    </row>
    <row r="4" spans="1:5" s="405" customFormat="1" ht="15.75" customHeight="1">
      <c r="A4" s="341"/>
      <c r="B4" s="341"/>
      <c r="C4" s="342"/>
      <c r="D4" s="343"/>
      <c r="E4" s="342" t="str">
        <f>'Z_6.8.2.sz.mell'!E4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CONCATENATE('Z_6.8.2.sz.mell'!E5)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18" sqref="H18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47" t="str">
        <f>CONCATENATE("6.9. melléklet ",Z_ALAPADATOK!A7," ",Z_ALAPADATOK!B7," ",Z_ALAPADATOK!C7," ",Z_ALAPADATOK!D7," ",Z_ALAPADATOK!E7," ",Z_ALAPADATOK!F7," ",Z_ALAPADATOK!G7," ",Z_ALAPADATOK!H7)</f>
        <v>6.9. melléklet a … / 2019. ( … ) önkormányzati rendelethez</v>
      </c>
      <c r="C1" s="847"/>
      <c r="D1" s="847"/>
      <c r="E1" s="847"/>
    </row>
    <row r="2" spans="1:5" s="404" customFormat="1" ht="25.5" customHeight="1">
      <c r="A2" s="402" t="s">
        <v>596</v>
      </c>
      <c r="B2" s="850" t="e">
        <f>CONCATENATE(Z_ALAPADATOK!#REF!)</f>
        <v>#REF!</v>
      </c>
      <c r="C2" s="850"/>
      <c r="D2" s="850"/>
      <c r="E2" s="403" t="s">
        <v>634</v>
      </c>
    </row>
    <row r="3" spans="1:5" s="404" customFormat="1" ht="24.75" customHeight="1">
      <c r="A3" s="402" t="s">
        <v>567</v>
      </c>
      <c r="B3" s="850" t="s">
        <v>568</v>
      </c>
      <c r="C3" s="850"/>
      <c r="D3" s="850"/>
      <c r="E3" s="403" t="s">
        <v>566</v>
      </c>
    </row>
    <row r="4" spans="1:5" s="405" customFormat="1" ht="15.75" customHeight="1">
      <c r="A4" s="341"/>
      <c r="B4" s="341"/>
      <c r="C4" s="342"/>
      <c r="D4" s="343"/>
      <c r="E4" s="342" t="str">
        <f>'Z_6.2.3.sz.mell'!E4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CONCATENATE('Z_6.8.3.sz.mell'!E5)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18" sqref="H18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CONCATENATE("6.9.1. melléklet ",Z_ALAPADATOK!A7," ",Z_ALAPADATOK!B7," ",Z_ALAPADATOK!C7," ",Z_ALAPADATOK!D7," ",Z_ALAPADATOK!E7," ",Z_ALAPADATOK!F7," ",Z_ALAPADATOK!G7," ",Z_ALAPADATOK!H7)</f>
        <v>6.9.1.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CONCATENATE('Z_6.9.sz.mell'!B2:D2)</f>
        <v>#REF!</v>
      </c>
      <c r="C2" s="850"/>
      <c r="D2" s="850"/>
      <c r="E2" s="403" t="s">
        <v>634</v>
      </c>
    </row>
    <row r="3" spans="1:5" s="404" customFormat="1" ht="24.75" customHeight="1">
      <c r="A3" s="402" t="s">
        <v>567</v>
      </c>
      <c r="B3" s="850" t="s">
        <v>592</v>
      </c>
      <c r="C3" s="850"/>
      <c r="D3" s="850"/>
      <c r="E3" s="403" t="s">
        <v>593</v>
      </c>
    </row>
    <row r="4" spans="1:5" s="405" customFormat="1" ht="15.75" customHeight="1">
      <c r="A4" s="341"/>
      <c r="B4" s="341"/>
      <c r="C4" s="342"/>
      <c r="D4" s="343"/>
      <c r="E4" s="342" t="str">
        <f>'Z_6.9.sz.mell'!E4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CONCATENATE('Z_6.9.sz.mell'!E5)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17" sqref="H17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CONCATENATE("6.9.2. melléklet ",Z_ALAPADATOK!A7," ",Z_ALAPADATOK!B7," ",Z_ALAPADATOK!C7," ",Z_ALAPADATOK!D7," ",Z_ALAPADATOK!E7," ",Z_ALAPADATOK!F7," ",Z_ALAPADATOK!G7," ",Z_ALAPADATOK!H7)</f>
        <v>6.9.2.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CONCATENATE('Z_6.9.1.sz.mell'!B2:D2)</f>
        <v>#REF!</v>
      </c>
      <c r="C2" s="850"/>
      <c r="D2" s="850"/>
      <c r="E2" s="403" t="s">
        <v>634</v>
      </c>
    </row>
    <row r="3" spans="1:5" s="404" customFormat="1" ht="24.75" customHeight="1">
      <c r="A3" s="402" t="s">
        <v>567</v>
      </c>
      <c r="B3" s="850" t="s">
        <v>29</v>
      </c>
      <c r="C3" s="850"/>
      <c r="D3" s="850"/>
      <c r="E3" s="403" t="s">
        <v>624</v>
      </c>
    </row>
    <row r="4" spans="1:5" s="405" customFormat="1" ht="15.75" customHeight="1">
      <c r="A4" s="341"/>
      <c r="B4" s="341"/>
      <c r="C4" s="342"/>
      <c r="D4" s="343"/>
      <c r="E4" s="342" t="str">
        <f>'Z_6.9.1.sz.mell'!E4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CONCATENATE('Z_6.9.1.sz.mell'!E5)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17" sqref="H17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CONCATENATE("6.9.3. melléklet ",Z_ALAPADATOK!A7," ",Z_ALAPADATOK!B7," ",Z_ALAPADATOK!C7," ",Z_ALAPADATOK!D7," ",Z_ALAPADATOK!E7," ",Z_ALAPADATOK!F7," ",Z_ALAPADATOK!G7," ",Z_ALAPADATOK!H7)</f>
        <v>6.9.3.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CONCATENATE('Z_6.9.2.sz.mell'!B2:D2)</f>
        <v>#REF!</v>
      </c>
      <c r="C2" s="850"/>
      <c r="D2" s="850"/>
      <c r="E2" s="403" t="s">
        <v>634</v>
      </c>
    </row>
    <row r="3" spans="1:5" s="404" customFormat="1" ht="24.75" customHeight="1">
      <c r="A3" s="402" t="s">
        <v>567</v>
      </c>
      <c r="B3" s="850" t="s">
        <v>595</v>
      </c>
      <c r="C3" s="850"/>
      <c r="D3" s="850"/>
      <c r="E3" s="403" t="s">
        <v>625</v>
      </c>
    </row>
    <row r="4" spans="1:5" s="405" customFormat="1" ht="15.75" customHeight="1">
      <c r="A4" s="341"/>
      <c r="B4" s="341"/>
      <c r="C4" s="342"/>
      <c r="D4" s="343"/>
      <c r="E4" s="342" t="str">
        <f>'Z_6.9.2.sz.mell'!E4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CONCATENATE('Z_6.9.2.sz.mell'!E5)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66"/>
  <sheetViews>
    <sheetView zoomScale="120" zoomScaleNormal="120" zoomScaleSheetLayoutView="100" zoomScalePageLayoutView="0" workbookViewId="0" topLeftCell="A6">
      <selection activeCell="E117" sqref="E117"/>
    </sheetView>
  </sheetViews>
  <sheetFormatPr defaultColWidth="9.00390625" defaultRowHeight="12.75"/>
  <cols>
    <col min="1" max="1" width="9.50390625" style="22" customWidth="1"/>
    <col min="2" max="2" width="65.875" style="22" customWidth="1"/>
    <col min="3" max="3" width="17.875" style="23" customWidth="1"/>
    <col min="4" max="5" width="17.875" style="24" customWidth="1"/>
    <col min="6" max="7" width="9.375" style="24" customWidth="1"/>
    <col min="8" max="8" width="13.375" style="24" customWidth="1"/>
    <col min="9" max="16384" width="9.375" style="24" customWidth="1"/>
  </cols>
  <sheetData>
    <row r="1" spans="1:5" ht="15.75">
      <c r="A1" s="25"/>
      <c r="B1" s="806" t="str">
        <f>CONCATENATE("1.2. melléklet ",Z_ALAPADATOK!A7," ",Z_ALAPADATOK!B7," ",Z_ALAPADATOK!C7," ",Z_ALAPADATOK!D7," ",Z_ALAPADATOK!E7," ",Z_ALAPADATOK!F7," ",Z_ALAPADATOK!G7," ",Z_ALAPADATOK!H7)</f>
        <v>1.2. melléklet a … / 2019. ( … ) önkormányzati rendelethez</v>
      </c>
      <c r="C1" s="806"/>
      <c r="D1" s="806"/>
      <c r="E1" s="806"/>
    </row>
    <row r="2" spans="1:5" ht="15.75" customHeight="1">
      <c r="A2" s="807" t="str">
        <f>CONCATENATE(Z_ALAPADATOK!A3)</f>
        <v>Balatonvilágos Község Önkormányzata</v>
      </c>
      <c r="B2" s="807"/>
      <c r="C2" s="807"/>
      <c r="D2" s="807"/>
      <c r="E2" s="807"/>
    </row>
    <row r="3" spans="1:5" ht="15.75">
      <c r="A3" s="807" t="s">
        <v>375</v>
      </c>
      <c r="B3" s="807"/>
      <c r="C3" s="807"/>
      <c r="D3" s="807"/>
      <c r="E3" s="807"/>
    </row>
    <row r="4" spans="1:5" ht="17.25" customHeight="1">
      <c r="A4" s="807" t="s">
        <v>376</v>
      </c>
      <c r="B4" s="807"/>
      <c r="C4" s="807"/>
      <c r="D4" s="807"/>
      <c r="E4" s="807"/>
    </row>
    <row r="5" spans="1:5" ht="15.75">
      <c r="A5" s="25"/>
      <c r="B5" s="25"/>
      <c r="C5" s="26"/>
      <c r="D5" s="27"/>
      <c r="E5" s="27"/>
    </row>
    <row r="6" spans="1:5" ht="15.75" customHeight="1">
      <c r="A6" s="808" t="s">
        <v>102</v>
      </c>
      <c r="B6" s="808"/>
      <c r="C6" s="808"/>
      <c r="D6" s="808"/>
      <c r="E6" s="808"/>
    </row>
    <row r="7" spans="1:5" ht="15.75" customHeight="1">
      <c r="A7" s="809" t="s">
        <v>103</v>
      </c>
      <c r="B7" s="809"/>
      <c r="C7" s="28"/>
      <c r="D7" s="27"/>
      <c r="E7" s="28" t="str">
        <f>CONCATENATE('Z_1.1.sz.mell.'!E7)</f>
        <v> Forintban!</v>
      </c>
    </row>
    <row r="8" spans="1:5" ht="15.75" customHeight="1">
      <c r="A8" s="812" t="s">
        <v>105</v>
      </c>
      <c r="B8" s="813" t="s">
        <v>106</v>
      </c>
      <c r="C8" s="814" t="str">
        <f>+CONCATENATE(LEFT(Z_ÖSSZEFÜGGÉSEK!A6,4),". évi")</f>
        <v>2018. évi</v>
      </c>
      <c r="D8" s="814"/>
      <c r="E8" s="814"/>
    </row>
    <row r="9" spans="1:5" ht="24">
      <c r="A9" s="812"/>
      <c r="B9" s="813"/>
      <c r="C9" s="29" t="s">
        <v>107</v>
      </c>
      <c r="D9" s="30" t="s">
        <v>108</v>
      </c>
      <c r="E9" s="31" t="str">
        <f>CONCATENATE('Z_1.1.sz.mell.'!E9)</f>
        <v>2018. XII. 31.
teljesítés</v>
      </c>
    </row>
    <row r="10" spans="1:5" s="35" customFormat="1" ht="12" customHeight="1">
      <c r="A10" s="32" t="s">
        <v>109</v>
      </c>
      <c r="B10" s="33" t="s">
        <v>110</v>
      </c>
      <c r="C10" s="33" t="s">
        <v>111</v>
      </c>
      <c r="D10" s="33" t="s">
        <v>112</v>
      </c>
      <c r="E10" s="34" t="s">
        <v>113</v>
      </c>
    </row>
    <row r="11" spans="1:5" s="40" customFormat="1" ht="12" customHeight="1">
      <c r="A11" s="36" t="s">
        <v>114</v>
      </c>
      <c r="B11" s="37" t="s">
        <v>115</v>
      </c>
      <c r="C11" s="38">
        <f>+C12+C13+C14+C15+C16+C17</f>
        <v>113142467</v>
      </c>
      <c r="D11" s="38">
        <f>+D12+D13+D14+D15+D16+D17</f>
        <v>128291755</v>
      </c>
      <c r="E11" s="39">
        <f>+E12+E13+E14+E15+E16+E17</f>
        <v>128291755</v>
      </c>
    </row>
    <row r="12" spans="1:5" s="40" customFormat="1" ht="12" customHeight="1">
      <c r="A12" s="41" t="s">
        <v>116</v>
      </c>
      <c r="B12" s="42" t="s">
        <v>117</v>
      </c>
      <c r="C12" s="43">
        <v>43438015</v>
      </c>
      <c r="D12" s="43">
        <v>43548669</v>
      </c>
      <c r="E12" s="44">
        <v>43548669</v>
      </c>
    </row>
    <row r="13" spans="1:5" s="40" customFormat="1" ht="12" customHeight="1">
      <c r="A13" s="45" t="s">
        <v>118</v>
      </c>
      <c r="B13" s="46" t="s">
        <v>119</v>
      </c>
      <c r="C13" s="44">
        <v>38684467</v>
      </c>
      <c r="D13" s="44">
        <v>39060767</v>
      </c>
      <c r="E13" s="44">
        <v>39060767</v>
      </c>
    </row>
    <row r="14" spans="1:5" s="40" customFormat="1" ht="12" customHeight="1">
      <c r="A14" s="45" t="s">
        <v>120</v>
      </c>
      <c r="B14" s="46" t="s">
        <v>121</v>
      </c>
      <c r="C14" s="44">
        <v>29219985</v>
      </c>
      <c r="D14" s="44">
        <v>30309228</v>
      </c>
      <c r="E14" s="44">
        <v>30309228</v>
      </c>
    </row>
    <row r="15" spans="1:5" s="40" customFormat="1" ht="12" customHeight="1">
      <c r="A15" s="45" t="s">
        <v>122</v>
      </c>
      <c r="B15" s="46" t="s">
        <v>123</v>
      </c>
      <c r="C15" s="44">
        <v>1800000</v>
      </c>
      <c r="D15" s="44">
        <v>1800000</v>
      </c>
      <c r="E15" s="44">
        <v>1800000</v>
      </c>
    </row>
    <row r="16" spans="1:5" s="40" customFormat="1" ht="12" customHeight="1">
      <c r="A16" s="45" t="s">
        <v>124</v>
      </c>
      <c r="B16" s="47" t="s">
        <v>125</v>
      </c>
      <c r="C16" s="44"/>
      <c r="D16" s="44">
        <v>13573091</v>
      </c>
      <c r="E16" s="44">
        <v>13573091</v>
      </c>
    </row>
    <row r="17" spans="1:5" s="40" customFormat="1" ht="12" customHeight="1">
      <c r="A17" s="48" t="s">
        <v>126</v>
      </c>
      <c r="B17" s="49" t="s">
        <v>127</v>
      </c>
      <c r="C17" s="44"/>
      <c r="D17" s="44"/>
      <c r="E17" s="50"/>
    </row>
    <row r="18" spans="1:5" s="40" customFormat="1" ht="12" customHeight="1">
      <c r="A18" s="36" t="s">
        <v>128</v>
      </c>
      <c r="B18" s="51" t="s">
        <v>129</v>
      </c>
      <c r="C18" s="38">
        <f>+C19+C20+C21+C22+C23</f>
        <v>19598400</v>
      </c>
      <c r="D18" s="38">
        <f>+D19+D20+D21+D22+D23</f>
        <v>21828900</v>
      </c>
      <c r="E18" s="39">
        <f>+E19+E20+E21+E22+E23</f>
        <v>21742130</v>
      </c>
    </row>
    <row r="19" spans="1:5" s="40" customFormat="1" ht="12" customHeight="1">
      <c r="A19" s="41" t="s">
        <v>130</v>
      </c>
      <c r="B19" s="42" t="s">
        <v>131</v>
      </c>
      <c r="C19" s="43"/>
      <c r="D19" s="52"/>
      <c r="E19" s="53"/>
    </row>
    <row r="20" spans="1:5" s="40" customFormat="1" ht="12" customHeight="1">
      <c r="A20" s="45" t="s">
        <v>132</v>
      </c>
      <c r="B20" s="46" t="s">
        <v>133</v>
      </c>
      <c r="C20" s="44"/>
      <c r="D20" s="54"/>
      <c r="E20" s="50"/>
    </row>
    <row r="21" spans="1:5" s="40" customFormat="1" ht="12" customHeight="1">
      <c r="A21" s="45" t="s">
        <v>134</v>
      </c>
      <c r="B21" s="46" t="s">
        <v>135</v>
      </c>
      <c r="C21" s="44"/>
      <c r="D21" s="54"/>
      <c r="E21" s="50"/>
    </row>
    <row r="22" spans="1:5" s="40" customFormat="1" ht="12" customHeight="1">
      <c r="A22" s="45" t="s">
        <v>136</v>
      </c>
      <c r="B22" s="46" t="s">
        <v>137</v>
      </c>
      <c r="C22" s="44"/>
      <c r="D22" s="54"/>
      <c r="E22" s="50"/>
    </row>
    <row r="23" spans="1:5" s="40" customFormat="1" ht="12" customHeight="1">
      <c r="A23" s="45" t="s">
        <v>138</v>
      </c>
      <c r="B23" s="46" t="s">
        <v>139</v>
      </c>
      <c r="C23" s="44">
        <v>19598400</v>
      </c>
      <c r="D23" s="44">
        <v>21828900</v>
      </c>
      <c r="E23" s="44">
        <v>21742130</v>
      </c>
    </row>
    <row r="24" spans="1:5" s="40" customFormat="1" ht="12" customHeight="1">
      <c r="A24" s="48" t="s">
        <v>140</v>
      </c>
      <c r="B24" s="49" t="s">
        <v>141</v>
      </c>
      <c r="C24" s="55"/>
      <c r="D24" s="56"/>
      <c r="E24" s="57"/>
    </row>
    <row r="25" spans="1:5" s="40" customFormat="1" ht="12" customHeight="1">
      <c r="A25" s="36" t="s">
        <v>142</v>
      </c>
      <c r="B25" s="37" t="s">
        <v>143</v>
      </c>
      <c r="C25" s="38">
        <f>+C26+C27+C28+C29+C30</f>
        <v>143309282</v>
      </c>
      <c r="D25" s="38">
        <f>+D26+D27+D28+D29+D30</f>
        <v>56669456</v>
      </c>
      <c r="E25" s="39">
        <f>+E26+E27+E28+E29+E30</f>
        <v>36327320</v>
      </c>
    </row>
    <row r="26" spans="1:5" s="40" customFormat="1" ht="12" customHeight="1">
      <c r="A26" s="41" t="s">
        <v>144</v>
      </c>
      <c r="B26" s="42" t="s">
        <v>145</v>
      </c>
      <c r="C26" s="43">
        <v>143309282</v>
      </c>
      <c r="D26" s="43">
        <v>56669456</v>
      </c>
      <c r="E26" s="43">
        <v>36327320</v>
      </c>
    </row>
    <row r="27" spans="1:5" s="40" customFormat="1" ht="12" customHeight="1">
      <c r="A27" s="45" t="s">
        <v>146</v>
      </c>
      <c r="B27" s="46" t="s">
        <v>147</v>
      </c>
      <c r="C27" s="54"/>
      <c r="D27" s="54"/>
      <c r="E27" s="50"/>
    </row>
    <row r="28" spans="1:5" s="40" customFormat="1" ht="12" customHeight="1">
      <c r="A28" s="45" t="s">
        <v>148</v>
      </c>
      <c r="B28" s="46" t="s">
        <v>149</v>
      </c>
      <c r="C28" s="54"/>
      <c r="D28" s="54"/>
      <c r="E28" s="50"/>
    </row>
    <row r="29" spans="1:5" s="40" customFormat="1" ht="12" customHeight="1">
      <c r="A29" s="45" t="s">
        <v>150</v>
      </c>
      <c r="B29" s="46" t="s">
        <v>151</v>
      </c>
      <c r="C29" s="54"/>
      <c r="D29" s="54"/>
      <c r="E29" s="50"/>
    </row>
    <row r="30" spans="1:5" s="40" customFormat="1" ht="12" customHeight="1">
      <c r="A30" s="45" t="s">
        <v>152</v>
      </c>
      <c r="B30" s="46" t="s">
        <v>153</v>
      </c>
      <c r="C30" s="54"/>
      <c r="D30" s="54"/>
      <c r="E30" s="50"/>
    </row>
    <row r="31" spans="1:5" s="40" customFormat="1" ht="12" customHeight="1">
      <c r="A31" s="48" t="s">
        <v>154</v>
      </c>
      <c r="B31" s="58" t="s">
        <v>155</v>
      </c>
      <c r="C31" s="56"/>
      <c r="D31" s="56"/>
      <c r="E31" s="57"/>
    </row>
    <row r="32" spans="1:5" s="40" customFormat="1" ht="12" customHeight="1">
      <c r="A32" s="36" t="s">
        <v>156</v>
      </c>
      <c r="B32" s="37" t="s">
        <v>157</v>
      </c>
      <c r="C32" s="59">
        <f>SUM(C33:C39)</f>
        <v>196229000</v>
      </c>
      <c r="D32" s="59">
        <f>SUM(D33:D39)</f>
        <v>196229000</v>
      </c>
      <c r="E32" s="60">
        <f>SUM(E33:E39)</f>
        <v>207402966</v>
      </c>
    </row>
    <row r="33" spans="1:5" s="40" customFormat="1" ht="12" customHeight="1">
      <c r="A33" s="41" t="s">
        <v>158</v>
      </c>
      <c r="B33" s="42" t="s">
        <v>159</v>
      </c>
      <c r="C33" s="43">
        <v>141679000</v>
      </c>
      <c r="D33" s="43">
        <v>141679000</v>
      </c>
      <c r="E33" s="43">
        <v>139222737</v>
      </c>
    </row>
    <row r="34" spans="1:5" s="40" customFormat="1" ht="12" customHeight="1">
      <c r="A34" s="45" t="s">
        <v>160</v>
      </c>
      <c r="B34" s="46" t="s">
        <v>161</v>
      </c>
      <c r="C34" s="44">
        <v>20000000</v>
      </c>
      <c r="D34" s="44">
        <v>20000000</v>
      </c>
      <c r="E34" s="44">
        <v>19388110</v>
      </c>
    </row>
    <row r="35" spans="1:5" s="40" customFormat="1" ht="12" customHeight="1">
      <c r="A35" s="45" t="s">
        <v>162</v>
      </c>
      <c r="B35" s="46" t="s">
        <v>163</v>
      </c>
      <c r="C35" s="44">
        <v>30000000</v>
      </c>
      <c r="D35" s="44">
        <v>30000000</v>
      </c>
      <c r="E35" s="44">
        <v>41918668</v>
      </c>
    </row>
    <row r="36" spans="1:5" s="40" customFormat="1" ht="12" customHeight="1">
      <c r="A36" s="45" t="s">
        <v>164</v>
      </c>
      <c r="B36" s="46" t="s">
        <v>165</v>
      </c>
      <c r="C36" s="44"/>
      <c r="D36" s="44"/>
      <c r="E36" s="44"/>
    </row>
    <row r="37" spans="1:5" s="40" customFormat="1" ht="12" customHeight="1">
      <c r="A37" s="45" t="s">
        <v>166</v>
      </c>
      <c r="B37" s="46" t="s">
        <v>167</v>
      </c>
      <c r="C37" s="44">
        <v>3900000</v>
      </c>
      <c r="D37" s="44">
        <v>3900000</v>
      </c>
      <c r="E37" s="44">
        <v>5097370</v>
      </c>
    </row>
    <row r="38" spans="1:5" s="40" customFormat="1" ht="12" customHeight="1">
      <c r="A38" s="45" t="s">
        <v>168</v>
      </c>
      <c r="B38" s="46" t="s">
        <v>169</v>
      </c>
      <c r="C38" s="44"/>
      <c r="D38" s="44"/>
      <c r="E38" s="44"/>
    </row>
    <row r="39" spans="1:5" s="40" customFormat="1" ht="12" customHeight="1">
      <c r="A39" s="48" t="s">
        <v>170</v>
      </c>
      <c r="B39" s="61" t="s">
        <v>171</v>
      </c>
      <c r="C39" s="55">
        <v>650000</v>
      </c>
      <c r="D39" s="55">
        <v>650000</v>
      </c>
      <c r="E39" s="55">
        <v>1776081</v>
      </c>
    </row>
    <row r="40" spans="1:5" s="40" customFormat="1" ht="12" customHeight="1">
      <c r="A40" s="36" t="s">
        <v>172</v>
      </c>
      <c r="B40" s="37" t="s">
        <v>173</v>
      </c>
      <c r="C40" s="38">
        <f>SUM(C41:C51)</f>
        <v>43119160</v>
      </c>
      <c r="D40" s="38">
        <f>SUM(D41:D51)</f>
        <v>44244560</v>
      </c>
      <c r="E40" s="39">
        <f>SUM(E41:E51)</f>
        <v>50869365</v>
      </c>
    </row>
    <row r="41" spans="1:5" s="40" customFormat="1" ht="12" customHeight="1">
      <c r="A41" s="41" t="s">
        <v>174</v>
      </c>
      <c r="B41" s="42" t="s">
        <v>175</v>
      </c>
      <c r="C41" s="43"/>
      <c r="D41" s="52"/>
      <c r="E41" s="53"/>
    </row>
    <row r="42" spans="1:5" s="40" customFormat="1" ht="12" customHeight="1">
      <c r="A42" s="45" t="s">
        <v>176</v>
      </c>
      <c r="B42" s="46" t="s">
        <v>177</v>
      </c>
      <c r="C42" s="44">
        <v>7933066</v>
      </c>
      <c r="D42" s="44">
        <v>7933066</v>
      </c>
      <c r="E42" s="44">
        <f>'Z_1.1.sz.mell.'!E42-'Z_1.3.sz.mell.'!E42</f>
        <v>6502826</v>
      </c>
    </row>
    <row r="43" spans="1:5" s="40" customFormat="1" ht="12" customHeight="1">
      <c r="A43" s="45" t="s">
        <v>178</v>
      </c>
      <c r="B43" s="46" t="s">
        <v>179</v>
      </c>
      <c r="C43" s="44">
        <v>12660000</v>
      </c>
      <c r="D43" s="44">
        <v>12660000</v>
      </c>
      <c r="E43" s="44">
        <v>12556051</v>
      </c>
    </row>
    <row r="44" spans="1:5" s="40" customFormat="1" ht="12" customHeight="1">
      <c r="A44" s="45" t="s">
        <v>180</v>
      </c>
      <c r="B44" s="46" t="s">
        <v>181</v>
      </c>
      <c r="C44" s="44">
        <v>3717200</v>
      </c>
      <c r="D44" s="44">
        <v>3717200</v>
      </c>
      <c r="E44" s="44">
        <v>12848471</v>
      </c>
    </row>
    <row r="45" spans="1:5" s="40" customFormat="1" ht="12" customHeight="1">
      <c r="A45" s="45" t="s">
        <v>182</v>
      </c>
      <c r="B45" s="46" t="s">
        <v>183</v>
      </c>
      <c r="C45" s="44">
        <v>11732830</v>
      </c>
      <c r="D45" s="44">
        <v>11732830</v>
      </c>
      <c r="E45" s="44">
        <v>9819054</v>
      </c>
    </row>
    <row r="46" spans="1:5" s="40" customFormat="1" ht="12" customHeight="1">
      <c r="A46" s="45" t="s">
        <v>184</v>
      </c>
      <c r="B46" s="46" t="s">
        <v>185</v>
      </c>
      <c r="C46" s="44">
        <v>6991064</v>
      </c>
      <c r="D46" s="44">
        <v>6991064</v>
      </c>
      <c r="E46" s="44">
        <f>'Z_1.1.sz.mell.'!E46-'Z_1.3.sz.mell.'!E46</f>
        <v>6930760</v>
      </c>
    </row>
    <row r="47" spans="1:5" s="40" customFormat="1" ht="12" customHeight="1">
      <c r="A47" s="45" t="s">
        <v>186</v>
      </c>
      <c r="B47" s="46" t="s">
        <v>187</v>
      </c>
      <c r="C47" s="44"/>
      <c r="D47" s="44"/>
      <c r="E47" s="44">
        <v>1586000</v>
      </c>
    </row>
    <row r="48" spans="1:5" s="40" customFormat="1" ht="12" customHeight="1">
      <c r="A48" s="45" t="s">
        <v>188</v>
      </c>
      <c r="B48" s="46" t="s">
        <v>189</v>
      </c>
      <c r="C48" s="44">
        <v>85000</v>
      </c>
      <c r="D48" s="44">
        <v>85000</v>
      </c>
      <c r="E48" s="44">
        <v>236</v>
      </c>
    </row>
    <row r="49" spans="1:5" s="40" customFormat="1" ht="12" customHeight="1">
      <c r="A49" s="45" t="s">
        <v>190</v>
      </c>
      <c r="B49" s="46" t="s">
        <v>191</v>
      </c>
      <c r="C49" s="62"/>
      <c r="D49" s="62"/>
      <c r="E49" s="44">
        <v>848</v>
      </c>
    </row>
    <row r="50" spans="1:5" s="40" customFormat="1" ht="12" customHeight="1">
      <c r="A50" s="48" t="s">
        <v>192</v>
      </c>
      <c r="B50" s="58" t="s">
        <v>193</v>
      </c>
      <c r="C50" s="63"/>
      <c r="D50" s="63"/>
      <c r="E50" s="143"/>
    </row>
    <row r="51" spans="1:5" s="40" customFormat="1" ht="12" customHeight="1">
      <c r="A51" s="48" t="s">
        <v>194</v>
      </c>
      <c r="B51" s="49" t="s">
        <v>195</v>
      </c>
      <c r="C51" s="63"/>
      <c r="D51" s="63">
        <v>1125400</v>
      </c>
      <c r="E51" s="44">
        <v>625119</v>
      </c>
    </row>
    <row r="52" spans="1:5" s="40" customFormat="1" ht="12" customHeight="1">
      <c r="A52" s="36" t="s">
        <v>196</v>
      </c>
      <c r="B52" s="37" t="s">
        <v>197</v>
      </c>
      <c r="C52" s="38">
        <f>SUM(C53:C57)</f>
        <v>0</v>
      </c>
      <c r="D52" s="38">
        <f>SUM(D53:D57)</f>
        <v>0</v>
      </c>
      <c r="E52" s="39">
        <f>SUM(E53:E57)</f>
        <v>0</v>
      </c>
    </row>
    <row r="53" spans="1:5" s="40" customFormat="1" ht="12" customHeight="1">
      <c r="A53" s="41" t="s">
        <v>198</v>
      </c>
      <c r="B53" s="42" t="s">
        <v>199</v>
      </c>
      <c r="C53" s="65"/>
      <c r="D53" s="65"/>
      <c r="E53" s="144"/>
    </row>
    <row r="54" spans="1:5" s="40" customFormat="1" ht="12" customHeight="1">
      <c r="A54" s="45" t="s">
        <v>200</v>
      </c>
      <c r="B54" s="46" t="s">
        <v>201</v>
      </c>
      <c r="C54" s="66"/>
      <c r="D54" s="66"/>
      <c r="E54" s="68"/>
    </row>
    <row r="55" spans="1:5" s="40" customFormat="1" ht="12" customHeight="1">
      <c r="A55" s="45" t="s">
        <v>202</v>
      </c>
      <c r="B55" s="46" t="s">
        <v>203</v>
      </c>
      <c r="C55" s="66"/>
      <c r="D55" s="66"/>
      <c r="E55" s="68"/>
    </row>
    <row r="56" spans="1:5" s="40" customFormat="1" ht="12" customHeight="1">
      <c r="A56" s="45" t="s">
        <v>204</v>
      </c>
      <c r="B56" s="46" t="s">
        <v>205</v>
      </c>
      <c r="C56" s="66"/>
      <c r="D56" s="66"/>
      <c r="E56" s="68"/>
    </row>
    <row r="57" spans="1:5" s="40" customFormat="1" ht="12" customHeight="1">
      <c r="A57" s="48" t="s">
        <v>206</v>
      </c>
      <c r="B57" s="49" t="s">
        <v>207</v>
      </c>
      <c r="C57" s="67"/>
      <c r="D57" s="67"/>
      <c r="E57" s="143"/>
    </row>
    <row r="58" spans="1:5" s="40" customFormat="1" ht="12" customHeight="1">
      <c r="A58" s="36" t="s">
        <v>208</v>
      </c>
      <c r="B58" s="37" t="s">
        <v>209</v>
      </c>
      <c r="C58" s="38">
        <f>SUM(C59:C61)</f>
        <v>1500000</v>
      </c>
      <c r="D58" s="38">
        <f>SUM(D59:D61)</f>
        <v>1500000</v>
      </c>
      <c r="E58" s="39">
        <f>SUM(E59:E61)</f>
        <v>2125400</v>
      </c>
    </row>
    <row r="59" spans="1:5" s="40" customFormat="1" ht="12" customHeight="1">
      <c r="A59" s="41" t="s">
        <v>210</v>
      </c>
      <c r="B59" s="42" t="s">
        <v>211</v>
      </c>
      <c r="C59" s="43"/>
      <c r="D59" s="52"/>
      <c r="E59" s="53"/>
    </row>
    <row r="60" spans="1:5" s="40" customFormat="1" ht="12" customHeight="1">
      <c r="A60" s="45" t="s">
        <v>212</v>
      </c>
      <c r="B60" s="46" t="s">
        <v>213</v>
      </c>
      <c r="C60" s="44"/>
      <c r="D60" s="54"/>
      <c r="E60" s="50"/>
    </row>
    <row r="61" spans="1:5" s="40" customFormat="1" ht="12" customHeight="1">
      <c r="A61" s="45" t="s">
        <v>214</v>
      </c>
      <c r="B61" s="46" t="s">
        <v>215</v>
      </c>
      <c r="C61" s="44">
        <v>1500000</v>
      </c>
      <c r="D61" s="44">
        <v>1500000</v>
      </c>
      <c r="E61" s="44">
        <v>2125400</v>
      </c>
    </row>
    <row r="62" spans="1:5" s="40" customFormat="1" ht="12" customHeight="1">
      <c r="A62" s="48" t="s">
        <v>216</v>
      </c>
      <c r="B62" s="49" t="s">
        <v>217</v>
      </c>
      <c r="C62" s="55"/>
      <c r="D62" s="56"/>
      <c r="E62" s="57"/>
    </row>
    <row r="63" spans="1:5" s="40" customFormat="1" ht="12" customHeight="1">
      <c r="A63" s="36" t="s">
        <v>218</v>
      </c>
      <c r="B63" s="51" t="s">
        <v>219</v>
      </c>
      <c r="C63" s="38">
        <f>SUM(C64:C66)</f>
        <v>6064053</v>
      </c>
      <c r="D63" s="38">
        <f>SUM(D64:D66)</f>
        <v>6064053</v>
      </c>
      <c r="E63" s="39">
        <f>SUM(E64:E66)</f>
        <v>1619356</v>
      </c>
    </row>
    <row r="64" spans="1:5" s="40" customFormat="1" ht="12" customHeight="1">
      <c r="A64" s="41" t="s">
        <v>220</v>
      </c>
      <c r="B64" s="42" t="s">
        <v>221</v>
      </c>
      <c r="C64" s="62"/>
      <c r="D64" s="66"/>
      <c r="E64" s="68"/>
    </row>
    <row r="65" spans="1:5" s="40" customFormat="1" ht="12" customHeight="1">
      <c r="A65" s="45" t="s">
        <v>222</v>
      </c>
      <c r="B65" s="46" t="s">
        <v>223</v>
      </c>
      <c r="C65" s="62">
        <v>6064053</v>
      </c>
      <c r="D65" s="62">
        <v>6064053</v>
      </c>
      <c r="E65" s="62">
        <v>1619356</v>
      </c>
    </row>
    <row r="66" spans="1:5" s="40" customFormat="1" ht="12" customHeight="1">
      <c r="A66" s="45" t="s">
        <v>224</v>
      </c>
      <c r="B66" s="46" t="s">
        <v>225</v>
      </c>
      <c r="C66" s="62"/>
      <c r="D66" s="66"/>
      <c r="E66" s="145"/>
    </row>
    <row r="67" spans="1:5" s="40" customFormat="1" ht="12" customHeight="1">
      <c r="A67" s="48" t="s">
        <v>226</v>
      </c>
      <c r="B67" s="49" t="s">
        <v>227</v>
      </c>
      <c r="C67" s="62"/>
      <c r="D67" s="66"/>
      <c r="E67" s="68"/>
    </row>
    <row r="68" spans="1:5" s="40" customFormat="1" ht="12" customHeight="1">
      <c r="A68" s="69" t="s">
        <v>228</v>
      </c>
      <c r="B68" s="37" t="s">
        <v>229</v>
      </c>
      <c r="C68" s="59">
        <f>+C11+C18+C25+C32+C40+C52+C58+C63</f>
        <v>522962362</v>
      </c>
      <c r="D68" s="59">
        <f>+D11+D18+D25+D32+D40+D52+D58+D63</f>
        <v>454827724</v>
      </c>
      <c r="E68" s="60">
        <f>+E11+E18+E25+E32+E40+E52+E58+E63</f>
        <v>448378292</v>
      </c>
    </row>
    <row r="69" spans="1:5" s="40" customFormat="1" ht="12" customHeight="1">
      <c r="A69" s="70" t="s">
        <v>230</v>
      </c>
      <c r="B69" s="51" t="s">
        <v>231</v>
      </c>
      <c r="C69" s="38">
        <f>SUM(C70:C72)</f>
        <v>0</v>
      </c>
      <c r="D69" s="38">
        <f>SUM(D70:D72)</f>
        <v>0</v>
      </c>
      <c r="E69" s="39">
        <f>SUM(E70:E72)</f>
        <v>0</v>
      </c>
    </row>
    <row r="70" spans="1:5" s="40" customFormat="1" ht="12" customHeight="1">
      <c r="A70" s="41" t="s">
        <v>232</v>
      </c>
      <c r="B70" s="42" t="s">
        <v>233</v>
      </c>
      <c r="C70" s="66"/>
      <c r="D70" s="66"/>
      <c r="E70" s="68"/>
    </row>
    <row r="71" spans="1:5" s="40" customFormat="1" ht="12" customHeight="1">
      <c r="A71" s="45" t="s">
        <v>234</v>
      </c>
      <c r="B71" s="46" t="s">
        <v>235</v>
      </c>
      <c r="C71" s="66"/>
      <c r="D71" s="66"/>
      <c r="E71" s="68"/>
    </row>
    <row r="72" spans="1:5" s="40" customFormat="1" ht="12" customHeight="1">
      <c r="A72" s="48" t="s">
        <v>236</v>
      </c>
      <c r="B72" s="71" t="s">
        <v>237</v>
      </c>
      <c r="C72" s="66"/>
      <c r="D72" s="66"/>
      <c r="E72" s="68"/>
    </row>
    <row r="73" spans="1:5" s="40" customFormat="1" ht="12" customHeight="1">
      <c r="A73" s="70" t="s">
        <v>238</v>
      </c>
      <c r="B73" s="51" t="s">
        <v>239</v>
      </c>
      <c r="C73" s="38">
        <f>SUM(C74:C77)</f>
        <v>0</v>
      </c>
      <c r="D73" s="38">
        <f>SUM(D74:D77)</f>
        <v>0</v>
      </c>
      <c r="E73" s="39">
        <f>SUM(E74:E77)</f>
        <v>0</v>
      </c>
    </row>
    <row r="74" spans="1:5" s="40" customFormat="1" ht="12" customHeight="1">
      <c r="A74" s="41" t="s">
        <v>240</v>
      </c>
      <c r="B74" s="72" t="s">
        <v>241</v>
      </c>
      <c r="C74" s="66"/>
      <c r="D74" s="66"/>
      <c r="E74" s="68"/>
    </row>
    <row r="75" spans="1:5" s="40" customFormat="1" ht="12" customHeight="1">
      <c r="A75" s="45" t="s">
        <v>242</v>
      </c>
      <c r="B75" s="72" t="s">
        <v>243</v>
      </c>
      <c r="C75" s="66"/>
      <c r="D75" s="66"/>
      <c r="E75" s="68"/>
    </row>
    <row r="76" spans="1:5" s="40" customFormat="1" ht="12" customHeight="1">
      <c r="A76" s="45" t="s">
        <v>244</v>
      </c>
      <c r="B76" s="72" t="s">
        <v>245</v>
      </c>
      <c r="C76" s="66"/>
      <c r="D76" s="66"/>
      <c r="E76" s="68"/>
    </row>
    <row r="77" spans="1:5" s="40" customFormat="1" ht="12" customHeight="1">
      <c r="A77" s="48" t="s">
        <v>246</v>
      </c>
      <c r="B77" s="73" t="s">
        <v>247</v>
      </c>
      <c r="C77" s="66"/>
      <c r="D77" s="66"/>
      <c r="E77" s="68"/>
    </row>
    <row r="78" spans="1:5" s="40" customFormat="1" ht="12" customHeight="1">
      <c r="A78" s="70" t="s">
        <v>248</v>
      </c>
      <c r="B78" s="51" t="s">
        <v>249</v>
      </c>
      <c r="C78" s="38">
        <f>SUM(C79:C80)</f>
        <v>183872589</v>
      </c>
      <c r="D78" s="38">
        <f>SUM(D79:D80)</f>
        <v>183872589</v>
      </c>
      <c r="E78" s="39">
        <f>SUM(E79:E80)</f>
        <v>183872589</v>
      </c>
    </row>
    <row r="79" spans="1:5" s="40" customFormat="1" ht="12" customHeight="1">
      <c r="A79" s="41" t="s">
        <v>250</v>
      </c>
      <c r="B79" s="42" t="s">
        <v>251</v>
      </c>
      <c r="C79" s="62">
        <v>183872589</v>
      </c>
      <c r="D79" s="62">
        <v>183872589</v>
      </c>
      <c r="E79" s="62">
        <v>183872589</v>
      </c>
    </row>
    <row r="80" spans="1:5" s="40" customFormat="1" ht="12" customHeight="1">
      <c r="A80" s="48" t="s">
        <v>252</v>
      </c>
      <c r="B80" s="49" t="s">
        <v>253</v>
      </c>
      <c r="C80" s="66"/>
      <c r="D80" s="66"/>
      <c r="E80" s="68"/>
    </row>
    <row r="81" spans="1:5" s="40" customFormat="1" ht="12" customHeight="1">
      <c r="A81" s="70" t="s">
        <v>254</v>
      </c>
      <c r="B81" s="51" t="s">
        <v>255</v>
      </c>
      <c r="C81" s="38">
        <f>SUM(C82:C84)</f>
        <v>0</v>
      </c>
      <c r="D81" s="38">
        <f>SUM(D82:D84)</f>
        <v>4112627</v>
      </c>
      <c r="E81" s="39">
        <f>SUM(E82:E84)</f>
        <v>4112627</v>
      </c>
    </row>
    <row r="82" spans="1:5" s="40" customFormat="1" ht="12" customHeight="1">
      <c r="A82" s="41" t="s">
        <v>256</v>
      </c>
      <c r="B82" s="42" t="s">
        <v>257</v>
      </c>
      <c r="C82" s="66"/>
      <c r="D82" s="62">
        <v>4112627</v>
      </c>
      <c r="E82" s="62">
        <v>4112627</v>
      </c>
    </row>
    <row r="83" spans="1:5" s="40" customFormat="1" ht="12" customHeight="1">
      <c r="A83" s="45" t="s">
        <v>258</v>
      </c>
      <c r="B83" s="46" t="s">
        <v>259</v>
      </c>
      <c r="C83" s="66"/>
      <c r="D83" s="66"/>
      <c r="E83" s="68"/>
    </row>
    <row r="84" spans="1:5" s="40" customFormat="1" ht="12" customHeight="1">
      <c r="A84" s="48" t="s">
        <v>260</v>
      </c>
      <c r="B84" s="49" t="s">
        <v>261</v>
      </c>
      <c r="C84" s="66"/>
      <c r="D84" s="66"/>
      <c r="E84" s="68"/>
    </row>
    <row r="85" spans="1:5" s="40" customFormat="1" ht="12" customHeight="1">
      <c r="A85" s="70" t="s">
        <v>262</v>
      </c>
      <c r="B85" s="51" t="s">
        <v>263</v>
      </c>
      <c r="C85" s="38">
        <f>SUM(C86:C89)</f>
        <v>0</v>
      </c>
      <c r="D85" s="38">
        <f>SUM(D86:D89)</f>
        <v>0</v>
      </c>
      <c r="E85" s="39">
        <f>SUM(E86:E89)</f>
        <v>0</v>
      </c>
    </row>
    <row r="86" spans="1:5" s="40" customFormat="1" ht="12" customHeight="1">
      <c r="A86" s="75" t="s">
        <v>264</v>
      </c>
      <c r="B86" s="42" t="s">
        <v>265</v>
      </c>
      <c r="C86" s="66"/>
      <c r="D86" s="66"/>
      <c r="E86" s="68"/>
    </row>
    <row r="87" spans="1:5" s="40" customFormat="1" ht="12" customHeight="1">
      <c r="A87" s="76" t="s">
        <v>266</v>
      </c>
      <c r="B87" s="46" t="s">
        <v>267</v>
      </c>
      <c r="C87" s="66"/>
      <c r="D87" s="66"/>
      <c r="E87" s="68"/>
    </row>
    <row r="88" spans="1:5" s="40" customFormat="1" ht="12" customHeight="1">
      <c r="A88" s="76" t="s">
        <v>268</v>
      </c>
      <c r="B88" s="46" t="s">
        <v>269</v>
      </c>
      <c r="C88" s="66"/>
      <c r="D88" s="66"/>
      <c r="E88" s="68"/>
    </row>
    <row r="89" spans="1:5" s="40" customFormat="1" ht="12" customHeight="1">
      <c r="A89" s="77" t="s">
        <v>270</v>
      </c>
      <c r="B89" s="49" t="s">
        <v>271</v>
      </c>
      <c r="C89" s="66"/>
      <c r="D89" s="66"/>
      <c r="E89" s="68"/>
    </row>
    <row r="90" spans="1:5" s="40" customFormat="1" ht="12" customHeight="1">
      <c r="A90" s="70" t="s">
        <v>272</v>
      </c>
      <c r="B90" s="51" t="s">
        <v>273</v>
      </c>
      <c r="C90" s="78"/>
      <c r="D90" s="78"/>
      <c r="E90" s="79"/>
    </row>
    <row r="91" spans="1:5" s="40" customFormat="1" ht="13.5" customHeight="1">
      <c r="A91" s="70" t="s">
        <v>274</v>
      </c>
      <c r="B91" s="51" t="s">
        <v>275</v>
      </c>
      <c r="C91" s="78"/>
      <c r="D91" s="78"/>
      <c r="E91" s="79"/>
    </row>
    <row r="92" spans="1:5" s="40" customFormat="1" ht="15.75" customHeight="1">
      <c r="A92" s="70" t="s">
        <v>276</v>
      </c>
      <c r="B92" s="80" t="s">
        <v>277</v>
      </c>
      <c r="C92" s="59">
        <f>+C69+C73+C78+C81+C85+C91+C90</f>
        <v>183872589</v>
      </c>
      <c r="D92" s="59">
        <f>+D69+D73+D78+D81+D85+D91+D90</f>
        <v>187985216</v>
      </c>
      <c r="E92" s="60">
        <f>+E69+E73+E78+E81+E85+E91+E90</f>
        <v>187985216</v>
      </c>
    </row>
    <row r="93" spans="1:5" s="40" customFormat="1" ht="25.5" customHeight="1">
      <c r="A93" s="81" t="s">
        <v>278</v>
      </c>
      <c r="B93" s="82" t="s">
        <v>279</v>
      </c>
      <c r="C93" s="59">
        <f>+C68+C92</f>
        <v>706834951</v>
      </c>
      <c r="D93" s="59">
        <f>+D68+D92</f>
        <v>642812940</v>
      </c>
      <c r="E93" s="60">
        <f>+E68+E92</f>
        <v>636363508</v>
      </c>
    </row>
    <row r="94" spans="1:3" s="40" customFormat="1" ht="15" customHeight="1">
      <c r="A94" s="83"/>
      <c r="B94" s="84"/>
      <c r="C94" s="85"/>
    </row>
    <row r="95" spans="1:5" ht="16.5" customHeight="1">
      <c r="A95" s="815" t="s">
        <v>280</v>
      </c>
      <c r="B95" s="815"/>
      <c r="C95" s="815"/>
      <c r="D95" s="815"/>
      <c r="E95" s="815"/>
    </row>
    <row r="96" spans="1:5" s="87" customFormat="1" ht="16.5" customHeight="1">
      <c r="A96" s="816" t="s">
        <v>281</v>
      </c>
      <c r="B96" s="816"/>
      <c r="C96" s="86"/>
      <c r="E96" s="86" t="str">
        <f>E7</f>
        <v> Forintban!</v>
      </c>
    </row>
    <row r="97" spans="1:5" ht="15.75" customHeight="1">
      <c r="A97" s="812" t="s">
        <v>105</v>
      </c>
      <c r="B97" s="813" t="s">
        <v>282</v>
      </c>
      <c r="C97" s="814" t="str">
        <f>+CONCATENATE(LEFT(Z_ÖSSZEFÜGGÉSEK!A6,4),". évi")</f>
        <v>2018. évi</v>
      </c>
      <c r="D97" s="814"/>
      <c r="E97" s="814"/>
    </row>
    <row r="98" spans="1:5" ht="24">
      <c r="A98" s="812"/>
      <c r="B98" s="813"/>
      <c r="C98" s="29" t="s">
        <v>107</v>
      </c>
      <c r="D98" s="30" t="s">
        <v>108</v>
      </c>
      <c r="E98" s="31" t="str">
        <f>CONCATENATE(E9)</f>
        <v>2018. XII. 31.
teljesítés</v>
      </c>
    </row>
    <row r="99" spans="1:5" s="35" customFormat="1" ht="12" customHeight="1">
      <c r="A99" s="88" t="s">
        <v>109</v>
      </c>
      <c r="B99" s="89" t="s">
        <v>110</v>
      </c>
      <c r="C99" s="89" t="s">
        <v>111</v>
      </c>
      <c r="D99" s="89" t="s">
        <v>112</v>
      </c>
      <c r="E99" s="90" t="s">
        <v>113</v>
      </c>
    </row>
    <row r="100" spans="1:5" ht="12" customHeight="1">
      <c r="A100" s="91" t="s">
        <v>114</v>
      </c>
      <c r="B100" s="92" t="s">
        <v>283</v>
      </c>
      <c r="C100" s="93">
        <f>C101+C102+C103+C104+C105+C118</f>
        <v>488225629</v>
      </c>
      <c r="D100" s="93">
        <f>D101+D102+D103+D104+D105+D118</f>
        <v>496701871</v>
      </c>
      <c r="E100" s="94">
        <f>E101+E102+E103+E104+E105+E118</f>
        <v>357114466</v>
      </c>
    </row>
    <row r="101" spans="1:5" ht="12" customHeight="1">
      <c r="A101" s="95" t="s">
        <v>116</v>
      </c>
      <c r="B101" s="96" t="s">
        <v>284</v>
      </c>
      <c r="C101" s="97">
        <v>139645292</v>
      </c>
      <c r="D101" s="97">
        <v>144716719</v>
      </c>
      <c r="E101" s="97">
        <v>129309309</v>
      </c>
    </row>
    <row r="102" spans="1:5" ht="12" customHeight="1">
      <c r="A102" s="45" t="s">
        <v>118</v>
      </c>
      <c r="B102" s="99" t="s">
        <v>285</v>
      </c>
      <c r="C102" s="44">
        <v>28324309</v>
      </c>
      <c r="D102" s="44">
        <v>29311972</v>
      </c>
      <c r="E102" s="50">
        <v>26347478</v>
      </c>
    </row>
    <row r="103" spans="1:5" ht="12" customHeight="1">
      <c r="A103" s="45" t="s">
        <v>120</v>
      </c>
      <c r="B103" s="99" t="s">
        <v>286</v>
      </c>
      <c r="C103" s="55">
        <v>161983668</v>
      </c>
      <c r="D103" s="55">
        <v>181113100</v>
      </c>
      <c r="E103" s="57">
        <v>131130740</v>
      </c>
    </row>
    <row r="104" spans="1:5" ht="12" customHeight="1">
      <c r="A104" s="45" t="s">
        <v>122</v>
      </c>
      <c r="B104" s="100" t="s">
        <v>287</v>
      </c>
      <c r="C104" s="55">
        <v>10646000</v>
      </c>
      <c r="D104" s="55">
        <v>12089760</v>
      </c>
      <c r="E104" s="57">
        <v>8152744</v>
      </c>
    </row>
    <row r="105" spans="1:8" ht="12" customHeight="1">
      <c r="A105" s="45" t="s">
        <v>288</v>
      </c>
      <c r="B105" s="101" t="s">
        <v>289</v>
      </c>
      <c r="C105" s="55">
        <v>48453208</v>
      </c>
      <c r="D105" s="55">
        <v>63715310</v>
      </c>
      <c r="E105" s="57">
        <f>'Z_1.1.sz.mell.'!E105-'Z_1.3.sz.mell.'!E105</f>
        <v>62174195</v>
      </c>
      <c r="H105" s="146"/>
    </row>
    <row r="106" spans="1:5" ht="12" customHeight="1">
      <c r="A106" s="45" t="s">
        <v>126</v>
      </c>
      <c r="B106" s="99" t="s">
        <v>290</v>
      </c>
      <c r="C106" s="55">
        <v>1702797</v>
      </c>
      <c r="D106" s="55">
        <v>2842770</v>
      </c>
      <c r="E106" s="57">
        <v>2842770</v>
      </c>
    </row>
    <row r="107" spans="1:5" ht="12" customHeight="1">
      <c r="A107" s="45" t="s">
        <v>291</v>
      </c>
      <c r="B107" s="102" t="s">
        <v>292</v>
      </c>
      <c r="C107" s="55"/>
      <c r="D107" s="55"/>
      <c r="E107" s="57"/>
    </row>
    <row r="108" spans="1:5" ht="12" customHeight="1">
      <c r="A108" s="45" t="s">
        <v>293</v>
      </c>
      <c r="B108" s="102" t="s">
        <v>294</v>
      </c>
      <c r="C108" s="55"/>
      <c r="D108" s="55"/>
      <c r="E108" s="57"/>
    </row>
    <row r="109" spans="1:5" ht="12" customHeight="1">
      <c r="A109" s="45" t="s">
        <v>295</v>
      </c>
      <c r="B109" s="103" t="s">
        <v>296</v>
      </c>
      <c r="C109" s="55"/>
      <c r="D109" s="55"/>
      <c r="E109" s="57"/>
    </row>
    <row r="110" spans="1:5" ht="12" customHeight="1">
      <c r="A110" s="45" t="s">
        <v>297</v>
      </c>
      <c r="B110" s="104" t="s">
        <v>298</v>
      </c>
      <c r="C110" s="55"/>
      <c r="D110" s="55"/>
      <c r="E110" s="57"/>
    </row>
    <row r="111" spans="1:5" ht="12" customHeight="1">
      <c r="A111" s="45" t="s">
        <v>299</v>
      </c>
      <c r="B111" s="104" t="s">
        <v>300</v>
      </c>
      <c r="C111" s="55"/>
      <c r="D111" s="55"/>
      <c r="E111" s="57"/>
    </row>
    <row r="112" spans="1:5" ht="12" customHeight="1">
      <c r="A112" s="45" t="s">
        <v>301</v>
      </c>
      <c r="B112" s="103" t="s">
        <v>302</v>
      </c>
      <c r="C112" s="55">
        <v>34165411</v>
      </c>
      <c r="D112" s="55">
        <v>35011540</v>
      </c>
      <c r="E112" s="57">
        <v>34694425</v>
      </c>
    </row>
    <row r="113" spans="1:5" ht="12" customHeight="1">
      <c r="A113" s="45" t="s">
        <v>303</v>
      </c>
      <c r="B113" s="103" t="s">
        <v>304</v>
      </c>
      <c r="C113" s="55"/>
      <c r="D113" s="55"/>
      <c r="E113" s="57"/>
    </row>
    <row r="114" spans="1:5" ht="12" customHeight="1">
      <c r="A114" s="45" t="s">
        <v>305</v>
      </c>
      <c r="B114" s="104" t="s">
        <v>306</v>
      </c>
      <c r="C114" s="55"/>
      <c r="D114" s="55"/>
      <c r="E114" s="57"/>
    </row>
    <row r="115" spans="1:5" ht="12" customHeight="1">
      <c r="A115" s="105" t="s">
        <v>307</v>
      </c>
      <c r="B115" s="102" t="s">
        <v>308</v>
      </c>
      <c r="C115" s="55"/>
      <c r="D115" s="55"/>
      <c r="E115" s="57"/>
    </row>
    <row r="116" spans="1:5" ht="12" customHeight="1">
      <c r="A116" s="45" t="s">
        <v>309</v>
      </c>
      <c r="B116" s="102" t="s">
        <v>310</v>
      </c>
      <c r="C116" s="55"/>
      <c r="D116" s="55"/>
      <c r="E116" s="57"/>
    </row>
    <row r="117" spans="1:5" ht="12" customHeight="1">
      <c r="A117" s="48" t="s">
        <v>311</v>
      </c>
      <c r="B117" s="102" t="s">
        <v>312</v>
      </c>
      <c r="C117" s="55">
        <v>12585000</v>
      </c>
      <c r="D117" s="55">
        <v>25861000</v>
      </c>
      <c r="E117" s="57">
        <v>24637000</v>
      </c>
    </row>
    <row r="118" spans="1:5" ht="12" customHeight="1">
      <c r="A118" s="45" t="s">
        <v>313</v>
      </c>
      <c r="B118" s="100" t="s">
        <v>314</v>
      </c>
      <c r="C118" s="44">
        <v>99173152</v>
      </c>
      <c r="D118" s="44">
        <v>65755010</v>
      </c>
      <c r="E118" s="50"/>
    </row>
    <row r="119" spans="1:5" ht="12" customHeight="1">
      <c r="A119" s="45" t="s">
        <v>315</v>
      </c>
      <c r="B119" s="99" t="s">
        <v>316</v>
      </c>
      <c r="C119" s="44">
        <v>92872967</v>
      </c>
      <c r="D119" s="44">
        <v>59454825</v>
      </c>
      <c r="E119" s="50"/>
    </row>
    <row r="120" spans="1:5" ht="12" customHeight="1">
      <c r="A120" s="106" t="s">
        <v>317</v>
      </c>
      <c r="B120" s="107" t="s">
        <v>318</v>
      </c>
      <c r="C120" s="108">
        <v>6300185</v>
      </c>
      <c r="D120" s="108">
        <v>6300185</v>
      </c>
      <c r="E120" s="109">
        <v>6300185</v>
      </c>
    </row>
    <row r="121" spans="1:5" ht="12" customHeight="1">
      <c r="A121" s="110" t="s">
        <v>128</v>
      </c>
      <c r="B121" s="111" t="s">
        <v>319</v>
      </c>
      <c r="C121" s="112">
        <f>+C122+C124+C126</f>
        <v>215099727</v>
      </c>
      <c r="D121" s="38">
        <f>+D122+D124+D126</f>
        <v>160144311</v>
      </c>
      <c r="E121" s="113">
        <f>+E122+E124+E126</f>
        <v>134212820</v>
      </c>
    </row>
    <row r="122" spans="1:5" ht="12" customHeight="1">
      <c r="A122" s="41" t="s">
        <v>130</v>
      </c>
      <c r="B122" s="99" t="s">
        <v>320</v>
      </c>
      <c r="C122" s="54">
        <v>180960083</v>
      </c>
      <c r="D122" s="54">
        <v>93260404</v>
      </c>
      <c r="E122" s="53">
        <v>76346316</v>
      </c>
    </row>
    <row r="123" spans="1:5" ht="12" customHeight="1">
      <c r="A123" s="41" t="s">
        <v>132</v>
      </c>
      <c r="B123" s="114" t="s">
        <v>321</v>
      </c>
      <c r="C123" s="54">
        <v>143309282</v>
      </c>
      <c r="D123" s="54">
        <v>46041365</v>
      </c>
      <c r="E123" s="53">
        <v>44342865</v>
      </c>
    </row>
    <row r="124" spans="1:5" ht="12" customHeight="1">
      <c r="A124" s="41" t="s">
        <v>134</v>
      </c>
      <c r="B124" s="114" t="s">
        <v>322</v>
      </c>
      <c r="C124" s="54">
        <v>34139644</v>
      </c>
      <c r="D124" s="54">
        <v>66883907</v>
      </c>
      <c r="E124" s="50">
        <v>57866504</v>
      </c>
    </row>
    <row r="125" spans="1:5" ht="12" customHeight="1">
      <c r="A125" s="41" t="s">
        <v>136</v>
      </c>
      <c r="B125" s="114" t="s">
        <v>323</v>
      </c>
      <c r="C125" s="54"/>
      <c r="D125" s="54"/>
      <c r="E125" s="50"/>
    </row>
    <row r="126" spans="1:5" ht="12" customHeight="1">
      <c r="A126" s="41" t="s">
        <v>138</v>
      </c>
      <c r="B126" s="49" t="s">
        <v>324</v>
      </c>
      <c r="C126" s="54"/>
      <c r="D126" s="54"/>
      <c r="E126" s="50"/>
    </row>
    <row r="127" spans="1:5" ht="12" customHeight="1">
      <c r="A127" s="41" t="s">
        <v>140</v>
      </c>
      <c r="B127" s="47" t="s">
        <v>325</v>
      </c>
      <c r="C127" s="54"/>
      <c r="D127" s="118"/>
      <c r="E127" s="50"/>
    </row>
    <row r="128" spans="1:5" ht="12" customHeight="1">
      <c r="A128" s="41" t="s">
        <v>326</v>
      </c>
      <c r="B128" s="115" t="s">
        <v>327</v>
      </c>
      <c r="C128" s="54"/>
      <c r="D128" s="118"/>
      <c r="E128" s="50"/>
    </row>
    <row r="129" spans="1:5" ht="15.75">
      <c r="A129" s="41" t="s">
        <v>328</v>
      </c>
      <c r="B129" s="104" t="s">
        <v>300</v>
      </c>
      <c r="C129" s="54"/>
      <c r="D129" s="118"/>
      <c r="E129" s="50"/>
    </row>
    <row r="130" spans="1:5" ht="12" customHeight="1">
      <c r="A130" s="41" t="s">
        <v>329</v>
      </c>
      <c r="B130" s="104" t="s">
        <v>330</v>
      </c>
      <c r="C130" s="54"/>
      <c r="D130" s="118"/>
      <c r="E130" s="50"/>
    </row>
    <row r="131" spans="1:5" ht="12" customHeight="1">
      <c r="A131" s="41" t="s">
        <v>331</v>
      </c>
      <c r="B131" s="104" t="s">
        <v>332</v>
      </c>
      <c r="C131" s="54"/>
      <c r="D131" s="118"/>
      <c r="E131" s="50"/>
    </row>
    <row r="132" spans="1:5" ht="12" customHeight="1">
      <c r="A132" s="41" t="s">
        <v>333</v>
      </c>
      <c r="B132" s="104" t="s">
        <v>306</v>
      </c>
      <c r="C132" s="54"/>
      <c r="D132" s="118"/>
      <c r="E132" s="50"/>
    </row>
    <row r="133" spans="1:5" ht="12" customHeight="1">
      <c r="A133" s="41" t="s">
        <v>334</v>
      </c>
      <c r="B133" s="104" t="s">
        <v>335</v>
      </c>
      <c r="C133" s="54"/>
      <c r="D133" s="118"/>
      <c r="E133" s="50"/>
    </row>
    <row r="134" spans="1:5" ht="15.75">
      <c r="A134" s="105" t="s">
        <v>336</v>
      </c>
      <c r="B134" s="104" t="s">
        <v>337</v>
      </c>
      <c r="C134" s="56"/>
      <c r="D134" s="147"/>
      <c r="E134" s="57"/>
    </row>
    <row r="135" spans="1:5" ht="12" customHeight="1">
      <c r="A135" s="36" t="s">
        <v>142</v>
      </c>
      <c r="B135" s="116" t="s">
        <v>338</v>
      </c>
      <c r="C135" s="38">
        <f>+C100+C121</f>
        <v>703325356</v>
      </c>
      <c r="D135" s="117">
        <f>+D100+D121</f>
        <v>656846182</v>
      </c>
      <c r="E135" s="39">
        <f>+E100+E121</f>
        <v>491327286</v>
      </c>
    </row>
    <row r="136" spans="1:5" ht="12" customHeight="1">
      <c r="A136" s="36" t="s">
        <v>339</v>
      </c>
      <c r="B136" s="116" t="s">
        <v>340</v>
      </c>
      <c r="C136" s="38">
        <f>+C137+C138+C139</f>
        <v>0</v>
      </c>
      <c r="D136" s="117">
        <f>+D137+D138+D139</f>
        <v>0</v>
      </c>
      <c r="E136" s="39">
        <f>+E137+E138+E139</f>
        <v>0</v>
      </c>
    </row>
    <row r="137" spans="1:5" ht="12" customHeight="1">
      <c r="A137" s="41" t="s">
        <v>158</v>
      </c>
      <c r="B137" s="114" t="s">
        <v>341</v>
      </c>
      <c r="C137" s="54"/>
      <c r="D137" s="118"/>
      <c r="E137" s="50"/>
    </row>
    <row r="138" spans="1:5" ht="12" customHeight="1">
      <c r="A138" s="41" t="s">
        <v>160</v>
      </c>
      <c r="B138" s="114" t="s">
        <v>342</v>
      </c>
      <c r="C138" s="54"/>
      <c r="D138" s="118"/>
      <c r="E138" s="50"/>
    </row>
    <row r="139" spans="1:5" ht="12" customHeight="1">
      <c r="A139" s="105" t="s">
        <v>162</v>
      </c>
      <c r="B139" s="114" t="s">
        <v>343</v>
      </c>
      <c r="C139" s="54"/>
      <c r="D139" s="118"/>
      <c r="E139" s="50"/>
    </row>
    <row r="140" spans="1:5" ht="12" customHeight="1">
      <c r="A140" s="36" t="s">
        <v>172</v>
      </c>
      <c r="B140" s="116" t="s">
        <v>344</v>
      </c>
      <c r="C140" s="38">
        <f>SUM(C141:C146)</f>
        <v>0</v>
      </c>
      <c r="D140" s="117">
        <f>SUM(D141:D146)</f>
        <v>0</v>
      </c>
      <c r="E140" s="39">
        <f>SUM(E141:E146)</f>
        <v>0</v>
      </c>
    </row>
    <row r="141" spans="1:5" ht="12" customHeight="1">
      <c r="A141" s="41" t="s">
        <v>174</v>
      </c>
      <c r="B141" s="119" t="s">
        <v>345</v>
      </c>
      <c r="C141" s="54"/>
      <c r="D141" s="118"/>
      <c r="E141" s="50"/>
    </row>
    <row r="142" spans="1:5" ht="12" customHeight="1">
      <c r="A142" s="41" t="s">
        <v>176</v>
      </c>
      <c r="B142" s="119" t="s">
        <v>346</v>
      </c>
      <c r="C142" s="54"/>
      <c r="D142" s="118"/>
      <c r="E142" s="50"/>
    </row>
    <row r="143" spans="1:5" ht="12" customHeight="1">
      <c r="A143" s="41" t="s">
        <v>178</v>
      </c>
      <c r="B143" s="119" t="s">
        <v>347</v>
      </c>
      <c r="C143" s="54"/>
      <c r="D143" s="118"/>
      <c r="E143" s="50"/>
    </row>
    <row r="144" spans="1:5" ht="12" customHeight="1">
      <c r="A144" s="41" t="s">
        <v>180</v>
      </c>
      <c r="B144" s="119" t="s">
        <v>348</v>
      </c>
      <c r="C144" s="54"/>
      <c r="D144" s="118"/>
      <c r="E144" s="50"/>
    </row>
    <row r="145" spans="1:5" ht="12" customHeight="1">
      <c r="A145" s="41" t="s">
        <v>182</v>
      </c>
      <c r="B145" s="119" t="s">
        <v>349</v>
      </c>
      <c r="C145" s="54"/>
      <c r="D145" s="118"/>
      <c r="E145" s="50"/>
    </row>
    <row r="146" spans="1:5" ht="12" customHeight="1">
      <c r="A146" s="106" t="s">
        <v>184</v>
      </c>
      <c r="B146" s="120" t="s">
        <v>350</v>
      </c>
      <c r="C146" s="121"/>
      <c r="D146" s="122"/>
      <c r="E146" s="109"/>
    </row>
    <row r="147" spans="1:5" ht="12" customHeight="1">
      <c r="A147" s="36" t="s">
        <v>196</v>
      </c>
      <c r="B147" s="116" t="s">
        <v>351</v>
      </c>
      <c r="C147" s="59">
        <f>+C148+C149+C150+C151</f>
        <v>4052052</v>
      </c>
      <c r="D147" s="123">
        <f>+D148+D149+D150+D151</f>
        <v>4052052</v>
      </c>
      <c r="E147" s="60">
        <f>+E148+E149+E150+E151</f>
        <v>4052052</v>
      </c>
    </row>
    <row r="148" spans="1:5" ht="12" customHeight="1">
      <c r="A148" s="41" t="s">
        <v>198</v>
      </c>
      <c r="B148" s="119" t="s">
        <v>352</v>
      </c>
      <c r="C148" s="54"/>
      <c r="D148" s="118"/>
      <c r="E148" s="50"/>
    </row>
    <row r="149" spans="1:5" ht="12" customHeight="1">
      <c r="A149" s="41" t="s">
        <v>200</v>
      </c>
      <c r="B149" s="119" t="s">
        <v>353</v>
      </c>
      <c r="C149" s="50">
        <v>4052052</v>
      </c>
      <c r="D149" s="118">
        <v>4052052</v>
      </c>
      <c r="E149" s="50">
        <v>4052052</v>
      </c>
    </row>
    <row r="150" spans="1:5" ht="12" customHeight="1">
      <c r="A150" s="41" t="s">
        <v>202</v>
      </c>
      <c r="B150" s="119" t="s">
        <v>354</v>
      </c>
      <c r="C150" s="54"/>
      <c r="D150" s="118"/>
      <c r="E150" s="50"/>
    </row>
    <row r="151" spans="1:5" ht="12" customHeight="1">
      <c r="A151" s="105" t="s">
        <v>204</v>
      </c>
      <c r="B151" s="124" t="s">
        <v>355</v>
      </c>
      <c r="C151" s="54"/>
      <c r="D151" s="118"/>
      <c r="E151" s="50"/>
    </row>
    <row r="152" spans="1:5" ht="12" customHeight="1">
      <c r="A152" s="36" t="s">
        <v>356</v>
      </c>
      <c r="B152" s="116" t="s">
        <v>357</v>
      </c>
      <c r="C152" s="125">
        <f>SUM(C153:C157)</f>
        <v>0</v>
      </c>
      <c r="D152" s="126">
        <f>SUM(D153:D157)</f>
        <v>0</v>
      </c>
      <c r="E152" s="127">
        <f>SUM(E153:E157)</f>
        <v>0</v>
      </c>
    </row>
    <row r="153" spans="1:5" ht="12" customHeight="1">
      <c r="A153" s="41" t="s">
        <v>210</v>
      </c>
      <c r="B153" s="119" t="s">
        <v>358</v>
      </c>
      <c r="C153" s="54"/>
      <c r="D153" s="118"/>
      <c r="E153" s="50"/>
    </row>
    <row r="154" spans="1:5" ht="12" customHeight="1">
      <c r="A154" s="41" t="s">
        <v>212</v>
      </c>
      <c r="B154" s="119" t="s">
        <v>359</v>
      </c>
      <c r="C154" s="54"/>
      <c r="D154" s="118"/>
      <c r="E154" s="50"/>
    </row>
    <row r="155" spans="1:5" ht="12" customHeight="1">
      <c r="A155" s="41" t="s">
        <v>214</v>
      </c>
      <c r="B155" s="119" t="s">
        <v>360</v>
      </c>
      <c r="C155" s="54"/>
      <c r="D155" s="118"/>
      <c r="E155" s="50"/>
    </row>
    <row r="156" spans="1:5" ht="12" customHeight="1">
      <c r="A156" s="41" t="s">
        <v>216</v>
      </c>
      <c r="B156" s="119" t="s">
        <v>361</v>
      </c>
      <c r="C156" s="54"/>
      <c r="D156" s="118"/>
      <c r="E156" s="50"/>
    </row>
    <row r="157" spans="1:5" ht="12" customHeight="1">
      <c r="A157" s="41" t="s">
        <v>362</v>
      </c>
      <c r="B157" s="119" t="s">
        <v>363</v>
      </c>
      <c r="C157" s="54"/>
      <c r="D157" s="118"/>
      <c r="E157" s="50"/>
    </row>
    <row r="158" spans="1:5" ht="12" customHeight="1">
      <c r="A158" s="36" t="s">
        <v>218</v>
      </c>
      <c r="B158" s="116" t="s">
        <v>364</v>
      </c>
      <c r="C158" s="128"/>
      <c r="D158" s="129"/>
      <c r="E158" s="130"/>
    </row>
    <row r="159" spans="1:5" ht="12" customHeight="1">
      <c r="A159" s="36" t="s">
        <v>365</v>
      </c>
      <c r="B159" s="116" t="s">
        <v>366</v>
      </c>
      <c r="C159" s="128"/>
      <c r="D159" s="129"/>
      <c r="E159" s="130"/>
    </row>
    <row r="160" spans="1:9" ht="15" customHeight="1">
      <c r="A160" s="36" t="s">
        <v>367</v>
      </c>
      <c r="B160" s="116" t="s">
        <v>368</v>
      </c>
      <c r="C160" s="131">
        <f>+C136+C140+C147+C152+C158+C159</f>
        <v>4052052</v>
      </c>
      <c r="D160" s="132">
        <f>+D136+D140+D147+D152+D158+D159</f>
        <v>4052052</v>
      </c>
      <c r="E160" s="133">
        <f>+E136+E140+E147+E152+E158+E159</f>
        <v>4052052</v>
      </c>
      <c r="F160" s="134"/>
      <c r="G160" s="135"/>
      <c r="H160" s="135"/>
      <c r="I160" s="135"/>
    </row>
    <row r="161" spans="1:5" s="40" customFormat="1" ht="12.75" customHeight="1">
      <c r="A161" s="136" t="s">
        <v>369</v>
      </c>
      <c r="B161" s="137" t="s">
        <v>370</v>
      </c>
      <c r="C161" s="131">
        <f>+C135+C160</f>
        <v>707377408</v>
      </c>
      <c r="D161" s="132">
        <f>+D135+D160</f>
        <v>660898234</v>
      </c>
      <c r="E161" s="133">
        <f>+E135+E160</f>
        <v>495379338</v>
      </c>
    </row>
    <row r="162" spans="3:4" ht="15.75">
      <c r="C162" s="139">
        <f>C93-C161</f>
        <v>-542457</v>
      </c>
      <c r="D162" s="139">
        <f>D93-D161</f>
        <v>-18085294</v>
      </c>
    </row>
    <row r="163" spans="1:5" ht="15.75">
      <c r="A163" s="810" t="s">
        <v>371</v>
      </c>
      <c r="B163" s="810"/>
      <c r="C163" s="810"/>
      <c r="D163" s="810"/>
      <c r="E163" s="810"/>
    </row>
    <row r="164" spans="1:5" ht="15" customHeight="1">
      <c r="A164" s="811" t="s">
        <v>372</v>
      </c>
      <c r="B164" s="811"/>
      <c r="C164" s="140"/>
      <c r="E164" s="140" t="str">
        <f>E96</f>
        <v> Forintban!</v>
      </c>
    </row>
    <row r="165" spans="1:5" ht="25.5" customHeight="1">
      <c r="A165" s="36">
        <v>1</v>
      </c>
      <c r="B165" s="141" t="s">
        <v>373</v>
      </c>
      <c r="C165" s="142">
        <f>+C68-C135</f>
        <v>-180362994</v>
      </c>
      <c r="D165" s="38">
        <f>+D68-D135</f>
        <v>-202018458</v>
      </c>
      <c r="E165" s="39">
        <f>+E68-E135</f>
        <v>-42948994</v>
      </c>
    </row>
    <row r="166" spans="1:5" ht="32.25" customHeight="1">
      <c r="A166" s="36" t="s">
        <v>128</v>
      </c>
      <c r="B166" s="141" t="s">
        <v>374</v>
      </c>
      <c r="C166" s="38">
        <f>+C92-C160</f>
        <v>179820537</v>
      </c>
      <c r="D166" s="38">
        <f>+D92-D160</f>
        <v>183933164</v>
      </c>
      <c r="E166" s="39">
        <f>+E92-E160</f>
        <v>183933164</v>
      </c>
    </row>
  </sheetData>
  <sheetProtection selectLockedCells="1" selectUnlockedCells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4444444444444" right="0.6694444444444444" top="0.8659722222222223" bottom="0.8659722222222223" header="0.5118055555555555" footer="0.5118055555555555"/>
  <pageSetup horizontalDpi="300" verticalDpi="300" orientation="portrait" paperSize="9" scale="72"/>
  <rowBreaks count="2" manualBreakCount="2">
    <brk id="68" max="255" man="1"/>
    <brk id="146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I18" sqref="I18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47" t="str">
        <f>CONCATENATE("6.10. melléklet ",Z_ALAPADATOK!A7," ",Z_ALAPADATOK!B7," ",Z_ALAPADATOK!C7," ",Z_ALAPADATOK!D7," ",Z_ALAPADATOK!E7," ",Z_ALAPADATOK!F7," ",Z_ALAPADATOK!G7," ",Z_ALAPADATOK!H7)</f>
        <v>6.10. melléklet a … / 2019. ( … ) önkormányzati rendelethez</v>
      </c>
      <c r="C1" s="847"/>
      <c r="D1" s="847"/>
      <c r="E1" s="847"/>
    </row>
    <row r="2" spans="1:5" s="404" customFormat="1" ht="25.5" customHeight="1">
      <c r="A2" s="402" t="s">
        <v>596</v>
      </c>
      <c r="B2" s="850" t="e">
        <f>CONCATENATE(Z_ALAPADATOK!#REF!)</f>
        <v>#REF!</v>
      </c>
      <c r="C2" s="850"/>
      <c r="D2" s="850"/>
      <c r="E2" s="403" t="s">
        <v>635</v>
      </c>
    </row>
    <row r="3" spans="1:5" s="404" customFormat="1" ht="24.75" customHeight="1">
      <c r="A3" s="402" t="s">
        <v>567</v>
      </c>
      <c r="B3" s="850" t="s">
        <v>568</v>
      </c>
      <c r="C3" s="850"/>
      <c r="D3" s="850"/>
      <c r="E3" s="403" t="s">
        <v>566</v>
      </c>
    </row>
    <row r="4" spans="1:5" s="405" customFormat="1" ht="15.75" customHeight="1">
      <c r="A4" s="341"/>
      <c r="B4" s="341"/>
      <c r="C4" s="342"/>
      <c r="D4" s="343"/>
      <c r="E4" s="342" t="str">
        <f>'Z_6.2.3.sz.mell'!E4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CONCATENATE('Z_6.9.3.sz.mell'!E5)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18" sqref="H18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CONCATENATE("6.10.1. melléklet ",Z_ALAPADATOK!A7," ",Z_ALAPADATOK!B7," ",Z_ALAPADATOK!C7," ",Z_ALAPADATOK!D7," ",Z_ALAPADATOK!E7," ",Z_ALAPADATOK!F7," ",Z_ALAPADATOK!G7," ",Z_ALAPADATOK!H7)</f>
        <v>6.10.1.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CONCATENATE('Z_6.10.sz.mell'!B2:D2)</f>
        <v>#REF!</v>
      </c>
      <c r="C2" s="850"/>
      <c r="D2" s="850"/>
      <c r="E2" s="403" t="s">
        <v>635</v>
      </c>
    </row>
    <row r="3" spans="1:5" s="404" customFormat="1" ht="24.75" customHeight="1">
      <c r="A3" s="402" t="s">
        <v>567</v>
      </c>
      <c r="B3" s="850" t="s">
        <v>592</v>
      </c>
      <c r="C3" s="850"/>
      <c r="D3" s="850"/>
      <c r="E3" s="403" t="s">
        <v>593</v>
      </c>
    </row>
    <row r="4" spans="1:5" s="405" customFormat="1" ht="15.75" customHeight="1">
      <c r="A4" s="341"/>
      <c r="B4" s="341"/>
      <c r="C4" s="342"/>
      <c r="D4" s="343"/>
      <c r="E4" s="342" t="str">
        <f>'Z_6.10.sz.mell'!E4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CONCATENATE('Z_6.10.sz.mell'!E5)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I20" sqref="I20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CONCATENATE("6.10.2. melléklet ",Z_ALAPADATOK!A7," ",Z_ALAPADATOK!B7," ",Z_ALAPADATOK!C7," ",Z_ALAPADATOK!D7," ",Z_ALAPADATOK!E7," ",Z_ALAPADATOK!F7," ",Z_ALAPADATOK!G7," ",Z_ALAPADATOK!H7)</f>
        <v>6.10.2.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CONCATENATE('Z_6.10.1.sz.mell'!B2:D2)</f>
        <v>#REF!</v>
      </c>
      <c r="C2" s="850"/>
      <c r="D2" s="850"/>
      <c r="E2" s="403" t="s">
        <v>635</v>
      </c>
    </row>
    <row r="3" spans="1:5" s="404" customFormat="1" ht="24.75" customHeight="1">
      <c r="A3" s="402" t="s">
        <v>567</v>
      </c>
      <c r="B3" s="850" t="s">
        <v>29</v>
      </c>
      <c r="C3" s="850"/>
      <c r="D3" s="850"/>
      <c r="E3" s="403" t="s">
        <v>624</v>
      </c>
    </row>
    <row r="4" spans="1:5" s="405" customFormat="1" ht="15.75" customHeight="1">
      <c r="A4" s="341"/>
      <c r="B4" s="341"/>
      <c r="C4" s="342"/>
      <c r="D4" s="343"/>
      <c r="E4" s="342" t="str">
        <f>'Z_6.10.1.sz.mell'!E4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CONCATENATE('Z_6.10.1.sz.mell'!E5)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18" sqref="H18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CONCATENATE("6.10.3. melléklet ",Z_ALAPADATOK!A7," ",Z_ALAPADATOK!B7," ",Z_ALAPADATOK!C7," ",Z_ALAPADATOK!D7," ",Z_ALAPADATOK!E7," ",Z_ALAPADATOK!F7," ",Z_ALAPADATOK!G7," ",Z_ALAPADATOK!H7)</f>
        <v>6.10.3.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CONCATENATE('Z_6.10.2.sz.mell'!B2:D2)</f>
        <v>#REF!</v>
      </c>
      <c r="C2" s="850"/>
      <c r="D2" s="850"/>
      <c r="E2" s="403" t="s">
        <v>635</v>
      </c>
    </row>
    <row r="3" spans="1:5" s="404" customFormat="1" ht="24.75" customHeight="1">
      <c r="A3" s="402" t="s">
        <v>567</v>
      </c>
      <c r="B3" s="850" t="s">
        <v>595</v>
      </c>
      <c r="C3" s="850"/>
      <c r="D3" s="850"/>
      <c r="E3" s="403" t="s">
        <v>625</v>
      </c>
    </row>
    <row r="4" spans="1:5" s="405" customFormat="1" ht="15.75" customHeight="1">
      <c r="A4" s="341"/>
      <c r="B4" s="341"/>
      <c r="C4" s="342"/>
      <c r="D4" s="343"/>
      <c r="E4" s="342" t="str">
        <f>'Z_6.10.2.sz.mell'!E4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CONCATENATE('Z_6.10.2.sz.mell'!E5)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20" sqref="H20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47" t="str">
        <f>CONCATENATE("6.11. melléklet ",Z_ALAPADATOK!A7," ",Z_ALAPADATOK!B7," ",Z_ALAPADATOK!C7," ",Z_ALAPADATOK!D7," ",Z_ALAPADATOK!E7," ",Z_ALAPADATOK!F7," ",Z_ALAPADATOK!G7," ",Z_ALAPADATOK!H7)</f>
        <v>6.11. melléklet a … / 2019. ( … ) önkormányzati rendelethez</v>
      </c>
      <c r="C1" s="847"/>
      <c r="D1" s="847"/>
      <c r="E1" s="847"/>
    </row>
    <row r="2" spans="1:5" s="404" customFormat="1" ht="25.5" customHeight="1">
      <c r="A2" s="402" t="s">
        <v>596</v>
      </c>
      <c r="B2" s="850" t="e">
        <f>CONCATENATE(Z_ALAPADATOK!#REF!)</f>
        <v>#REF!</v>
      </c>
      <c r="C2" s="850"/>
      <c r="D2" s="850"/>
      <c r="E2" s="403" t="s">
        <v>636</v>
      </c>
    </row>
    <row r="3" spans="1:5" s="404" customFormat="1" ht="24.75" customHeight="1">
      <c r="A3" s="402" t="s">
        <v>567</v>
      </c>
      <c r="B3" s="850" t="s">
        <v>568</v>
      </c>
      <c r="C3" s="850"/>
      <c r="D3" s="850"/>
      <c r="E3" s="403" t="s">
        <v>566</v>
      </c>
    </row>
    <row r="4" spans="1:5" s="405" customFormat="1" ht="15.75" customHeight="1">
      <c r="A4" s="341"/>
      <c r="B4" s="341"/>
      <c r="C4" s="342"/>
      <c r="D4" s="343"/>
      <c r="E4" s="342" t="str">
        <f>'Z_6.2.3.sz.mell'!E4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CONCATENATE('Z_6.10.3.sz.mell'!E5)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18" sqref="H18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CONCATENATE("6.11.1. melléklet ",Z_ALAPADATOK!A7," ",Z_ALAPADATOK!B7," ",Z_ALAPADATOK!C7," ",Z_ALAPADATOK!D7," ",Z_ALAPADATOK!E7," ",Z_ALAPADATOK!F7," ",Z_ALAPADATOK!G7," ",Z_ALAPADATOK!H7)</f>
        <v>6.11.1.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CONCATENATE('Z_6.11.sz.mell'!B2:D2)</f>
        <v>#REF!</v>
      </c>
      <c r="C2" s="850"/>
      <c r="D2" s="850"/>
      <c r="E2" s="403" t="s">
        <v>636</v>
      </c>
    </row>
    <row r="3" spans="1:5" s="404" customFormat="1" ht="24.75" customHeight="1">
      <c r="A3" s="402" t="s">
        <v>567</v>
      </c>
      <c r="B3" s="850" t="s">
        <v>592</v>
      </c>
      <c r="C3" s="850"/>
      <c r="D3" s="850"/>
      <c r="E3" s="403" t="s">
        <v>593</v>
      </c>
    </row>
    <row r="4" spans="1:5" s="405" customFormat="1" ht="15.75" customHeight="1">
      <c r="A4" s="341"/>
      <c r="B4" s="341"/>
      <c r="C4" s="342"/>
      <c r="D4" s="343"/>
      <c r="E4" s="342" t="str">
        <f>'Z_6.11.sz.mell'!E4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CONCATENATE('Z_6.11.sz.mell'!E5)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J24" sqref="J24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CONCATENATE("6.11.2. melléklet ",Z_ALAPADATOK!A7," ",Z_ALAPADATOK!B7," ",Z_ALAPADATOK!C7," ",Z_ALAPADATOK!D7," ",Z_ALAPADATOK!E7," ",Z_ALAPADATOK!F7," ",Z_ALAPADATOK!G7," ",Z_ALAPADATOK!H7)</f>
        <v>6.11.2.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CONCATENATE('Z_6.11.1.sz.mell'!B2:D2)</f>
        <v>#REF!</v>
      </c>
      <c r="C2" s="850"/>
      <c r="D2" s="850"/>
      <c r="E2" s="403" t="s">
        <v>636</v>
      </c>
    </row>
    <row r="3" spans="1:5" s="404" customFormat="1" ht="24.75" customHeight="1">
      <c r="A3" s="402" t="s">
        <v>567</v>
      </c>
      <c r="B3" s="850" t="s">
        <v>29</v>
      </c>
      <c r="C3" s="850"/>
      <c r="D3" s="850"/>
      <c r="E3" s="403" t="s">
        <v>624</v>
      </c>
    </row>
    <row r="4" spans="1:5" s="405" customFormat="1" ht="15.75" customHeight="1">
      <c r="A4" s="341"/>
      <c r="B4" s="341"/>
      <c r="C4" s="342"/>
      <c r="D4" s="343"/>
      <c r="E4" s="342" t="str">
        <f>'Z_6.11.1.sz.mell'!E4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CONCATENATE('Z_6.11.1.sz.mell'!E5)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J22" sqref="J22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CONCATENATE("6.11.3. melléklet ",Z_ALAPADATOK!A7," ",Z_ALAPADATOK!B7," ",Z_ALAPADATOK!C7," ",Z_ALAPADATOK!D7," ",Z_ALAPADATOK!E7," ",Z_ALAPADATOK!F7," ",Z_ALAPADATOK!G7," ",Z_ALAPADATOK!H7)</f>
        <v>6.11.3.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CONCATENATE('Z_6.11.2.sz.mell'!B2:D2)</f>
        <v>#REF!</v>
      </c>
      <c r="C2" s="850"/>
      <c r="D2" s="850"/>
      <c r="E2" s="403" t="s">
        <v>636</v>
      </c>
    </row>
    <row r="3" spans="1:5" s="404" customFormat="1" ht="24.75" customHeight="1">
      <c r="A3" s="402" t="s">
        <v>567</v>
      </c>
      <c r="B3" s="850" t="s">
        <v>595</v>
      </c>
      <c r="C3" s="850"/>
      <c r="D3" s="850"/>
      <c r="E3" s="403" t="s">
        <v>625</v>
      </c>
    </row>
    <row r="4" spans="1:5" s="405" customFormat="1" ht="15.75" customHeight="1">
      <c r="A4" s="341"/>
      <c r="B4" s="341"/>
      <c r="C4" s="342"/>
      <c r="D4" s="343"/>
      <c r="E4" s="342" t="str">
        <f>'Z_6.11.2.sz.mell'!E4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CONCATENATE('Z_6.11.2.sz.mell'!E5)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I17" sqref="I17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47" t="str">
        <f>CONCATENATE("6.12. melléklet ",Z_ALAPADATOK!A7," ",Z_ALAPADATOK!B7," ",Z_ALAPADATOK!C7," ",Z_ALAPADATOK!D7," ",Z_ALAPADATOK!E7," ",Z_ALAPADATOK!F7," ",Z_ALAPADATOK!G7," ",Z_ALAPADATOK!H7)</f>
        <v>6.12. melléklet a … / 2019. ( … ) önkormányzati rendelethez</v>
      </c>
      <c r="C1" s="847"/>
      <c r="D1" s="847"/>
      <c r="E1" s="847"/>
    </row>
    <row r="2" spans="1:5" s="404" customFormat="1" ht="25.5" customHeight="1">
      <c r="A2" s="402" t="s">
        <v>596</v>
      </c>
      <c r="B2" s="850" t="e">
        <f>CONCATENATE(Z_ALAPADATOK!#REF!)</f>
        <v>#REF!</v>
      </c>
      <c r="C2" s="850"/>
      <c r="D2" s="850"/>
      <c r="E2" s="403" t="s">
        <v>637</v>
      </c>
    </row>
    <row r="3" spans="1:5" s="404" customFormat="1" ht="24.75" customHeight="1">
      <c r="A3" s="402" t="s">
        <v>567</v>
      </c>
      <c r="B3" s="850" t="s">
        <v>568</v>
      </c>
      <c r="C3" s="850"/>
      <c r="D3" s="850"/>
      <c r="E3" s="403" t="s">
        <v>566</v>
      </c>
    </row>
    <row r="4" spans="1:5" s="405" customFormat="1" ht="15.75" customHeight="1">
      <c r="A4" s="341"/>
      <c r="B4" s="341"/>
      <c r="C4" s="342"/>
      <c r="D4" s="343"/>
      <c r="E4" s="342" t="str">
        <f>'Z_6.2.3.sz.mell'!E4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CONCATENATE('Z_6.11.3.sz.mell'!E5)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19" sqref="H19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CONCATENATE("6.12.1. melléklet ",Z_ALAPADATOK!A7," ",Z_ALAPADATOK!B7," ",Z_ALAPADATOK!C7," ",Z_ALAPADATOK!D7," ",Z_ALAPADATOK!E7," ",Z_ALAPADATOK!F7," ",Z_ALAPADATOK!G7," ",Z_ALAPADATOK!H7)</f>
        <v>6.12.1.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CONCATENATE('Z_6.12.sz.mell'!B2:D2)</f>
        <v>#REF!</v>
      </c>
      <c r="C2" s="850"/>
      <c r="D2" s="850"/>
      <c r="E2" s="403" t="s">
        <v>637</v>
      </c>
    </row>
    <row r="3" spans="1:5" s="404" customFormat="1" ht="24.75" customHeight="1">
      <c r="A3" s="402" t="s">
        <v>567</v>
      </c>
      <c r="B3" s="850" t="s">
        <v>592</v>
      </c>
      <c r="C3" s="850"/>
      <c r="D3" s="850"/>
      <c r="E3" s="403" t="s">
        <v>593</v>
      </c>
    </row>
    <row r="4" spans="1:5" s="405" customFormat="1" ht="15.75" customHeight="1">
      <c r="A4" s="341"/>
      <c r="B4" s="341"/>
      <c r="C4" s="342"/>
      <c r="D4" s="343"/>
      <c r="E4" s="342" t="str">
        <f>'Z_6.12.sz.mell'!E4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CONCATENATE('Z_6.12.sz.mell'!E5)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166"/>
  <sheetViews>
    <sheetView zoomScale="120" zoomScaleNormal="120" zoomScaleSheetLayoutView="100" zoomScalePageLayoutView="0" workbookViewId="0" topLeftCell="A119">
      <selection activeCell="D117" sqref="D117"/>
    </sheetView>
  </sheetViews>
  <sheetFormatPr defaultColWidth="9.00390625" defaultRowHeight="12.75"/>
  <cols>
    <col min="1" max="1" width="9.50390625" style="22" customWidth="1"/>
    <col min="2" max="2" width="65.875" style="22" customWidth="1"/>
    <col min="3" max="3" width="17.875" style="23" customWidth="1"/>
    <col min="4" max="5" width="17.875" style="24" customWidth="1"/>
    <col min="6" max="16384" width="9.375" style="24" customWidth="1"/>
  </cols>
  <sheetData>
    <row r="1" spans="1:5" ht="15.75">
      <c r="A1" s="25"/>
      <c r="B1" s="806" t="str">
        <f>CONCATENATE("1.3. melléklet ",Z_ALAPADATOK!A7," ",Z_ALAPADATOK!B7," ",Z_ALAPADATOK!C7," ",Z_ALAPADATOK!D7," ",Z_ALAPADATOK!E7," ",Z_ALAPADATOK!F7," ",Z_ALAPADATOK!G7," ",Z_ALAPADATOK!H7)</f>
        <v>1.3. melléklet a … / 2019. ( … ) önkormányzati rendelethez</v>
      </c>
      <c r="C1" s="806"/>
      <c r="D1" s="806"/>
      <c r="E1" s="806"/>
    </row>
    <row r="2" spans="1:5" ht="15.75" customHeight="1">
      <c r="A2" s="807" t="str">
        <f>CONCATENATE(Z_ALAPADATOK!A3)</f>
        <v>Balatonvilágos Község Önkormányzata</v>
      </c>
      <c r="B2" s="807"/>
      <c r="C2" s="807"/>
      <c r="D2" s="807"/>
      <c r="E2" s="807"/>
    </row>
    <row r="3" spans="1:5" ht="15.75">
      <c r="A3" s="807" t="s">
        <v>375</v>
      </c>
      <c r="B3" s="807"/>
      <c r="C3" s="807"/>
      <c r="D3" s="807"/>
      <c r="E3" s="807"/>
    </row>
    <row r="4" spans="1:5" ht="19.5" customHeight="1">
      <c r="A4" s="807" t="s">
        <v>377</v>
      </c>
      <c r="B4" s="807"/>
      <c r="C4" s="807"/>
      <c r="D4" s="807"/>
      <c r="E4" s="807"/>
    </row>
    <row r="5" spans="1:5" ht="15.75">
      <c r="A5" s="25"/>
      <c r="B5" s="25"/>
      <c r="C5" s="26"/>
      <c r="D5" s="27"/>
      <c r="E5" s="27"/>
    </row>
    <row r="6" spans="1:5" ht="15.75" customHeight="1">
      <c r="A6" s="808" t="s">
        <v>102</v>
      </c>
      <c r="B6" s="808"/>
      <c r="C6" s="808"/>
      <c r="D6" s="808"/>
      <c r="E6" s="808"/>
    </row>
    <row r="7" spans="1:5" ht="15.75" customHeight="1">
      <c r="A7" s="809" t="s">
        <v>103</v>
      </c>
      <c r="B7" s="809"/>
      <c r="C7" s="28"/>
      <c r="D7" s="27"/>
      <c r="E7" s="28" t="str">
        <f>CONCATENATE('Z_1.2.sz.mell.'!E7)</f>
        <v> Forintban!</v>
      </c>
    </row>
    <row r="8" spans="1:5" ht="15.75" customHeight="1">
      <c r="A8" s="812" t="s">
        <v>105</v>
      </c>
      <c r="B8" s="813" t="s">
        <v>106</v>
      </c>
      <c r="C8" s="814" t="str">
        <f>+CONCATENATE(LEFT(Z_ÖSSZEFÜGGÉSEK!A6,4),". évi")</f>
        <v>2018. évi</v>
      </c>
      <c r="D8" s="814"/>
      <c r="E8" s="814"/>
    </row>
    <row r="9" spans="1:5" ht="24">
      <c r="A9" s="812"/>
      <c r="B9" s="813"/>
      <c r="C9" s="29" t="s">
        <v>107</v>
      </c>
      <c r="D9" s="30" t="s">
        <v>108</v>
      </c>
      <c r="E9" s="31" t="str">
        <f>CONCATENATE('Z_1.2.sz.mell.'!E9)</f>
        <v>2018. XII. 31.
teljesítés</v>
      </c>
    </row>
    <row r="10" spans="1:5" s="35" customFormat="1" ht="12" customHeight="1">
      <c r="A10" s="32" t="s">
        <v>109</v>
      </c>
      <c r="B10" s="33" t="s">
        <v>110</v>
      </c>
      <c r="C10" s="33" t="s">
        <v>111</v>
      </c>
      <c r="D10" s="33" t="s">
        <v>112</v>
      </c>
      <c r="E10" s="34" t="s">
        <v>113</v>
      </c>
    </row>
    <row r="11" spans="1:5" s="40" customFormat="1" ht="12" customHeight="1">
      <c r="A11" s="36" t="s">
        <v>114</v>
      </c>
      <c r="B11" s="37" t="s">
        <v>115</v>
      </c>
      <c r="C11" s="38">
        <f>+C12+C13+C14+C15+C16+C17</f>
        <v>0</v>
      </c>
      <c r="D11" s="38">
        <f>+D12+D13+D14+D15+D16+D17</f>
        <v>0</v>
      </c>
      <c r="E11" s="39">
        <f>+E12+E13+E14+E15+E16+E17</f>
        <v>0</v>
      </c>
    </row>
    <row r="12" spans="1:5" s="40" customFormat="1" ht="12" customHeight="1">
      <c r="A12" s="41" t="s">
        <v>116</v>
      </c>
      <c r="B12" s="42" t="s">
        <v>117</v>
      </c>
      <c r="C12" s="52"/>
      <c r="D12" s="52"/>
      <c r="E12" s="53"/>
    </row>
    <row r="13" spans="1:5" s="40" customFormat="1" ht="12" customHeight="1">
      <c r="A13" s="45" t="s">
        <v>118</v>
      </c>
      <c r="B13" s="46" t="s">
        <v>119</v>
      </c>
      <c r="C13" s="54"/>
      <c r="D13" s="54"/>
      <c r="E13" s="50"/>
    </row>
    <row r="14" spans="1:5" s="40" customFormat="1" ht="12" customHeight="1">
      <c r="A14" s="45" t="s">
        <v>120</v>
      </c>
      <c r="B14" s="46" t="s">
        <v>121</v>
      </c>
      <c r="C14" s="54"/>
      <c r="D14" s="54"/>
      <c r="E14" s="50"/>
    </row>
    <row r="15" spans="1:5" s="40" customFormat="1" ht="12" customHeight="1">
      <c r="A15" s="45" t="s">
        <v>122</v>
      </c>
      <c r="B15" s="46" t="s">
        <v>123</v>
      </c>
      <c r="C15" s="54"/>
      <c r="D15" s="54"/>
      <c r="E15" s="50"/>
    </row>
    <row r="16" spans="1:5" s="40" customFormat="1" ht="12" customHeight="1">
      <c r="A16" s="45" t="s">
        <v>124</v>
      </c>
      <c r="B16" s="47" t="s">
        <v>125</v>
      </c>
      <c r="C16" s="54"/>
      <c r="D16" s="54"/>
      <c r="E16" s="50"/>
    </row>
    <row r="17" spans="1:5" s="40" customFormat="1" ht="12" customHeight="1">
      <c r="A17" s="48" t="s">
        <v>126</v>
      </c>
      <c r="B17" s="49" t="s">
        <v>127</v>
      </c>
      <c r="C17" s="54"/>
      <c r="D17" s="54"/>
      <c r="E17" s="50"/>
    </row>
    <row r="18" spans="1:5" s="40" customFormat="1" ht="12" customHeight="1">
      <c r="A18" s="36" t="s">
        <v>128</v>
      </c>
      <c r="B18" s="51" t="s">
        <v>129</v>
      </c>
      <c r="C18" s="38">
        <f>+C19+C20+C21+C22+C23</f>
        <v>0</v>
      </c>
      <c r="D18" s="38">
        <f>+D19+D20+D21+D22+D23</f>
        <v>0</v>
      </c>
      <c r="E18" s="39">
        <f>+E19+E20+E21+E22+E23</f>
        <v>0</v>
      </c>
    </row>
    <row r="19" spans="1:5" s="40" customFormat="1" ht="12" customHeight="1">
      <c r="A19" s="41" t="s">
        <v>130</v>
      </c>
      <c r="B19" s="42" t="s">
        <v>131</v>
      </c>
      <c r="C19" s="52"/>
      <c r="D19" s="52"/>
      <c r="E19" s="53"/>
    </row>
    <row r="20" spans="1:5" s="40" customFormat="1" ht="12" customHeight="1">
      <c r="A20" s="45" t="s">
        <v>132</v>
      </c>
      <c r="B20" s="46" t="s">
        <v>133</v>
      </c>
      <c r="C20" s="54"/>
      <c r="D20" s="54"/>
      <c r="E20" s="50"/>
    </row>
    <row r="21" spans="1:5" s="40" customFormat="1" ht="12" customHeight="1">
      <c r="A21" s="45" t="s">
        <v>134</v>
      </c>
      <c r="B21" s="46" t="s">
        <v>135</v>
      </c>
      <c r="C21" s="54"/>
      <c r="D21" s="54"/>
      <c r="E21" s="50"/>
    </row>
    <row r="22" spans="1:5" s="40" customFormat="1" ht="12" customHeight="1">
      <c r="A22" s="45" t="s">
        <v>136</v>
      </c>
      <c r="B22" s="46" t="s">
        <v>137</v>
      </c>
      <c r="C22" s="54"/>
      <c r="D22" s="54"/>
      <c r="E22" s="50"/>
    </row>
    <row r="23" spans="1:5" s="40" customFormat="1" ht="12" customHeight="1">
      <c r="A23" s="45" t="s">
        <v>138</v>
      </c>
      <c r="B23" s="46" t="s">
        <v>139</v>
      </c>
      <c r="C23" s="54"/>
      <c r="D23" s="54"/>
      <c r="E23" s="50"/>
    </row>
    <row r="24" spans="1:5" s="40" customFormat="1" ht="12" customHeight="1">
      <c r="A24" s="48" t="s">
        <v>140</v>
      </c>
      <c r="B24" s="49" t="s">
        <v>141</v>
      </c>
      <c r="C24" s="56"/>
      <c r="D24" s="56"/>
      <c r="E24" s="57"/>
    </row>
    <row r="25" spans="1:5" s="40" customFormat="1" ht="12" customHeight="1">
      <c r="A25" s="36" t="s">
        <v>142</v>
      </c>
      <c r="B25" s="37" t="s">
        <v>143</v>
      </c>
      <c r="C25" s="38">
        <f>+C26+C27+C28+C29+C30</f>
        <v>0</v>
      </c>
      <c r="D25" s="38">
        <f>+D26+D27+D28+D29+D30</f>
        <v>0</v>
      </c>
      <c r="E25" s="39">
        <f>+E26+E27+E28+E29+E30</f>
        <v>0</v>
      </c>
    </row>
    <row r="26" spans="1:5" s="40" customFormat="1" ht="12" customHeight="1">
      <c r="A26" s="41" t="s">
        <v>144</v>
      </c>
      <c r="B26" s="42" t="s">
        <v>145</v>
      </c>
      <c r="C26" s="52"/>
      <c r="D26" s="52"/>
      <c r="E26" s="53"/>
    </row>
    <row r="27" spans="1:5" s="40" customFormat="1" ht="12" customHeight="1">
      <c r="A27" s="45" t="s">
        <v>146</v>
      </c>
      <c r="B27" s="46" t="s">
        <v>147</v>
      </c>
      <c r="C27" s="54"/>
      <c r="D27" s="54"/>
      <c r="E27" s="50"/>
    </row>
    <row r="28" spans="1:5" s="40" customFormat="1" ht="12" customHeight="1">
      <c r="A28" s="45" t="s">
        <v>148</v>
      </c>
      <c r="B28" s="46" t="s">
        <v>149</v>
      </c>
      <c r="C28" s="54"/>
      <c r="D28" s="54"/>
      <c r="E28" s="50"/>
    </row>
    <row r="29" spans="1:5" s="40" customFormat="1" ht="12" customHeight="1">
      <c r="A29" s="45" t="s">
        <v>150</v>
      </c>
      <c r="B29" s="46" t="s">
        <v>151</v>
      </c>
      <c r="C29" s="54"/>
      <c r="D29" s="54"/>
      <c r="E29" s="50"/>
    </row>
    <row r="30" spans="1:5" s="40" customFormat="1" ht="12" customHeight="1">
      <c r="A30" s="45" t="s">
        <v>152</v>
      </c>
      <c r="B30" s="46" t="s">
        <v>153</v>
      </c>
      <c r="C30" s="54"/>
      <c r="D30" s="54"/>
      <c r="E30" s="50"/>
    </row>
    <row r="31" spans="1:5" s="40" customFormat="1" ht="12" customHeight="1">
      <c r="A31" s="48" t="s">
        <v>154</v>
      </c>
      <c r="B31" s="58" t="s">
        <v>155</v>
      </c>
      <c r="C31" s="56"/>
      <c r="D31" s="56"/>
      <c r="E31" s="57"/>
    </row>
    <row r="32" spans="1:5" s="40" customFormat="1" ht="12" customHeight="1">
      <c r="A32" s="36" t="s">
        <v>156</v>
      </c>
      <c r="B32" s="37" t="s">
        <v>157</v>
      </c>
      <c r="C32" s="59">
        <f>SUM(C33:C39)</f>
        <v>0</v>
      </c>
      <c r="D32" s="59">
        <f>SUM(D33:D39)</f>
        <v>0</v>
      </c>
      <c r="E32" s="60">
        <f>SUM(E33:E39)</f>
        <v>0</v>
      </c>
    </row>
    <row r="33" spans="1:5" s="40" customFormat="1" ht="12" customHeight="1">
      <c r="A33" s="41" t="s">
        <v>158</v>
      </c>
      <c r="B33" s="42" t="s">
        <v>159</v>
      </c>
      <c r="C33" s="52">
        <f>+C34+C35+C36</f>
        <v>0</v>
      </c>
      <c r="D33" s="52">
        <f>+D34+D35+D36</f>
        <v>0</v>
      </c>
      <c r="E33" s="53">
        <f>+E34+E35+E36</f>
        <v>0</v>
      </c>
    </row>
    <row r="34" spans="1:5" s="40" customFormat="1" ht="12" customHeight="1">
      <c r="A34" s="45" t="s">
        <v>160</v>
      </c>
      <c r="B34" s="46" t="s">
        <v>161</v>
      </c>
      <c r="C34" s="54"/>
      <c r="D34" s="54"/>
      <c r="E34" s="50"/>
    </row>
    <row r="35" spans="1:5" s="40" customFormat="1" ht="12" customHeight="1">
      <c r="A35" s="45" t="s">
        <v>162</v>
      </c>
      <c r="B35" s="46" t="s">
        <v>163</v>
      </c>
      <c r="C35" s="54"/>
      <c r="D35" s="54"/>
      <c r="E35" s="50"/>
    </row>
    <row r="36" spans="1:5" s="40" customFormat="1" ht="12" customHeight="1">
      <c r="A36" s="45" t="s">
        <v>164</v>
      </c>
      <c r="B36" s="46" t="s">
        <v>165</v>
      </c>
      <c r="C36" s="54"/>
      <c r="D36" s="54"/>
      <c r="E36" s="50"/>
    </row>
    <row r="37" spans="1:5" s="40" customFormat="1" ht="12" customHeight="1">
      <c r="A37" s="45" t="s">
        <v>166</v>
      </c>
      <c r="B37" s="46" t="s">
        <v>167</v>
      </c>
      <c r="C37" s="54"/>
      <c r="D37" s="54"/>
      <c r="E37" s="50"/>
    </row>
    <row r="38" spans="1:5" s="40" customFormat="1" ht="12" customHeight="1">
      <c r="A38" s="45" t="s">
        <v>168</v>
      </c>
      <c r="B38" s="46" t="s">
        <v>169</v>
      </c>
      <c r="C38" s="54"/>
      <c r="D38" s="54"/>
      <c r="E38" s="50"/>
    </row>
    <row r="39" spans="1:5" s="40" customFormat="1" ht="12" customHeight="1">
      <c r="A39" s="48" t="s">
        <v>170</v>
      </c>
      <c r="B39" s="61" t="s">
        <v>171</v>
      </c>
      <c r="C39" s="56"/>
      <c r="D39" s="56"/>
      <c r="E39" s="57"/>
    </row>
    <row r="40" spans="1:5" s="40" customFormat="1" ht="12" customHeight="1">
      <c r="A40" s="36" t="s">
        <v>172</v>
      </c>
      <c r="B40" s="37" t="s">
        <v>173</v>
      </c>
      <c r="C40" s="38">
        <f>SUM(C41:C51)</f>
        <v>21529149</v>
      </c>
      <c r="D40" s="38">
        <f>SUM(D41:D51)</f>
        <v>25498829</v>
      </c>
      <c r="E40" s="39">
        <f>SUM(E41:E51)</f>
        <v>20428499</v>
      </c>
    </row>
    <row r="41" spans="1:5" s="40" customFormat="1" ht="12" customHeight="1">
      <c r="A41" s="41" t="s">
        <v>174</v>
      </c>
      <c r="B41" s="42" t="s">
        <v>175</v>
      </c>
      <c r="C41" s="52"/>
      <c r="D41" s="52"/>
      <c r="E41" s="53"/>
    </row>
    <row r="42" spans="1:5" s="40" customFormat="1" ht="12" customHeight="1">
      <c r="A42" s="45" t="s">
        <v>176</v>
      </c>
      <c r="B42" s="46" t="s">
        <v>177</v>
      </c>
      <c r="C42" s="66">
        <v>12865780</v>
      </c>
      <c r="D42" s="66">
        <v>13495701</v>
      </c>
      <c r="E42" s="50">
        <v>9082147</v>
      </c>
    </row>
    <row r="43" spans="1:5" s="40" customFormat="1" ht="12" customHeight="1">
      <c r="A43" s="45" t="s">
        <v>178</v>
      </c>
      <c r="B43" s="46" t="s">
        <v>179</v>
      </c>
      <c r="C43" s="66">
        <v>3600000</v>
      </c>
      <c r="D43" s="66">
        <v>3600000</v>
      </c>
      <c r="E43" s="50">
        <v>3734761</v>
      </c>
    </row>
    <row r="44" spans="1:5" s="40" customFormat="1" ht="12" customHeight="1">
      <c r="A44" s="45" t="s">
        <v>180</v>
      </c>
      <c r="B44" s="46" t="s">
        <v>181</v>
      </c>
      <c r="C44" s="66"/>
      <c r="D44" s="66"/>
      <c r="E44" s="50"/>
    </row>
    <row r="45" spans="1:5" s="40" customFormat="1" ht="12" customHeight="1">
      <c r="A45" s="45" t="s">
        <v>182</v>
      </c>
      <c r="B45" s="46" t="s">
        <v>183</v>
      </c>
      <c r="C45" s="66"/>
      <c r="D45" s="66"/>
      <c r="E45" s="50"/>
    </row>
    <row r="46" spans="1:5" s="40" customFormat="1" ht="12" customHeight="1">
      <c r="A46" s="45" t="s">
        <v>184</v>
      </c>
      <c r="B46" s="46" t="s">
        <v>185</v>
      </c>
      <c r="C46" s="66">
        <v>5063369</v>
      </c>
      <c r="D46" s="66">
        <v>8403128</v>
      </c>
      <c r="E46" s="50">
        <v>7611591</v>
      </c>
    </row>
    <row r="47" spans="1:5" s="40" customFormat="1" ht="12" customHeight="1">
      <c r="A47" s="45" t="s">
        <v>186</v>
      </c>
      <c r="B47" s="46" t="s">
        <v>187</v>
      </c>
      <c r="C47" s="66"/>
      <c r="D47" s="66"/>
      <c r="E47" s="50"/>
    </row>
    <row r="48" spans="1:5" s="40" customFormat="1" ht="12" customHeight="1">
      <c r="A48" s="45" t="s">
        <v>188</v>
      </c>
      <c r="B48" s="46" t="s">
        <v>189</v>
      </c>
      <c r="C48" s="66"/>
      <c r="D48" s="66"/>
      <c r="E48" s="50"/>
    </row>
    <row r="49" spans="1:5" s="40" customFormat="1" ht="12" customHeight="1">
      <c r="A49" s="45" t="s">
        <v>190</v>
      </c>
      <c r="B49" s="46" t="s">
        <v>191</v>
      </c>
      <c r="C49" s="66"/>
      <c r="D49" s="66"/>
      <c r="E49" s="68"/>
    </row>
    <row r="50" spans="1:5" s="40" customFormat="1" ht="12" customHeight="1">
      <c r="A50" s="48" t="s">
        <v>192</v>
      </c>
      <c r="B50" s="58" t="s">
        <v>193</v>
      </c>
      <c r="C50" s="66"/>
      <c r="D50" s="66"/>
      <c r="E50" s="143"/>
    </row>
    <row r="51" spans="1:5" s="40" customFormat="1" ht="12" customHeight="1">
      <c r="A51" s="48" t="s">
        <v>194</v>
      </c>
      <c r="B51" s="49" t="s">
        <v>195</v>
      </c>
      <c r="C51" s="67"/>
      <c r="D51" s="67"/>
      <c r="E51" s="143"/>
    </row>
    <row r="52" spans="1:5" s="40" customFormat="1" ht="12" customHeight="1">
      <c r="A52" s="36" t="s">
        <v>196</v>
      </c>
      <c r="B52" s="37" t="s">
        <v>197</v>
      </c>
      <c r="C52" s="38">
        <f>SUM(C53:C57)</f>
        <v>4588520</v>
      </c>
      <c r="D52" s="38">
        <f>SUM(D53:D57)</f>
        <v>16328080</v>
      </c>
      <c r="E52" s="39">
        <f>SUM(E53:E57)</f>
        <v>16524930</v>
      </c>
    </row>
    <row r="53" spans="1:5" s="40" customFormat="1" ht="12" customHeight="1">
      <c r="A53" s="41" t="s">
        <v>198</v>
      </c>
      <c r="B53" s="42" t="s">
        <v>199</v>
      </c>
      <c r="C53" s="65"/>
      <c r="D53" s="65"/>
      <c r="E53" s="144"/>
    </row>
    <row r="54" spans="1:5" s="40" customFormat="1" ht="12" customHeight="1">
      <c r="A54" s="45" t="s">
        <v>200</v>
      </c>
      <c r="B54" s="46" t="s">
        <v>201</v>
      </c>
      <c r="C54" s="66">
        <v>4588520</v>
      </c>
      <c r="D54" s="66">
        <v>16328080</v>
      </c>
      <c r="E54" s="62">
        <v>16328080</v>
      </c>
    </row>
    <row r="55" spans="1:5" s="40" customFormat="1" ht="12" customHeight="1">
      <c r="A55" s="45" t="s">
        <v>202</v>
      </c>
      <c r="B55" s="46" t="s">
        <v>203</v>
      </c>
      <c r="C55" s="66"/>
      <c r="D55" s="66"/>
      <c r="E55" s="62">
        <v>196850</v>
      </c>
    </row>
    <row r="56" spans="1:5" s="40" customFormat="1" ht="12" customHeight="1">
      <c r="A56" s="45" t="s">
        <v>204</v>
      </c>
      <c r="B56" s="46" t="s">
        <v>205</v>
      </c>
      <c r="C56" s="66"/>
      <c r="D56" s="66"/>
      <c r="E56" s="68"/>
    </row>
    <row r="57" spans="1:5" s="40" customFormat="1" ht="12" customHeight="1">
      <c r="A57" s="48" t="s">
        <v>206</v>
      </c>
      <c r="B57" s="49" t="s">
        <v>207</v>
      </c>
      <c r="C57" s="67"/>
      <c r="D57" s="67"/>
      <c r="E57" s="143"/>
    </row>
    <row r="58" spans="1:5" s="40" customFormat="1" ht="12" customHeight="1">
      <c r="A58" s="36" t="s">
        <v>208</v>
      </c>
      <c r="B58" s="37" t="s">
        <v>209</v>
      </c>
      <c r="C58" s="38">
        <f>SUM(C59:C61)</f>
        <v>0</v>
      </c>
      <c r="D58" s="38">
        <f>SUM(D59:D61)</f>
        <v>0</v>
      </c>
      <c r="E58" s="39">
        <f>SUM(E59:E61)</f>
        <v>0</v>
      </c>
    </row>
    <row r="59" spans="1:5" s="40" customFormat="1" ht="12" customHeight="1">
      <c r="A59" s="41" t="s">
        <v>210</v>
      </c>
      <c r="B59" s="42" t="s">
        <v>211</v>
      </c>
      <c r="C59" s="52"/>
      <c r="D59" s="52"/>
      <c r="E59" s="53"/>
    </row>
    <row r="60" spans="1:5" s="40" customFormat="1" ht="12" customHeight="1">
      <c r="A60" s="45" t="s">
        <v>212</v>
      </c>
      <c r="B60" s="46" t="s">
        <v>213</v>
      </c>
      <c r="C60" s="54"/>
      <c r="D60" s="54"/>
      <c r="E60" s="50"/>
    </row>
    <row r="61" spans="1:5" s="40" customFormat="1" ht="12" customHeight="1">
      <c r="A61" s="45" t="s">
        <v>214</v>
      </c>
      <c r="B61" s="46" t="s">
        <v>215</v>
      </c>
      <c r="C61" s="54"/>
      <c r="D61" s="54"/>
      <c r="E61" s="50"/>
    </row>
    <row r="62" spans="1:5" s="40" customFormat="1" ht="12" customHeight="1">
      <c r="A62" s="48" t="s">
        <v>216</v>
      </c>
      <c r="B62" s="49" t="s">
        <v>217</v>
      </c>
      <c r="C62" s="56"/>
      <c r="D62" s="56"/>
      <c r="E62" s="57"/>
    </row>
    <row r="63" spans="1:5" s="40" customFormat="1" ht="12" customHeight="1">
      <c r="A63" s="36" t="s">
        <v>218</v>
      </c>
      <c r="B63" s="51" t="s">
        <v>219</v>
      </c>
      <c r="C63" s="38">
        <f>SUM(C64:C66)</f>
        <v>0</v>
      </c>
      <c r="D63" s="38">
        <f>SUM(D64:D66)</f>
        <v>2238200</v>
      </c>
      <c r="E63" s="39">
        <f>SUM(E64:E66)</f>
        <v>7593117</v>
      </c>
    </row>
    <row r="64" spans="1:5" s="40" customFormat="1" ht="12" customHeight="1">
      <c r="A64" s="41" t="s">
        <v>220</v>
      </c>
      <c r="B64" s="42" t="s">
        <v>221</v>
      </c>
      <c r="C64" s="66"/>
      <c r="D64" s="66"/>
      <c r="E64" s="68"/>
    </row>
    <row r="65" spans="1:5" s="40" customFormat="1" ht="12" customHeight="1">
      <c r="A65" s="45" t="s">
        <v>222</v>
      </c>
      <c r="B65" s="46" t="s">
        <v>223</v>
      </c>
      <c r="C65" s="66"/>
      <c r="D65" s="66"/>
      <c r="E65" s="145"/>
    </row>
    <row r="66" spans="1:5" s="40" customFormat="1" ht="12" customHeight="1">
      <c r="A66" s="45" t="s">
        <v>224</v>
      </c>
      <c r="B66" s="46" t="s">
        <v>225</v>
      </c>
      <c r="C66" s="66"/>
      <c r="D66" s="66">
        <v>2238200</v>
      </c>
      <c r="E66" s="62">
        <v>7593117</v>
      </c>
    </row>
    <row r="67" spans="1:5" s="40" customFormat="1" ht="12" customHeight="1">
      <c r="A67" s="48" t="s">
        <v>226</v>
      </c>
      <c r="B67" s="49" t="s">
        <v>227</v>
      </c>
      <c r="C67" s="66"/>
      <c r="D67" s="66"/>
      <c r="E67" s="68"/>
    </row>
    <row r="68" spans="1:5" s="40" customFormat="1" ht="12" customHeight="1">
      <c r="A68" s="69" t="s">
        <v>228</v>
      </c>
      <c r="B68" s="37" t="s">
        <v>229</v>
      </c>
      <c r="C68" s="59">
        <f>+C11+C18+C25+C32+C40+C52+C58+C63</f>
        <v>26117669</v>
      </c>
      <c r="D68" s="59">
        <f>+D11+D18+D25+D32+D40+D52+D58+D63</f>
        <v>44065109</v>
      </c>
      <c r="E68" s="60">
        <f>+E11+E18+E25+E32+E40+E52+E58+E63</f>
        <v>44546546</v>
      </c>
    </row>
    <row r="69" spans="1:5" s="40" customFormat="1" ht="12" customHeight="1">
      <c r="A69" s="70" t="s">
        <v>230</v>
      </c>
      <c r="B69" s="51" t="s">
        <v>231</v>
      </c>
      <c r="C69" s="38">
        <f>SUM(C70:C72)</f>
        <v>0</v>
      </c>
      <c r="D69" s="38">
        <f>SUM(D70:D72)</f>
        <v>0</v>
      </c>
      <c r="E69" s="39">
        <f>SUM(E70:E72)</f>
        <v>0</v>
      </c>
    </row>
    <row r="70" spans="1:5" s="40" customFormat="1" ht="12" customHeight="1">
      <c r="A70" s="41" t="s">
        <v>232</v>
      </c>
      <c r="B70" s="42" t="s">
        <v>233</v>
      </c>
      <c r="C70" s="66"/>
      <c r="D70" s="66"/>
      <c r="E70" s="68"/>
    </row>
    <row r="71" spans="1:5" s="40" customFormat="1" ht="12" customHeight="1">
      <c r="A71" s="45" t="s">
        <v>234</v>
      </c>
      <c r="B71" s="46" t="s">
        <v>235</v>
      </c>
      <c r="C71" s="66"/>
      <c r="D71" s="66"/>
      <c r="E71" s="68"/>
    </row>
    <row r="72" spans="1:5" s="40" customFormat="1" ht="12" customHeight="1">
      <c r="A72" s="48" t="s">
        <v>236</v>
      </c>
      <c r="B72" s="71" t="s">
        <v>237</v>
      </c>
      <c r="C72" s="66"/>
      <c r="D72" s="66"/>
      <c r="E72" s="68"/>
    </row>
    <row r="73" spans="1:5" s="40" customFormat="1" ht="12" customHeight="1">
      <c r="A73" s="70" t="s">
        <v>238</v>
      </c>
      <c r="B73" s="51" t="s">
        <v>239</v>
      </c>
      <c r="C73" s="38">
        <f>SUM(C74:C77)</f>
        <v>0</v>
      </c>
      <c r="D73" s="38">
        <f>SUM(D74:D77)</f>
        <v>0</v>
      </c>
      <c r="E73" s="39">
        <f>SUM(E74:E77)</f>
        <v>0</v>
      </c>
    </row>
    <row r="74" spans="1:5" s="40" customFormat="1" ht="12" customHeight="1">
      <c r="A74" s="41" t="s">
        <v>240</v>
      </c>
      <c r="B74" s="72" t="s">
        <v>241</v>
      </c>
      <c r="C74" s="66"/>
      <c r="D74" s="66"/>
      <c r="E74" s="68"/>
    </row>
    <row r="75" spans="1:5" s="40" customFormat="1" ht="12" customHeight="1">
      <c r="A75" s="45" t="s">
        <v>242</v>
      </c>
      <c r="B75" s="72" t="s">
        <v>243</v>
      </c>
      <c r="C75" s="66"/>
      <c r="D75" s="66"/>
      <c r="E75" s="68"/>
    </row>
    <row r="76" spans="1:5" s="40" customFormat="1" ht="12" customHeight="1">
      <c r="A76" s="45" t="s">
        <v>244</v>
      </c>
      <c r="B76" s="72" t="s">
        <v>245</v>
      </c>
      <c r="C76" s="66"/>
      <c r="D76" s="66"/>
      <c r="E76" s="68"/>
    </row>
    <row r="77" spans="1:5" s="40" customFormat="1" ht="12" customHeight="1">
      <c r="A77" s="48" t="s">
        <v>246</v>
      </c>
      <c r="B77" s="73" t="s">
        <v>247</v>
      </c>
      <c r="C77" s="66"/>
      <c r="D77" s="66"/>
      <c r="E77" s="68"/>
    </row>
    <row r="78" spans="1:5" s="40" customFormat="1" ht="12" customHeight="1">
      <c r="A78" s="70" t="s">
        <v>248</v>
      </c>
      <c r="B78" s="51" t="s">
        <v>249</v>
      </c>
      <c r="C78" s="38">
        <f>SUM(C79:C80)</f>
        <v>0</v>
      </c>
      <c r="D78" s="38">
        <f>SUM(D79:D80)</f>
        <v>0</v>
      </c>
      <c r="E78" s="39">
        <f>SUM(E79:E80)</f>
        <v>0</v>
      </c>
    </row>
    <row r="79" spans="1:5" s="40" customFormat="1" ht="12" customHeight="1">
      <c r="A79" s="41" t="s">
        <v>250</v>
      </c>
      <c r="B79" s="42" t="s">
        <v>251</v>
      </c>
      <c r="C79" s="66"/>
      <c r="D79" s="66"/>
      <c r="E79" s="68"/>
    </row>
    <row r="80" spans="1:5" s="40" customFormat="1" ht="12" customHeight="1">
      <c r="A80" s="48" t="s">
        <v>252</v>
      </c>
      <c r="B80" s="49" t="s">
        <v>253</v>
      </c>
      <c r="C80" s="66"/>
      <c r="D80" s="66"/>
      <c r="E80" s="68"/>
    </row>
    <row r="81" spans="1:5" s="40" customFormat="1" ht="12" customHeight="1">
      <c r="A81" s="70" t="s">
        <v>254</v>
      </c>
      <c r="B81" s="51" t="s">
        <v>255</v>
      </c>
      <c r="C81" s="38">
        <f>SUM(C82:C84)</f>
        <v>0</v>
      </c>
      <c r="D81" s="38">
        <f>SUM(D82:D84)</f>
        <v>0</v>
      </c>
      <c r="E81" s="39">
        <f>SUM(E82:E84)</f>
        <v>0</v>
      </c>
    </row>
    <row r="82" spans="1:5" s="40" customFormat="1" ht="12" customHeight="1">
      <c r="A82" s="41" t="s">
        <v>256</v>
      </c>
      <c r="B82" s="42" t="s">
        <v>257</v>
      </c>
      <c r="C82" s="66"/>
      <c r="D82" s="66"/>
      <c r="E82" s="68"/>
    </row>
    <row r="83" spans="1:5" s="40" customFormat="1" ht="12" customHeight="1">
      <c r="A83" s="45" t="s">
        <v>258</v>
      </c>
      <c r="B83" s="46" t="s">
        <v>259</v>
      </c>
      <c r="C83" s="66"/>
      <c r="D83" s="66"/>
      <c r="E83" s="68"/>
    </row>
    <row r="84" spans="1:5" s="40" customFormat="1" ht="12" customHeight="1">
      <c r="A84" s="48" t="s">
        <v>260</v>
      </c>
      <c r="B84" s="49" t="s">
        <v>261</v>
      </c>
      <c r="C84" s="66"/>
      <c r="D84" s="66"/>
      <c r="E84" s="68"/>
    </row>
    <row r="85" spans="1:5" s="40" customFormat="1" ht="12" customHeight="1">
      <c r="A85" s="70" t="s">
        <v>262</v>
      </c>
      <c r="B85" s="51" t="s">
        <v>263</v>
      </c>
      <c r="C85" s="38">
        <f>SUM(C86:C89)</f>
        <v>0</v>
      </c>
      <c r="D85" s="38">
        <f>SUM(D86:D89)</f>
        <v>0</v>
      </c>
      <c r="E85" s="39">
        <f>SUM(E86:E89)</f>
        <v>0</v>
      </c>
    </row>
    <row r="86" spans="1:5" s="40" customFormat="1" ht="12" customHeight="1">
      <c r="A86" s="75" t="s">
        <v>264</v>
      </c>
      <c r="B86" s="42" t="s">
        <v>265</v>
      </c>
      <c r="C86" s="66"/>
      <c r="D86" s="66"/>
      <c r="E86" s="68"/>
    </row>
    <row r="87" spans="1:5" s="40" customFormat="1" ht="12" customHeight="1">
      <c r="A87" s="76" t="s">
        <v>266</v>
      </c>
      <c r="B87" s="46" t="s">
        <v>267</v>
      </c>
      <c r="C87" s="66"/>
      <c r="D87" s="66"/>
      <c r="E87" s="68"/>
    </row>
    <row r="88" spans="1:5" s="40" customFormat="1" ht="12" customHeight="1">
      <c r="A88" s="76" t="s">
        <v>268</v>
      </c>
      <c r="B88" s="46" t="s">
        <v>269</v>
      </c>
      <c r="C88" s="66"/>
      <c r="D88" s="66"/>
      <c r="E88" s="68"/>
    </row>
    <row r="89" spans="1:5" s="40" customFormat="1" ht="12" customHeight="1">
      <c r="A89" s="77" t="s">
        <v>270</v>
      </c>
      <c r="B89" s="49" t="s">
        <v>271</v>
      </c>
      <c r="C89" s="66"/>
      <c r="D89" s="66"/>
      <c r="E89" s="68"/>
    </row>
    <row r="90" spans="1:5" s="40" customFormat="1" ht="12" customHeight="1">
      <c r="A90" s="70" t="s">
        <v>272</v>
      </c>
      <c r="B90" s="51" t="s">
        <v>273</v>
      </c>
      <c r="C90" s="78"/>
      <c r="D90" s="78"/>
      <c r="E90" s="79"/>
    </row>
    <row r="91" spans="1:5" s="40" customFormat="1" ht="13.5" customHeight="1">
      <c r="A91" s="70" t="s">
        <v>274</v>
      </c>
      <c r="B91" s="51" t="s">
        <v>275</v>
      </c>
      <c r="C91" s="78"/>
      <c r="D91" s="78"/>
      <c r="E91" s="79"/>
    </row>
    <row r="92" spans="1:5" s="40" customFormat="1" ht="15.75" customHeight="1">
      <c r="A92" s="70" t="s">
        <v>276</v>
      </c>
      <c r="B92" s="80" t="s">
        <v>277</v>
      </c>
      <c r="C92" s="59">
        <f>+C69+C73+C78+C81+C85+C91+C90</f>
        <v>0</v>
      </c>
      <c r="D92" s="59">
        <f>+D69+D73+D78+D81+D85+D91+D90</f>
        <v>0</v>
      </c>
      <c r="E92" s="60">
        <f>+E69+E73+E78+E81+E85+E91+E90</f>
        <v>0</v>
      </c>
    </row>
    <row r="93" spans="1:5" s="40" customFormat="1" ht="25.5" customHeight="1">
      <c r="A93" s="81" t="s">
        <v>278</v>
      </c>
      <c r="B93" s="82" t="s">
        <v>279</v>
      </c>
      <c r="C93" s="59">
        <f>+C68+C92</f>
        <v>26117669</v>
      </c>
      <c r="D93" s="59">
        <f>+D68+D92</f>
        <v>44065109</v>
      </c>
      <c r="E93" s="60">
        <f>+E68+E92</f>
        <v>44546546</v>
      </c>
    </row>
    <row r="94" spans="1:3" s="40" customFormat="1" ht="15" customHeight="1">
      <c r="A94" s="83"/>
      <c r="B94" s="84"/>
      <c r="C94" s="85"/>
    </row>
    <row r="95" spans="1:5" ht="16.5" customHeight="1">
      <c r="A95" s="815" t="s">
        <v>280</v>
      </c>
      <c r="B95" s="815"/>
      <c r="C95" s="815"/>
      <c r="D95" s="815"/>
      <c r="E95" s="815"/>
    </row>
    <row r="96" spans="1:5" s="87" customFormat="1" ht="16.5" customHeight="1">
      <c r="A96" s="816" t="s">
        <v>281</v>
      </c>
      <c r="B96" s="816"/>
      <c r="C96" s="86"/>
      <c r="E96" s="86" t="str">
        <f>E7</f>
        <v> Forintban!</v>
      </c>
    </row>
    <row r="97" spans="1:5" ht="15.75" customHeight="1">
      <c r="A97" s="812" t="s">
        <v>105</v>
      </c>
      <c r="B97" s="813" t="s">
        <v>282</v>
      </c>
      <c r="C97" s="814" t="str">
        <f>+CONCATENATE(LEFT(Z_ÖSSZEFÜGGÉSEK!A6,4),". évi")</f>
        <v>2018. évi</v>
      </c>
      <c r="D97" s="814"/>
      <c r="E97" s="814"/>
    </row>
    <row r="98" spans="1:5" ht="24">
      <c r="A98" s="812"/>
      <c r="B98" s="813"/>
      <c r="C98" s="29" t="s">
        <v>107</v>
      </c>
      <c r="D98" s="30" t="s">
        <v>108</v>
      </c>
      <c r="E98" s="31" t="str">
        <f>CONCATENATE(E9)</f>
        <v>2018. XII. 31.
teljesítés</v>
      </c>
    </row>
    <row r="99" spans="1:5" s="35" customFormat="1" ht="12" customHeight="1">
      <c r="A99" s="88" t="s">
        <v>109</v>
      </c>
      <c r="B99" s="89" t="s">
        <v>110</v>
      </c>
      <c r="C99" s="89" t="s">
        <v>111</v>
      </c>
      <c r="D99" s="89" t="s">
        <v>112</v>
      </c>
      <c r="E99" s="90" t="s">
        <v>113</v>
      </c>
    </row>
    <row r="100" spans="1:5" ht="12" customHeight="1">
      <c r="A100" s="91" t="s">
        <v>114</v>
      </c>
      <c r="B100" s="92" t="s">
        <v>283</v>
      </c>
      <c r="C100" s="93">
        <f>C101+C102+C103+C104+C105+C118</f>
        <v>21075212</v>
      </c>
      <c r="D100" s="93">
        <f>D101+D102+D103+D104+D105+D118</f>
        <v>21559815</v>
      </c>
      <c r="E100" s="94">
        <f>E101+E102+E103+E104+E105+E118</f>
        <v>16812932</v>
      </c>
    </row>
    <row r="101" spans="1:5" ht="12" customHeight="1">
      <c r="A101" s="95" t="s">
        <v>116</v>
      </c>
      <c r="B101" s="96" t="s">
        <v>284</v>
      </c>
      <c r="C101" s="97">
        <v>3665000</v>
      </c>
      <c r="D101" s="97">
        <v>3665000</v>
      </c>
      <c r="E101" s="98">
        <v>2930120</v>
      </c>
    </row>
    <row r="102" spans="1:5" ht="12" customHeight="1">
      <c r="A102" s="45" t="s">
        <v>118</v>
      </c>
      <c r="B102" s="99" t="s">
        <v>285</v>
      </c>
      <c r="C102" s="44">
        <v>715376</v>
      </c>
      <c r="D102" s="44">
        <v>715376</v>
      </c>
      <c r="E102" s="50">
        <v>515136</v>
      </c>
    </row>
    <row r="103" spans="1:5" ht="12" customHeight="1">
      <c r="A103" s="45" t="s">
        <v>120</v>
      </c>
      <c r="B103" s="99" t="s">
        <v>286</v>
      </c>
      <c r="C103" s="55">
        <v>12074836</v>
      </c>
      <c r="D103" s="55">
        <v>12329439</v>
      </c>
      <c r="E103" s="57">
        <v>8767676</v>
      </c>
    </row>
    <row r="104" spans="1:5" ht="12" customHeight="1">
      <c r="A104" s="45" t="s">
        <v>122</v>
      </c>
      <c r="B104" s="100" t="s">
        <v>287</v>
      </c>
      <c r="C104" s="55"/>
      <c r="D104" s="55"/>
      <c r="E104" s="57"/>
    </row>
    <row r="105" spans="1:5" ht="12" customHeight="1">
      <c r="A105" s="45" t="s">
        <v>288</v>
      </c>
      <c r="B105" s="101" t="s">
        <v>289</v>
      </c>
      <c r="C105" s="55">
        <v>4620000</v>
      </c>
      <c r="D105" s="55">
        <v>4850000</v>
      </c>
      <c r="E105" s="57">
        <v>4600000</v>
      </c>
    </row>
    <row r="106" spans="1:5" ht="12" customHeight="1">
      <c r="A106" s="45" t="s">
        <v>126</v>
      </c>
      <c r="B106" s="99" t="s">
        <v>290</v>
      </c>
      <c r="C106" s="55"/>
      <c r="D106" s="55"/>
      <c r="E106" s="57"/>
    </row>
    <row r="107" spans="1:5" ht="12" customHeight="1">
      <c r="A107" s="45" t="s">
        <v>291</v>
      </c>
      <c r="B107" s="102" t="s">
        <v>292</v>
      </c>
      <c r="C107" s="55"/>
      <c r="D107" s="55"/>
      <c r="E107" s="57"/>
    </row>
    <row r="108" spans="1:5" ht="12" customHeight="1">
      <c r="A108" s="45" t="s">
        <v>293</v>
      </c>
      <c r="B108" s="102" t="s">
        <v>294</v>
      </c>
      <c r="C108" s="55"/>
      <c r="D108" s="55"/>
      <c r="E108" s="57"/>
    </row>
    <row r="109" spans="1:5" ht="12" customHeight="1">
      <c r="A109" s="45" t="s">
        <v>295</v>
      </c>
      <c r="B109" s="103" t="s">
        <v>296</v>
      </c>
      <c r="C109" s="55"/>
      <c r="D109" s="55"/>
      <c r="E109" s="57"/>
    </row>
    <row r="110" spans="1:5" ht="12" customHeight="1">
      <c r="A110" s="45" t="s">
        <v>297</v>
      </c>
      <c r="B110" s="104" t="s">
        <v>298</v>
      </c>
      <c r="C110" s="55"/>
      <c r="D110" s="55"/>
      <c r="E110" s="57"/>
    </row>
    <row r="111" spans="1:5" ht="12" customHeight="1">
      <c r="A111" s="45" t="s">
        <v>299</v>
      </c>
      <c r="B111" s="104" t="s">
        <v>300</v>
      </c>
      <c r="C111" s="55"/>
      <c r="D111" s="55"/>
      <c r="E111" s="57"/>
    </row>
    <row r="112" spans="1:5" ht="12" customHeight="1">
      <c r="A112" s="45" t="s">
        <v>301</v>
      </c>
      <c r="B112" s="103" t="s">
        <v>302</v>
      </c>
      <c r="C112" s="55"/>
      <c r="D112" s="55"/>
      <c r="E112" s="57"/>
    </row>
    <row r="113" spans="1:5" ht="12" customHeight="1">
      <c r="A113" s="45" t="s">
        <v>303</v>
      </c>
      <c r="B113" s="103" t="s">
        <v>304</v>
      </c>
      <c r="C113" s="55"/>
      <c r="D113" s="55"/>
      <c r="E113" s="57"/>
    </row>
    <row r="114" spans="1:5" ht="12" customHeight="1">
      <c r="A114" s="45" t="s">
        <v>305</v>
      </c>
      <c r="B114" s="104" t="s">
        <v>306</v>
      </c>
      <c r="C114" s="55"/>
      <c r="D114" s="55"/>
      <c r="E114" s="57"/>
    </row>
    <row r="115" spans="1:5" ht="12" customHeight="1">
      <c r="A115" s="105" t="s">
        <v>307</v>
      </c>
      <c r="B115" s="102" t="s">
        <v>308</v>
      </c>
      <c r="C115" s="55"/>
      <c r="D115" s="55"/>
      <c r="E115" s="57"/>
    </row>
    <row r="116" spans="1:5" ht="12" customHeight="1">
      <c r="A116" s="45" t="s">
        <v>309</v>
      </c>
      <c r="B116" s="102" t="s">
        <v>310</v>
      </c>
      <c r="C116" s="55"/>
      <c r="D116" s="55"/>
      <c r="E116" s="57"/>
    </row>
    <row r="117" spans="1:5" ht="12" customHeight="1">
      <c r="A117" s="48" t="s">
        <v>311</v>
      </c>
      <c r="B117" s="102" t="s">
        <v>312</v>
      </c>
      <c r="C117" s="55">
        <v>4620000</v>
      </c>
      <c r="D117" s="55">
        <v>4850000</v>
      </c>
      <c r="E117" s="57">
        <v>4600000</v>
      </c>
    </row>
    <row r="118" spans="1:5" ht="12" customHeight="1">
      <c r="A118" s="45" t="s">
        <v>313</v>
      </c>
      <c r="B118" s="100" t="s">
        <v>314</v>
      </c>
      <c r="C118" s="44"/>
      <c r="D118" s="44"/>
      <c r="E118" s="50"/>
    </row>
    <row r="119" spans="1:5" ht="12" customHeight="1">
      <c r="A119" s="45" t="s">
        <v>315</v>
      </c>
      <c r="B119" s="99" t="s">
        <v>316</v>
      </c>
      <c r="C119" s="44"/>
      <c r="D119" s="44"/>
      <c r="E119" s="50"/>
    </row>
    <row r="120" spans="1:5" ht="12" customHeight="1">
      <c r="A120" s="106" t="s">
        <v>317</v>
      </c>
      <c r="B120" s="107" t="s">
        <v>318</v>
      </c>
      <c r="C120" s="108"/>
      <c r="D120" s="108"/>
      <c r="E120" s="109"/>
    </row>
    <row r="121" spans="1:5" ht="12" customHeight="1">
      <c r="A121" s="110" t="s">
        <v>128</v>
      </c>
      <c r="B121" s="111" t="s">
        <v>319</v>
      </c>
      <c r="C121" s="112">
        <f>+C122+C124+C126</f>
        <v>4500000</v>
      </c>
      <c r="D121" s="38">
        <f>+D122+D124+D126</f>
        <v>4500000</v>
      </c>
      <c r="E121" s="113">
        <f>+E122+E124+E126</f>
        <v>3077980</v>
      </c>
    </row>
    <row r="122" spans="1:5" ht="12" customHeight="1">
      <c r="A122" s="41" t="s">
        <v>130</v>
      </c>
      <c r="B122" s="99" t="s">
        <v>320</v>
      </c>
      <c r="C122" s="43"/>
      <c r="D122" s="43"/>
      <c r="E122" s="53"/>
    </row>
    <row r="123" spans="1:5" ht="12" customHeight="1">
      <c r="A123" s="41" t="s">
        <v>132</v>
      </c>
      <c r="B123" s="114" t="s">
        <v>321</v>
      </c>
      <c r="C123" s="43"/>
      <c r="D123" s="43"/>
      <c r="E123" s="53"/>
    </row>
    <row r="124" spans="1:5" ht="12" customHeight="1">
      <c r="A124" s="41" t="s">
        <v>134</v>
      </c>
      <c r="B124" s="114" t="s">
        <v>322</v>
      </c>
      <c r="C124" s="44"/>
      <c r="D124" s="44"/>
      <c r="E124" s="50"/>
    </row>
    <row r="125" spans="1:5" ht="12" customHeight="1">
      <c r="A125" s="41" t="s">
        <v>136</v>
      </c>
      <c r="B125" s="114" t="s">
        <v>323</v>
      </c>
      <c r="C125" s="50"/>
      <c r="D125" s="50"/>
      <c r="E125" s="50"/>
    </row>
    <row r="126" spans="1:5" ht="12" customHeight="1">
      <c r="A126" s="41" t="s">
        <v>138</v>
      </c>
      <c r="B126" s="49" t="s">
        <v>324</v>
      </c>
      <c r="C126" s="50">
        <v>4500000</v>
      </c>
      <c r="D126" s="50">
        <v>4500000</v>
      </c>
      <c r="E126" s="50">
        <v>3077980</v>
      </c>
    </row>
    <row r="127" spans="1:5" ht="12" customHeight="1">
      <c r="A127" s="41" t="s">
        <v>140</v>
      </c>
      <c r="B127" s="47" t="s">
        <v>325</v>
      </c>
      <c r="C127" s="50"/>
      <c r="D127" s="50"/>
      <c r="E127" s="50"/>
    </row>
    <row r="128" spans="1:5" ht="12" customHeight="1">
      <c r="A128" s="41" t="s">
        <v>326</v>
      </c>
      <c r="B128" s="115" t="s">
        <v>327</v>
      </c>
      <c r="C128" s="50"/>
      <c r="D128" s="50"/>
      <c r="E128" s="50"/>
    </row>
    <row r="129" spans="1:5" ht="15.75">
      <c r="A129" s="41" t="s">
        <v>328</v>
      </c>
      <c r="B129" s="104" t="s">
        <v>300</v>
      </c>
      <c r="C129" s="50"/>
      <c r="D129" s="50"/>
      <c r="E129" s="50"/>
    </row>
    <row r="130" spans="1:5" ht="12" customHeight="1">
      <c r="A130" s="41" t="s">
        <v>329</v>
      </c>
      <c r="B130" s="104" t="s">
        <v>330</v>
      </c>
      <c r="C130" s="50"/>
      <c r="D130" s="50"/>
      <c r="E130" s="50"/>
    </row>
    <row r="131" spans="1:5" ht="12" customHeight="1">
      <c r="A131" s="41" t="s">
        <v>331</v>
      </c>
      <c r="B131" s="104" t="s">
        <v>332</v>
      </c>
      <c r="C131" s="50"/>
      <c r="D131" s="50"/>
      <c r="E131" s="50"/>
    </row>
    <row r="132" spans="1:5" ht="12" customHeight="1">
      <c r="A132" s="41" t="s">
        <v>333</v>
      </c>
      <c r="B132" s="104" t="s">
        <v>306</v>
      </c>
      <c r="C132" s="50">
        <v>2000000</v>
      </c>
      <c r="D132" s="50">
        <v>2000000</v>
      </c>
      <c r="E132" s="50">
        <v>1585675</v>
      </c>
    </row>
    <row r="133" spans="1:5" ht="12" customHeight="1">
      <c r="A133" s="41" t="s">
        <v>334</v>
      </c>
      <c r="B133" s="104" t="s">
        <v>335</v>
      </c>
      <c r="C133" s="50"/>
      <c r="D133" s="50"/>
      <c r="E133" s="50"/>
    </row>
    <row r="134" spans="1:5" ht="15.75">
      <c r="A134" s="105" t="s">
        <v>336</v>
      </c>
      <c r="B134" s="104" t="s">
        <v>337</v>
      </c>
      <c r="C134" s="57">
        <v>2500000</v>
      </c>
      <c r="D134" s="57">
        <v>2500000</v>
      </c>
      <c r="E134" s="50">
        <v>1492305</v>
      </c>
    </row>
    <row r="135" spans="1:5" ht="12" customHeight="1">
      <c r="A135" s="36" t="s">
        <v>142</v>
      </c>
      <c r="B135" s="116" t="s">
        <v>338</v>
      </c>
      <c r="C135" s="38">
        <f>+C100+C121</f>
        <v>25575212</v>
      </c>
      <c r="D135" s="117">
        <f>+D100+D121</f>
        <v>26059815</v>
      </c>
      <c r="E135" s="39">
        <f>+E100+E121</f>
        <v>19890912</v>
      </c>
    </row>
    <row r="136" spans="1:5" ht="12" customHeight="1">
      <c r="A136" s="36" t="s">
        <v>339</v>
      </c>
      <c r="B136" s="116" t="s">
        <v>340</v>
      </c>
      <c r="C136" s="38">
        <f>+C137+C138+C139</f>
        <v>0</v>
      </c>
      <c r="D136" s="117">
        <f>+D137+D138+D139</f>
        <v>0</v>
      </c>
      <c r="E136" s="39">
        <f>+E137+E138+E139</f>
        <v>0</v>
      </c>
    </row>
    <row r="137" spans="1:5" ht="12" customHeight="1">
      <c r="A137" s="41" t="s">
        <v>158</v>
      </c>
      <c r="B137" s="114" t="s">
        <v>341</v>
      </c>
      <c r="C137" s="54"/>
      <c r="D137" s="118"/>
      <c r="E137" s="50"/>
    </row>
    <row r="138" spans="1:5" ht="12" customHeight="1">
      <c r="A138" s="41" t="s">
        <v>160</v>
      </c>
      <c r="B138" s="114" t="s">
        <v>342</v>
      </c>
      <c r="C138" s="54"/>
      <c r="D138" s="118"/>
      <c r="E138" s="50"/>
    </row>
    <row r="139" spans="1:5" ht="12" customHeight="1">
      <c r="A139" s="105" t="s">
        <v>162</v>
      </c>
      <c r="B139" s="114" t="s">
        <v>343</v>
      </c>
      <c r="C139" s="54"/>
      <c r="D139" s="118"/>
      <c r="E139" s="50"/>
    </row>
    <row r="140" spans="1:5" ht="12" customHeight="1">
      <c r="A140" s="36" t="s">
        <v>172</v>
      </c>
      <c r="B140" s="116" t="s">
        <v>344</v>
      </c>
      <c r="C140" s="38">
        <f>SUM(C141:C146)</f>
        <v>0</v>
      </c>
      <c r="D140" s="117">
        <f>SUM(D141:D146)</f>
        <v>0</v>
      </c>
      <c r="E140" s="39">
        <f>SUM(E141:E146)</f>
        <v>0</v>
      </c>
    </row>
    <row r="141" spans="1:5" ht="12" customHeight="1">
      <c r="A141" s="41" t="s">
        <v>174</v>
      </c>
      <c r="B141" s="119" t="s">
        <v>345</v>
      </c>
      <c r="C141" s="54"/>
      <c r="D141" s="118"/>
      <c r="E141" s="50"/>
    </row>
    <row r="142" spans="1:5" ht="12" customHeight="1">
      <c r="A142" s="41" t="s">
        <v>176</v>
      </c>
      <c r="B142" s="119" t="s">
        <v>346</v>
      </c>
      <c r="C142" s="54"/>
      <c r="D142" s="118"/>
      <c r="E142" s="50"/>
    </row>
    <row r="143" spans="1:5" ht="12" customHeight="1">
      <c r="A143" s="41" t="s">
        <v>178</v>
      </c>
      <c r="B143" s="119" t="s">
        <v>347</v>
      </c>
      <c r="C143" s="54"/>
      <c r="D143" s="118"/>
      <c r="E143" s="50"/>
    </row>
    <row r="144" spans="1:5" ht="12" customHeight="1">
      <c r="A144" s="41" t="s">
        <v>180</v>
      </c>
      <c r="B144" s="119" t="s">
        <v>348</v>
      </c>
      <c r="C144" s="54"/>
      <c r="D144" s="118"/>
      <c r="E144" s="50"/>
    </row>
    <row r="145" spans="1:5" ht="12" customHeight="1">
      <c r="A145" s="41" t="s">
        <v>182</v>
      </c>
      <c r="B145" s="119" t="s">
        <v>349</v>
      </c>
      <c r="C145" s="54"/>
      <c r="D145" s="118"/>
      <c r="E145" s="50"/>
    </row>
    <row r="146" spans="1:5" ht="12" customHeight="1">
      <c r="A146" s="106" t="s">
        <v>184</v>
      </c>
      <c r="B146" s="120" t="s">
        <v>350</v>
      </c>
      <c r="C146" s="121"/>
      <c r="D146" s="122"/>
      <c r="E146" s="109"/>
    </row>
    <row r="147" spans="1:5" ht="12" customHeight="1">
      <c r="A147" s="36" t="s">
        <v>196</v>
      </c>
      <c r="B147" s="116" t="s">
        <v>351</v>
      </c>
      <c r="C147" s="59">
        <f>+C148+C149+C150+C151</f>
        <v>0</v>
      </c>
      <c r="D147" s="123">
        <f>+D148+D149+D150+D151</f>
        <v>0</v>
      </c>
      <c r="E147" s="60">
        <f>+E148+E149+E150+E151</f>
        <v>0</v>
      </c>
    </row>
    <row r="148" spans="1:5" ht="12" customHeight="1">
      <c r="A148" s="41" t="s">
        <v>198</v>
      </c>
      <c r="B148" s="119" t="s">
        <v>352</v>
      </c>
      <c r="C148" s="54"/>
      <c r="D148" s="118"/>
      <c r="E148" s="50"/>
    </row>
    <row r="149" spans="1:5" ht="12" customHeight="1">
      <c r="A149" s="41" t="s">
        <v>200</v>
      </c>
      <c r="B149" s="119" t="s">
        <v>353</v>
      </c>
      <c r="C149" s="54"/>
      <c r="D149" s="118"/>
      <c r="E149" s="50"/>
    </row>
    <row r="150" spans="1:5" ht="12" customHeight="1">
      <c r="A150" s="41" t="s">
        <v>202</v>
      </c>
      <c r="B150" s="119" t="s">
        <v>354</v>
      </c>
      <c r="C150" s="54"/>
      <c r="D150" s="118"/>
      <c r="E150" s="50"/>
    </row>
    <row r="151" spans="1:5" ht="12" customHeight="1">
      <c r="A151" s="105" t="s">
        <v>204</v>
      </c>
      <c r="B151" s="124" t="s">
        <v>355</v>
      </c>
      <c r="C151" s="54"/>
      <c r="D151" s="118"/>
      <c r="E151" s="50"/>
    </row>
    <row r="152" spans="1:5" ht="12" customHeight="1">
      <c r="A152" s="36" t="s">
        <v>356</v>
      </c>
      <c r="B152" s="116" t="s">
        <v>357</v>
      </c>
      <c r="C152" s="125">
        <f>SUM(C153:C157)</f>
        <v>0</v>
      </c>
      <c r="D152" s="126">
        <f>SUM(D153:D157)</f>
        <v>0</v>
      </c>
      <c r="E152" s="127">
        <f>SUM(E153:E157)</f>
        <v>0</v>
      </c>
    </row>
    <row r="153" spans="1:5" ht="12" customHeight="1">
      <c r="A153" s="41" t="s">
        <v>210</v>
      </c>
      <c r="B153" s="119" t="s">
        <v>358</v>
      </c>
      <c r="C153" s="54"/>
      <c r="D153" s="118"/>
      <c r="E153" s="50"/>
    </row>
    <row r="154" spans="1:5" ht="12" customHeight="1">
      <c r="A154" s="41" t="s">
        <v>212</v>
      </c>
      <c r="B154" s="119" t="s">
        <v>359</v>
      </c>
      <c r="C154" s="54"/>
      <c r="D154" s="118"/>
      <c r="E154" s="50"/>
    </row>
    <row r="155" spans="1:5" ht="12" customHeight="1">
      <c r="A155" s="41" t="s">
        <v>214</v>
      </c>
      <c r="B155" s="119" t="s">
        <v>360</v>
      </c>
      <c r="C155" s="54"/>
      <c r="D155" s="118"/>
      <c r="E155" s="50"/>
    </row>
    <row r="156" spans="1:5" ht="12" customHeight="1">
      <c r="A156" s="41" t="s">
        <v>216</v>
      </c>
      <c r="B156" s="119" t="s">
        <v>361</v>
      </c>
      <c r="C156" s="54"/>
      <c r="D156" s="118"/>
      <c r="E156" s="50"/>
    </row>
    <row r="157" spans="1:5" ht="12" customHeight="1">
      <c r="A157" s="41" t="s">
        <v>362</v>
      </c>
      <c r="B157" s="119" t="s">
        <v>363</v>
      </c>
      <c r="C157" s="54"/>
      <c r="D157" s="118"/>
      <c r="E157" s="50"/>
    </row>
    <row r="158" spans="1:5" ht="12" customHeight="1">
      <c r="A158" s="36" t="s">
        <v>218</v>
      </c>
      <c r="B158" s="116" t="s">
        <v>364</v>
      </c>
      <c r="C158" s="128"/>
      <c r="D158" s="129"/>
      <c r="E158" s="130"/>
    </row>
    <row r="159" spans="1:5" ht="12" customHeight="1">
      <c r="A159" s="36" t="s">
        <v>365</v>
      </c>
      <c r="B159" s="116" t="s">
        <v>366</v>
      </c>
      <c r="C159" s="128"/>
      <c r="D159" s="129"/>
      <c r="E159" s="130"/>
    </row>
    <row r="160" spans="1:9" ht="15" customHeight="1">
      <c r="A160" s="36" t="s">
        <v>367</v>
      </c>
      <c r="B160" s="116" t="s">
        <v>368</v>
      </c>
      <c r="C160" s="131">
        <f>+C136+C140+C147+C152+C158+C159</f>
        <v>0</v>
      </c>
      <c r="D160" s="132">
        <f>+D136+D140+D147+D152+D158+D159</f>
        <v>0</v>
      </c>
      <c r="E160" s="133">
        <f>+E136+E140+E147+E152+E158+E159</f>
        <v>0</v>
      </c>
      <c r="F160" s="134"/>
      <c r="G160" s="135"/>
      <c r="H160" s="135"/>
      <c r="I160" s="135"/>
    </row>
    <row r="161" spans="1:5" s="40" customFormat="1" ht="12.75" customHeight="1">
      <c r="A161" s="136" t="s">
        <v>369</v>
      </c>
      <c r="B161" s="137" t="s">
        <v>370</v>
      </c>
      <c r="C161" s="131">
        <f>+C135+C160</f>
        <v>25575212</v>
      </c>
      <c r="D161" s="132">
        <f>+D135+D160</f>
        <v>26059815</v>
      </c>
      <c r="E161" s="133">
        <f>+E135+E160</f>
        <v>19890912</v>
      </c>
    </row>
    <row r="162" spans="3:4" ht="15.75">
      <c r="C162" s="139">
        <f>C93-C161</f>
        <v>542457</v>
      </c>
      <c r="D162" s="139">
        <f>D93-D161</f>
        <v>18005294</v>
      </c>
    </row>
    <row r="163" spans="1:5" ht="15.75">
      <c r="A163" s="810" t="s">
        <v>371</v>
      </c>
      <c r="B163" s="810"/>
      <c r="C163" s="810"/>
      <c r="D163" s="810"/>
      <c r="E163" s="810"/>
    </row>
    <row r="164" spans="1:5" ht="15" customHeight="1">
      <c r="A164" s="811" t="s">
        <v>372</v>
      </c>
      <c r="B164" s="811"/>
      <c r="C164" s="140"/>
      <c r="E164" s="140" t="str">
        <f>E96</f>
        <v> Forintban!</v>
      </c>
    </row>
    <row r="165" spans="1:5" ht="25.5" customHeight="1">
      <c r="A165" s="36">
        <v>1</v>
      </c>
      <c r="B165" s="141" t="s">
        <v>373</v>
      </c>
      <c r="C165" s="142">
        <f>+C68-C135</f>
        <v>542457</v>
      </c>
      <c r="D165" s="38">
        <f>+D68-D135</f>
        <v>18005294</v>
      </c>
      <c r="E165" s="39">
        <f>+E68-E135</f>
        <v>24655634</v>
      </c>
    </row>
    <row r="166" spans="1:5" ht="32.25" customHeight="1">
      <c r="A166" s="36" t="s">
        <v>128</v>
      </c>
      <c r="B166" s="141" t="s">
        <v>374</v>
      </c>
      <c r="C166" s="38">
        <f>+C92-C160</f>
        <v>0</v>
      </c>
      <c r="D166" s="38">
        <f>+D92-D160</f>
        <v>0</v>
      </c>
      <c r="E166" s="39">
        <f>+E92-E160</f>
        <v>0</v>
      </c>
    </row>
  </sheetData>
  <sheetProtection selectLockedCells="1" selectUnlockedCells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25" right="0.25" top="0.75" bottom="0.75" header="0.5118055555555555" footer="0.5118055555555555"/>
  <pageSetup fitToHeight="0" fitToWidth="1" horizontalDpi="300" verticalDpi="300" orientation="portrait" paperSize="9"/>
  <rowBreaks count="2" manualBreakCount="2">
    <brk id="68" max="255" man="1"/>
    <brk id="146" max="25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G15" sqref="G15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CONCATENATE("6.12.2. melléklet ",Z_ALAPADATOK!A7," ",Z_ALAPADATOK!B7," ",Z_ALAPADATOK!C7," ",Z_ALAPADATOK!D7," ",Z_ALAPADATOK!E7," ",Z_ALAPADATOK!F7," ",Z_ALAPADATOK!G7," ",Z_ALAPADATOK!H7)</f>
        <v>6.12.2.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CONCATENATE('Z_6.12.1.sz.mell'!B2:D2)</f>
        <v>#REF!</v>
      </c>
      <c r="C2" s="850"/>
      <c r="D2" s="850"/>
      <c r="E2" s="403" t="s">
        <v>637</v>
      </c>
    </row>
    <row r="3" spans="1:5" s="404" customFormat="1" ht="24.75" customHeight="1">
      <c r="A3" s="402" t="s">
        <v>567</v>
      </c>
      <c r="B3" s="850" t="s">
        <v>29</v>
      </c>
      <c r="C3" s="850"/>
      <c r="D3" s="850"/>
      <c r="E3" s="403" t="s">
        <v>624</v>
      </c>
    </row>
    <row r="4" spans="1:5" s="405" customFormat="1" ht="15.75" customHeight="1">
      <c r="A4" s="341"/>
      <c r="B4" s="341"/>
      <c r="C4" s="342"/>
      <c r="D4" s="343"/>
      <c r="E4" s="342" t="str">
        <f>'Z_6.12.1.sz.mell'!E4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CONCATENATE('Z_6.12.1.sz.mell'!E5)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zoomScale="120" zoomScaleNormal="120" zoomScalePageLayoutView="0" workbookViewId="0" topLeftCell="A1">
      <selection activeCell="H18" sqref="H18"/>
    </sheetView>
  </sheetViews>
  <sheetFormatPr defaultColWidth="9.00390625" defaultRowHeight="12.75"/>
  <cols>
    <col min="1" max="1" width="13.875" style="399" customWidth="1"/>
    <col min="2" max="2" width="54.50390625" style="400" customWidth="1"/>
    <col min="3" max="5" width="15.875" style="400" customWidth="1"/>
    <col min="6" max="16384" width="9.375" style="400" customWidth="1"/>
  </cols>
  <sheetData>
    <row r="1" spans="1:5" s="401" customFormat="1" ht="15.75">
      <c r="A1" s="335"/>
      <c r="B1" s="851" t="str">
        <f>CONCATENATE("6.12.3. melléklet ",Z_ALAPADATOK!A7," ",Z_ALAPADATOK!B7," ",Z_ALAPADATOK!C7," ",Z_ALAPADATOK!D7," ",Z_ALAPADATOK!E7," ",Z_ALAPADATOK!F7," ",Z_ALAPADATOK!G7," ",Z_ALAPADATOK!H7)</f>
        <v>6.12.3. melléklet a … / 2019. ( … ) önkormányzati rendelethez</v>
      </c>
      <c r="C1" s="851"/>
      <c r="D1" s="851"/>
      <c r="E1" s="851"/>
    </row>
    <row r="2" spans="1:5" s="404" customFormat="1" ht="25.5" customHeight="1">
      <c r="A2" s="402" t="s">
        <v>596</v>
      </c>
      <c r="B2" s="850" t="e">
        <f>CONCATENATE('Z_6.12.2.sz.mell'!B2:D2)</f>
        <v>#REF!</v>
      </c>
      <c r="C2" s="850"/>
      <c r="D2" s="850"/>
      <c r="E2" s="403" t="s">
        <v>636</v>
      </c>
    </row>
    <row r="3" spans="1:5" s="404" customFormat="1" ht="24.75" customHeight="1">
      <c r="A3" s="402" t="s">
        <v>567</v>
      </c>
      <c r="B3" s="850" t="s">
        <v>595</v>
      </c>
      <c r="C3" s="850"/>
      <c r="D3" s="850"/>
      <c r="E3" s="403" t="s">
        <v>625</v>
      </c>
    </row>
    <row r="4" spans="1:5" s="405" customFormat="1" ht="15.75" customHeight="1">
      <c r="A4" s="341"/>
      <c r="B4" s="341"/>
      <c r="C4" s="342"/>
      <c r="D4" s="343"/>
      <c r="E4" s="342" t="str">
        <f>'Z_6.12.2.sz.mell'!E4</f>
        <v>E</v>
      </c>
    </row>
    <row r="5" spans="1:5" ht="24">
      <c r="A5" s="346" t="s">
        <v>569</v>
      </c>
      <c r="B5" s="347" t="s">
        <v>570</v>
      </c>
      <c r="C5" s="347" t="s">
        <v>571</v>
      </c>
      <c r="D5" s="348" t="s">
        <v>572</v>
      </c>
      <c r="E5" s="349" t="str">
        <f>CONCATENATE('Z_6.12.2.sz.mell'!E5)</f>
        <v>Teljesítés
2018. XII. 31.</v>
      </c>
    </row>
    <row r="6" spans="1:5" s="410" customFormat="1" ht="12.75" customHeight="1">
      <c r="A6" s="406" t="s">
        <v>109</v>
      </c>
      <c r="B6" s="407" t="s">
        <v>110</v>
      </c>
      <c r="C6" s="407" t="s">
        <v>111</v>
      </c>
      <c r="D6" s="408" t="s">
        <v>112</v>
      </c>
      <c r="E6" s="409" t="s">
        <v>113</v>
      </c>
    </row>
    <row r="7" spans="1:5" s="410" customFormat="1" ht="15.75" customHeight="1">
      <c r="A7" s="849" t="s">
        <v>380</v>
      </c>
      <c r="B7" s="849"/>
      <c r="C7" s="849"/>
      <c r="D7" s="849"/>
      <c r="E7" s="849"/>
    </row>
    <row r="8" spans="1:5" s="412" customFormat="1" ht="12" customHeight="1">
      <c r="A8" s="350" t="s">
        <v>114</v>
      </c>
      <c r="B8" s="411" t="s">
        <v>597</v>
      </c>
      <c r="C8" s="185">
        <f>SUM(C9:C19)</f>
        <v>0</v>
      </c>
      <c r="D8" s="185">
        <f>SUM(D9:D19)</f>
        <v>0</v>
      </c>
      <c r="E8" s="444">
        <f>SUM(E9:E19)</f>
        <v>0</v>
      </c>
    </row>
    <row r="9" spans="1:5" s="412" customFormat="1" ht="12" customHeight="1">
      <c r="A9" s="413" t="s">
        <v>116</v>
      </c>
      <c r="B9" s="96" t="s">
        <v>175</v>
      </c>
      <c r="C9" s="414"/>
      <c r="D9" s="414"/>
      <c r="E9" s="415"/>
    </row>
    <row r="10" spans="1:5" s="412" customFormat="1" ht="12" customHeight="1">
      <c r="A10" s="416" t="s">
        <v>118</v>
      </c>
      <c r="B10" s="99" t="s">
        <v>177</v>
      </c>
      <c r="C10" s="173"/>
      <c r="D10" s="417"/>
      <c r="E10" s="178"/>
    </row>
    <row r="11" spans="1:5" s="412" customFormat="1" ht="12" customHeight="1">
      <c r="A11" s="416" t="s">
        <v>120</v>
      </c>
      <c r="B11" s="99" t="s">
        <v>179</v>
      </c>
      <c r="C11" s="173"/>
      <c r="D11" s="417"/>
      <c r="E11" s="178"/>
    </row>
    <row r="12" spans="1:5" s="412" customFormat="1" ht="12" customHeight="1">
      <c r="A12" s="416" t="s">
        <v>122</v>
      </c>
      <c r="B12" s="99" t="s">
        <v>181</v>
      </c>
      <c r="C12" s="173"/>
      <c r="D12" s="417"/>
      <c r="E12" s="178"/>
    </row>
    <row r="13" spans="1:5" s="412" customFormat="1" ht="12" customHeight="1">
      <c r="A13" s="416" t="s">
        <v>124</v>
      </c>
      <c r="B13" s="99" t="s">
        <v>183</v>
      </c>
      <c r="C13" s="173"/>
      <c r="D13" s="417"/>
      <c r="E13" s="178"/>
    </row>
    <row r="14" spans="1:5" s="412" customFormat="1" ht="12" customHeight="1">
      <c r="A14" s="416" t="s">
        <v>126</v>
      </c>
      <c r="B14" s="99" t="s">
        <v>598</v>
      </c>
      <c r="C14" s="173"/>
      <c r="D14" s="417"/>
      <c r="E14" s="178"/>
    </row>
    <row r="15" spans="1:5" s="412" customFormat="1" ht="12" customHeight="1">
      <c r="A15" s="416" t="s">
        <v>291</v>
      </c>
      <c r="B15" s="124" t="s">
        <v>599</v>
      </c>
      <c r="C15" s="173"/>
      <c r="D15" s="417"/>
      <c r="E15" s="178"/>
    </row>
    <row r="16" spans="1:5" s="412" customFormat="1" ht="12" customHeight="1">
      <c r="A16" s="416" t="s">
        <v>293</v>
      </c>
      <c r="B16" s="99" t="s">
        <v>600</v>
      </c>
      <c r="C16" s="418"/>
      <c r="D16" s="419"/>
      <c r="E16" s="212"/>
    </row>
    <row r="17" spans="1:5" s="420" customFormat="1" ht="12" customHeight="1">
      <c r="A17" s="416" t="s">
        <v>295</v>
      </c>
      <c r="B17" s="99" t="s">
        <v>191</v>
      </c>
      <c r="C17" s="173"/>
      <c r="D17" s="417"/>
      <c r="E17" s="178"/>
    </row>
    <row r="18" spans="1:5" s="420" customFormat="1" ht="12" customHeight="1">
      <c r="A18" s="416" t="s">
        <v>297</v>
      </c>
      <c r="B18" s="99" t="s">
        <v>193</v>
      </c>
      <c r="C18" s="181"/>
      <c r="D18" s="421"/>
      <c r="E18" s="182"/>
    </row>
    <row r="19" spans="1:5" s="420" customFormat="1" ht="12" customHeight="1">
      <c r="A19" s="416" t="s">
        <v>299</v>
      </c>
      <c r="B19" s="124" t="s">
        <v>195</v>
      </c>
      <c r="C19" s="181"/>
      <c r="D19" s="421"/>
      <c r="E19" s="182"/>
    </row>
    <row r="20" spans="1:5" s="412" customFormat="1" ht="12" customHeight="1">
      <c r="A20" s="350" t="s">
        <v>128</v>
      </c>
      <c r="B20" s="411" t="s">
        <v>601</v>
      </c>
      <c r="C20" s="185">
        <f>SUM(C21:C23)</f>
        <v>0</v>
      </c>
      <c r="D20" s="200">
        <f>SUM(D21:D23)</f>
        <v>0</v>
      </c>
      <c r="E20" s="186">
        <f>SUM(E21:E23)</f>
        <v>0</v>
      </c>
    </row>
    <row r="21" spans="1:5" s="420" customFormat="1" ht="12" customHeight="1">
      <c r="A21" s="416" t="s">
        <v>130</v>
      </c>
      <c r="B21" s="119" t="s">
        <v>131</v>
      </c>
      <c r="C21" s="173"/>
      <c r="D21" s="417"/>
      <c r="E21" s="178"/>
    </row>
    <row r="22" spans="1:5" s="420" customFormat="1" ht="12" customHeight="1">
      <c r="A22" s="416" t="s">
        <v>132</v>
      </c>
      <c r="B22" s="99" t="s">
        <v>602</v>
      </c>
      <c r="C22" s="173"/>
      <c r="D22" s="417"/>
      <c r="E22" s="178"/>
    </row>
    <row r="23" spans="1:5" s="420" customFormat="1" ht="12" customHeight="1">
      <c r="A23" s="416" t="s">
        <v>134</v>
      </c>
      <c r="B23" s="99" t="s">
        <v>603</v>
      </c>
      <c r="C23" s="173"/>
      <c r="D23" s="417"/>
      <c r="E23" s="178"/>
    </row>
    <row r="24" spans="1:5" s="420" customFormat="1" ht="12" customHeight="1">
      <c r="A24" s="416" t="s">
        <v>136</v>
      </c>
      <c r="B24" s="99" t="s">
        <v>626</v>
      </c>
      <c r="C24" s="173"/>
      <c r="D24" s="417"/>
      <c r="E24" s="178"/>
    </row>
    <row r="25" spans="1:5" s="420" customFormat="1" ht="12" customHeight="1">
      <c r="A25" s="422" t="s">
        <v>142</v>
      </c>
      <c r="B25" s="116" t="s">
        <v>392</v>
      </c>
      <c r="C25" s="423"/>
      <c r="D25" s="445"/>
      <c r="E25" s="424"/>
    </row>
    <row r="26" spans="1:5" s="420" customFormat="1" ht="12" customHeight="1">
      <c r="A26" s="422" t="s">
        <v>339</v>
      </c>
      <c r="B26" s="116" t="s">
        <v>627</v>
      </c>
      <c r="C26" s="185">
        <f>+C27+C28</f>
        <v>0</v>
      </c>
      <c r="D26" s="200">
        <f>+D27+D28</f>
        <v>0</v>
      </c>
      <c r="E26" s="186">
        <f>+E27+E28</f>
        <v>0</v>
      </c>
    </row>
    <row r="27" spans="1:5" s="420" customFormat="1" ht="12" customHeight="1">
      <c r="A27" s="425" t="s">
        <v>158</v>
      </c>
      <c r="B27" s="426" t="s">
        <v>602</v>
      </c>
      <c r="C27" s="215"/>
      <c r="D27" s="432"/>
      <c r="E27" s="216"/>
    </row>
    <row r="28" spans="1:5" s="420" customFormat="1" ht="12" customHeight="1">
      <c r="A28" s="425" t="s">
        <v>160</v>
      </c>
      <c r="B28" s="427" t="s">
        <v>606</v>
      </c>
      <c r="C28" s="191"/>
      <c r="D28" s="196"/>
      <c r="E28" s="192"/>
    </row>
    <row r="29" spans="1:5" s="420" customFormat="1" ht="12" customHeight="1">
      <c r="A29" s="416" t="s">
        <v>162</v>
      </c>
      <c r="B29" s="428" t="s">
        <v>628</v>
      </c>
      <c r="C29" s="429"/>
      <c r="D29" s="433"/>
      <c r="E29" s="430"/>
    </row>
    <row r="30" spans="1:5" s="420" customFormat="1" ht="12" customHeight="1">
      <c r="A30" s="422" t="s">
        <v>172</v>
      </c>
      <c r="B30" s="116" t="s">
        <v>608</v>
      </c>
      <c r="C30" s="185">
        <f>+C31+C32+C33</f>
        <v>0</v>
      </c>
      <c r="D30" s="200">
        <f>+D31+D32+D33</f>
        <v>0</v>
      </c>
      <c r="E30" s="186">
        <f>+E31+E32+E33</f>
        <v>0</v>
      </c>
    </row>
    <row r="31" spans="1:5" s="420" customFormat="1" ht="12" customHeight="1">
      <c r="A31" s="425" t="s">
        <v>174</v>
      </c>
      <c r="B31" s="426" t="s">
        <v>199</v>
      </c>
      <c r="C31" s="215"/>
      <c r="D31" s="432"/>
      <c r="E31" s="216"/>
    </row>
    <row r="32" spans="1:5" s="420" customFormat="1" ht="12" customHeight="1">
      <c r="A32" s="425" t="s">
        <v>176</v>
      </c>
      <c r="B32" s="427" t="s">
        <v>201</v>
      </c>
      <c r="C32" s="191"/>
      <c r="D32" s="196"/>
      <c r="E32" s="192"/>
    </row>
    <row r="33" spans="1:5" s="420" customFormat="1" ht="12" customHeight="1">
      <c r="A33" s="416" t="s">
        <v>178</v>
      </c>
      <c r="B33" s="428" t="s">
        <v>203</v>
      </c>
      <c r="C33" s="429"/>
      <c r="D33" s="433"/>
      <c r="E33" s="430"/>
    </row>
    <row r="34" spans="1:5" s="412" customFormat="1" ht="12" customHeight="1">
      <c r="A34" s="422" t="s">
        <v>196</v>
      </c>
      <c r="B34" s="116" t="s">
        <v>394</v>
      </c>
      <c r="C34" s="423"/>
      <c r="D34" s="445"/>
      <c r="E34" s="424"/>
    </row>
    <row r="35" spans="1:5" s="412" customFormat="1" ht="12" customHeight="1">
      <c r="A35" s="422" t="s">
        <v>356</v>
      </c>
      <c r="B35" s="116" t="s">
        <v>609</v>
      </c>
      <c r="C35" s="423"/>
      <c r="D35" s="445"/>
      <c r="E35" s="424"/>
    </row>
    <row r="36" spans="1:5" s="412" customFormat="1" ht="12" customHeight="1">
      <c r="A36" s="350" t="s">
        <v>218</v>
      </c>
      <c r="B36" s="116" t="s">
        <v>629</v>
      </c>
      <c r="C36" s="185">
        <f>+C8+C20+C25+C26+C30+C34+C35</f>
        <v>0</v>
      </c>
      <c r="D36" s="200">
        <f>+D8+D20+D25+D26+D30+D34+D35</f>
        <v>0</v>
      </c>
      <c r="E36" s="186">
        <f>+E8+E20+E25+E26+E30+E34+E35</f>
        <v>0</v>
      </c>
    </row>
    <row r="37" spans="1:5" s="412" customFormat="1" ht="12" customHeight="1">
      <c r="A37" s="431" t="s">
        <v>365</v>
      </c>
      <c r="B37" s="116" t="s">
        <v>611</v>
      </c>
      <c r="C37" s="185">
        <f>+C38+C39+C40</f>
        <v>0</v>
      </c>
      <c r="D37" s="200">
        <f>+D38+D39+D40</f>
        <v>0</v>
      </c>
      <c r="E37" s="186">
        <f>+E38+E39+E40</f>
        <v>0</v>
      </c>
    </row>
    <row r="38" spans="1:5" s="412" customFormat="1" ht="12" customHeight="1">
      <c r="A38" s="425" t="s">
        <v>612</v>
      </c>
      <c r="B38" s="426" t="s">
        <v>448</v>
      </c>
      <c r="C38" s="215"/>
      <c r="D38" s="432"/>
      <c r="E38" s="216"/>
    </row>
    <row r="39" spans="1:5" s="412" customFormat="1" ht="12" customHeight="1">
      <c r="A39" s="425" t="s">
        <v>613</v>
      </c>
      <c r="B39" s="427" t="s">
        <v>614</v>
      </c>
      <c r="C39" s="191"/>
      <c r="D39" s="196"/>
      <c r="E39" s="192"/>
    </row>
    <row r="40" spans="1:5" s="420" customFormat="1" ht="12" customHeight="1">
      <c r="A40" s="416" t="s">
        <v>615</v>
      </c>
      <c r="B40" s="428" t="s">
        <v>616</v>
      </c>
      <c r="C40" s="429"/>
      <c r="D40" s="433"/>
      <c r="E40" s="430"/>
    </row>
    <row r="41" spans="1:5" s="420" customFormat="1" ht="15" customHeight="1">
      <c r="A41" s="431" t="s">
        <v>367</v>
      </c>
      <c r="B41" s="434" t="s">
        <v>617</v>
      </c>
      <c r="C41" s="435">
        <f>+C36+C37</f>
        <v>0</v>
      </c>
      <c r="D41" s="447">
        <f>+D36+D37</f>
        <v>0</v>
      </c>
      <c r="E41" s="436">
        <f>+E36+E37</f>
        <v>0</v>
      </c>
    </row>
    <row r="42" spans="1:3" s="420" customFormat="1" ht="15" customHeight="1">
      <c r="A42" s="375"/>
      <c r="B42" s="376"/>
      <c r="C42" s="377"/>
    </row>
    <row r="43" spans="1:3" ht="12.75">
      <c r="A43" s="437"/>
      <c r="B43" s="438"/>
      <c r="C43" s="439"/>
    </row>
    <row r="44" spans="1:5" s="410" customFormat="1" ht="16.5" customHeight="1">
      <c r="A44" s="849" t="s">
        <v>381</v>
      </c>
      <c r="B44" s="849"/>
      <c r="C44" s="849"/>
      <c r="D44" s="849"/>
      <c r="E44" s="849"/>
    </row>
    <row r="45" spans="1:5" s="440" customFormat="1" ht="12" customHeight="1">
      <c r="A45" s="422" t="s">
        <v>114</v>
      </c>
      <c r="B45" s="116" t="s">
        <v>618</v>
      </c>
      <c r="C45" s="185">
        <f>SUM(C46:C50)</f>
        <v>0</v>
      </c>
      <c r="D45" s="200">
        <f>SUM(D46:D50)</f>
        <v>0</v>
      </c>
      <c r="E45" s="186">
        <f>SUM(E46:E50)</f>
        <v>0</v>
      </c>
    </row>
    <row r="46" spans="1:5" ht="12" customHeight="1">
      <c r="A46" s="416" t="s">
        <v>116</v>
      </c>
      <c r="B46" s="119" t="s">
        <v>284</v>
      </c>
      <c r="C46" s="215"/>
      <c r="D46" s="432"/>
      <c r="E46" s="216"/>
    </row>
    <row r="47" spans="1:5" ht="12" customHeight="1">
      <c r="A47" s="416" t="s">
        <v>118</v>
      </c>
      <c r="B47" s="99" t="s">
        <v>285</v>
      </c>
      <c r="C47" s="193"/>
      <c r="D47" s="194"/>
      <c r="E47" s="195"/>
    </row>
    <row r="48" spans="1:5" ht="12" customHeight="1">
      <c r="A48" s="416" t="s">
        <v>120</v>
      </c>
      <c r="B48" s="99" t="s">
        <v>286</v>
      </c>
      <c r="C48" s="193"/>
      <c r="D48" s="194"/>
      <c r="E48" s="195"/>
    </row>
    <row r="49" spans="1:5" ht="12" customHeight="1">
      <c r="A49" s="416" t="s">
        <v>122</v>
      </c>
      <c r="B49" s="99" t="s">
        <v>287</v>
      </c>
      <c r="C49" s="193"/>
      <c r="D49" s="194"/>
      <c r="E49" s="195"/>
    </row>
    <row r="50" spans="1:5" ht="12" customHeight="1">
      <c r="A50" s="416" t="s">
        <v>124</v>
      </c>
      <c r="B50" s="99" t="s">
        <v>289</v>
      </c>
      <c r="C50" s="193"/>
      <c r="D50" s="194"/>
      <c r="E50" s="195"/>
    </row>
    <row r="51" spans="1:5" ht="12" customHeight="1">
      <c r="A51" s="422" t="s">
        <v>128</v>
      </c>
      <c r="B51" s="116" t="s">
        <v>619</v>
      </c>
      <c r="C51" s="185">
        <f>SUM(C52:C54)</f>
        <v>0</v>
      </c>
      <c r="D51" s="200">
        <f>SUM(D52:D54)</f>
        <v>0</v>
      </c>
      <c r="E51" s="186">
        <f>SUM(E52:E54)</f>
        <v>0</v>
      </c>
    </row>
    <row r="52" spans="1:5" s="440" customFormat="1" ht="12" customHeight="1">
      <c r="A52" s="416" t="s">
        <v>130</v>
      </c>
      <c r="B52" s="119" t="s">
        <v>320</v>
      </c>
      <c r="C52" s="215"/>
      <c r="D52" s="432"/>
      <c r="E52" s="216"/>
    </row>
    <row r="53" spans="1:5" ht="12" customHeight="1">
      <c r="A53" s="416" t="s">
        <v>132</v>
      </c>
      <c r="B53" s="99" t="s">
        <v>322</v>
      </c>
      <c r="C53" s="193"/>
      <c r="D53" s="194"/>
      <c r="E53" s="195"/>
    </row>
    <row r="54" spans="1:5" ht="12" customHeight="1">
      <c r="A54" s="416" t="s">
        <v>134</v>
      </c>
      <c r="B54" s="99" t="s">
        <v>620</v>
      </c>
      <c r="C54" s="193"/>
      <c r="D54" s="194"/>
      <c r="E54" s="195"/>
    </row>
    <row r="55" spans="1:5" ht="12" customHeight="1">
      <c r="A55" s="416" t="s">
        <v>136</v>
      </c>
      <c r="B55" s="99" t="s">
        <v>621</v>
      </c>
      <c r="C55" s="193"/>
      <c r="D55" s="194"/>
      <c r="E55" s="195"/>
    </row>
    <row r="56" spans="1:5" ht="15" customHeight="1">
      <c r="A56" s="422" t="s">
        <v>142</v>
      </c>
      <c r="B56" s="116" t="s">
        <v>622</v>
      </c>
      <c r="C56" s="423"/>
      <c r="D56" s="445"/>
      <c r="E56" s="424"/>
    </row>
    <row r="57" spans="1:5" ht="12.75">
      <c r="A57" s="422" t="s">
        <v>339</v>
      </c>
      <c r="B57" s="442" t="s">
        <v>623</v>
      </c>
      <c r="C57" s="435">
        <f>+C45+C51+C56</f>
        <v>0</v>
      </c>
      <c r="D57" s="447">
        <f>+D45+D51+D56</f>
        <v>0</v>
      </c>
      <c r="E57" s="436">
        <f>+E45+E51+E56</f>
        <v>0</v>
      </c>
    </row>
    <row r="58" spans="3:4" ht="15" customHeight="1">
      <c r="C58" s="386">
        <f>C41-C57</f>
        <v>0</v>
      </c>
      <c r="D58" s="386">
        <f>D41-D57</f>
        <v>0</v>
      </c>
    </row>
    <row r="59" spans="1:5" ht="14.25" customHeight="1">
      <c r="A59" s="391" t="s">
        <v>590</v>
      </c>
      <c r="B59" s="392"/>
      <c r="C59" s="389"/>
      <c r="D59" s="389"/>
      <c r="E59" s="390"/>
    </row>
    <row r="60" spans="1:5" ht="12.75">
      <c r="A60" s="393" t="s">
        <v>591</v>
      </c>
      <c r="B60" s="394"/>
      <c r="C60" s="389"/>
      <c r="D60" s="389"/>
      <c r="E60" s="390"/>
    </row>
  </sheetData>
  <sheetProtection selectLockedCells="1" selectUnlockedCells="1"/>
  <mergeCells count="5">
    <mergeCell ref="B1:E1"/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50"/>
  </sheetPr>
  <dimension ref="A1:J12"/>
  <sheetViews>
    <sheetView zoomScale="120" zoomScaleNormal="120" zoomScalePageLayoutView="0" workbookViewId="0" topLeftCell="A1">
      <selection activeCell="F11" sqref="F11"/>
    </sheetView>
  </sheetViews>
  <sheetFormatPr defaultColWidth="9.00390625" defaultRowHeight="12.75"/>
  <cols>
    <col min="1" max="1" width="7.00390625" style="456" customWidth="1"/>
    <col min="2" max="2" width="32.00390625" style="400" customWidth="1"/>
    <col min="3" max="3" width="12.50390625" style="400" customWidth="1"/>
    <col min="4" max="6" width="11.875" style="400" customWidth="1"/>
    <col min="7" max="7" width="12.875" style="400" customWidth="1"/>
    <col min="8" max="8" width="12.125" style="400" bestFit="1" customWidth="1"/>
    <col min="9" max="16384" width="9.375" style="400" customWidth="1"/>
  </cols>
  <sheetData>
    <row r="1" spans="1:7" ht="18.75" customHeight="1">
      <c r="A1" s="853" t="str">
        <f>CONCATENATE("7. melléklet ",'[2]Z_ALAPADATOK'!A7," ",'[2]Z_ALAPADATOK'!B7," ",'[2]Z_ALAPADATOK'!C7," ",'[2]Z_ALAPADATOK'!D7," ",'[2]Z_ALAPADATOK'!E7," ",'[2]Z_ALAPADATOK'!F7," ",'[2]Z_ALAPADATOK'!G7," ",'[2]Z_ALAPADATOK'!H7)</f>
        <v>7. melléklet a … / 2019. ( … ) önkormányzati rendelethez</v>
      </c>
      <c r="B1" s="853"/>
      <c r="C1" s="853"/>
      <c r="D1" s="853"/>
      <c r="E1" s="853"/>
      <c r="F1" s="853"/>
      <c r="G1" s="853"/>
    </row>
    <row r="3" spans="1:7" ht="15.75" customHeight="1">
      <c r="A3" s="854" t="s">
        <v>638</v>
      </c>
      <c r="B3" s="854"/>
      <c r="C3" s="854"/>
      <c r="D3" s="854"/>
      <c r="E3" s="854"/>
      <c r="F3" s="854"/>
      <c r="G3" s="854"/>
    </row>
    <row r="5" ht="13.5">
      <c r="G5" s="457" t="s">
        <v>639</v>
      </c>
    </row>
    <row r="6" spans="1:7" ht="17.25" customHeight="1">
      <c r="A6" s="855" t="s">
        <v>640</v>
      </c>
      <c r="B6" s="856" t="s">
        <v>641</v>
      </c>
      <c r="C6" s="856" t="s">
        <v>642</v>
      </c>
      <c r="D6" s="856" t="s">
        <v>643</v>
      </c>
      <c r="E6" s="857" t="s">
        <v>644</v>
      </c>
      <c r="F6" s="857"/>
      <c r="G6" s="857"/>
    </row>
    <row r="7" spans="1:7" s="460" customFormat="1" ht="57.75" customHeight="1">
      <c r="A7" s="855"/>
      <c r="B7" s="856"/>
      <c r="C7" s="856"/>
      <c r="D7" s="856"/>
      <c r="E7" s="458" t="s">
        <v>645</v>
      </c>
      <c r="F7" s="458" t="s">
        <v>646</v>
      </c>
      <c r="G7" s="459" t="s">
        <v>647</v>
      </c>
    </row>
    <row r="8" spans="1:7" s="440" customFormat="1" ht="15" customHeight="1">
      <c r="A8" s="350" t="s">
        <v>109</v>
      </c>
      <c r="B8" s="351" t="s">
        <v>110</v>
      </c>
      <c r="C8" s="351" t="s">
        <v>111</v>
      </c>
      <c r="D8" s="351" t="s">
        <v>112</v>
      </c>
      <c r="E8" s="351" t="s">
        <v>648</v>
      </c>
      <c r="F8" s="351" t="s">
        <v>436</v>
      </c>
      <c r="G8" s="353" t="s">
        <v>384</v>
      </c>
    </row>
    <row r="9" spans="1:10" ht="15" customHeight="1">
      <c r="A9" s="461" t="s">
        <v>114</v>
      </c>
      <c r="B9" s="462" t="s">
        <v>50</v>
      </c>
      <c r="C9" s="463">
        <v>159174120</v>
      </c>
      <c r="D9" s="463">
        <v>0</v>
      </c>
      <c r="E9" s="464">
        <f>C9+D9</f>
        <v>159174120</v>
      </c>
      <c r="F9" s="463">
        <v>152873935</v>
      </c>
      <c r="G9" s="465">
        <v>6300185</v>
      </c>
      <c r="J9"/>
    </row>
    <row r="10" spans="1:7" ht="15" customHeight="1">
      <c r="A10" s="466" t="s">
        <v>128</v>
      </c>
      <c r="B10" s="467" t="s">
        <v>60</v>
      </c>
      <c r="C10" s="242">
        <v>1806538</v>
      </c>
      <c r="D10" s="242"/>
      <c r="E10" s="464">
        <f>C10+D10</f>
        <v>1806538</v>
      </c>
      <c r="F10" s="242">
        <v>1806538</v>
      </c>
      <c r="G10" s="468">
        <v>0</v>
      </c>
    </row>
    <row r="11" spans="1:7" ht="36.75" customHeight="1">
      <c r="A11" s="466" t="s">
        <v>142</v>
      </c>
      <c r="B11" s="773" t="s">
        <v>62</v>
      </c>
      <c r="C11" s="242">
        <v>924655</v>
      </c>
      <c r="D11" s="242"/>
      <c r="E11" s="464">
        <f>C11+D11</f>
        <v>924655</v>
      </c>
      <c r="F11" s="242">
        <v>924655</v>
      </c>
      <c r="G11" s="468"/>
    </row>
    <row r="12" spans="1:8" ht="15" customHeight="1">
      <c r="A12" s="852" t="s">
        <v>649</v>
      </c>
      <c r="B12" s="852"/>
      <c r="C12" s="469">
        <f>SUM(C9:C11)</f>
        <v>161905313</v>
      </c>
      <c r="D12" s="469">
        <f>SUM(D9:D11)</f>
        <v>0</v>
      </c>
      <c r="E12" s="469">
        <f>SUM(E9:E11)</f>
        <v>161905313</v>
      </c>
      <c r="F12" s="469">
        <f>SUM(F9:F11)</f>
        <v>155605128</v>
      </c>
      <c r="G12" s="470">
        <f>SUM(G9:G11)</f>
        <v>6300185</v>
      </c>
      <c r="H12" s="150"/>
    </row>
  </sheetData>
  <sheetProtection selectLockedCells="1" selectUnlockedCells="1"/>
  <mergeCells count="8">
    <mergeCell ref="A12:B12"/>
    <mergeCell ref="A1:G1"/>
    <mergeCell ref="A3:G3"/>
    <mergeCell ref="A6:A7"/>
    <mergeCell ref="B6:B7"/>
    <mergeCell ref="C6:C7"/>
    <mergeCell ref="D6:D7"/>
    <mergeCell ref="E6:G6"/>
  </mergeCells>
  <printOptions horizontalCentered="1"/>
  <pageMargins left="0.7875" right="0.7875" top="1.575" bottom="0.9840277777777777" header="0.7875" footer="0.5118055555555555"/>
  <pageSetup horizontalDpi="300" verticalDpi="300" orientation="portrait" paperSize="9" scale="95"/>
  <headerFooter alignWithMargins="0">
    <oddHeader>&amp;C&amp;"Times New Roman CE,Félkövér"&amp;12KÖLTSÉGVETÉSI SZERVEK PÉNZMARADVÁNYÁNAK ALAKULÁSA&amp;R&amp;"Times New Roman CE,Félkövér dőlt"&amp;12 9. melléklet a ……/2018. (……) önkormányzati rendelethez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67"/>
  <sheetViews>
    <sheetView zoomScale="120" zoomScaleNormal="120" zoomScalePageLayoutView="0" workbookViewId="0" topLeftCell="A1">
      <selection activeCell="B7" sqref="B7"/>
    </sheetView>
  </sheetViews>
  <sheetFormatPr defaultColWidth="9.00390625" defaultRowHeight="12.75"/>
  <cols>
    <col min="1" max="1" width="13.875" style="270" customWidth="1"/>
    <col min="2" max="2" width="88.625" style="270" customWidth="1"/>
    <col min="3" max="5" width="15.875" style="270" customWidth="1"/>
    <col min="6" max="6" width="4.875" style="471" customWidth="1"/>
    <col min="7" max="16384" width="9.375" style="270" customWidth="1"/>
  </cols>
  <sheetData>
    <row r="1" spans="2:6" ht="47.25" customHeight="1">
      <c r="B1" s="858" t="s">
        <v>650</v>
      </c>
      <c r="C1" s="858"/>
      <c r="D1" s="858"/>
      <c r="E1" s="858"/>
      <c r="F1" s="830" t="str">
        <f>CONCATENATE("8. melléklet ",'[2]Z_ALAPADATOK'!A7," ",'[2]Z_ALAPADATOK'!B7," ",'[2]Z_ALAPADATOK'!C7," ",'[2]Z_ALAPADATOK'!D7," ",'[2]Z_ALAPADATOK'!E7," ",'[2]Z_ALAPADATOK'!F7," ",'[2]Z_ALAPADATOK'!G7," ",'[2]Z_ALAPADATOK'!H7)</f>
        <v>8. melléklet a … / 2019. ( … ) önkormányzati rendelethez</v>
      </c>
    </row>
    <row r="2" spans="2:6" ht="22.5" customHeight="1" thickBot="1">
      <c r="B2" s="859"/>
      <c r="C2" s="859"/>
      <c r="D2" s="859"/>
      <c r="E2" s="472" t="s">
        <v>651</v>
      </c>
      <c r="F2" s="830"/>
    </row>
    <row r="3" spans="1:6" s="477" customFormat="1" ht="54" customHeight="1" thickBot="1">
      <c r="A3" s="473" t="s">
        <v>652</v>
      </c>
      <c r="B3" s="474" t="s">
        <v>653</v>
      </c>
      <c r="C3" s="475" t="str">
        <f>+CONCATENATE('[2]Z_ALAPADATOK'!B1,". évi tervezett támogatás összesen")</f>
        <v>2018. évi tervezett támogatás összesen</v>
      </c>
      <c r="D3" s="475" t="s">
        <v>654</v>
      </c>
      <c r="E3" s="476" t="s">
        <v>655</v>
      </c>
      <c r="F3" s="830"/>
    </row>
    <row r="4" spans="1:6" s="482" customFormat="1" ht="13.5" thickBot="1">
      <c r="A4" s="478" t="s">
        <v>109</v>
      </c>
      <c r="B4" s="479" t="s">
        <v>110</v>
      </c>
      <c r="C4" s="480" t="s">
        <v>111</v>
      </c>
      <c r="D4" s="480" t="s">
        <v>112</v>
      </c>
      <c r="E4" s="481" t="s">
        <v>113</v>
      </c>
      <c r="F4" s="830"/>
    </row>
    <row r="5" spans="1:6" ht="12.75">
      <c r="A5" s="774" t="s">
        <v>956</v>
      </c>
      <c r="B5" s="775" t="s">
        <v>957</v>
      </c>
      <c r="C5" s="776"/>
      <c r="D5" s="777"/>
      <c r="E5" s="777"/>
      <c r="F5" s="830"/>
    </row>
    <row r="6" spans="1:6" ht="12.75" customHeight="1">
      <c r="A6" s="778" t="s">
        <v>958</v>
      </c>
      <c r="B6" s="779" t="s">
        <v>959</v>
      </c>
      <c r="C6" s="780">
        <v>6270760</v>
      </c>
      <c r="D6" s="781">
        <v>6270760</v>
      </c>
      <c r="E6" s="781">
        <v>6270760</v>
      </c>
      <c r="F6" s="830"/>
    </row>
    <row r="7" spans="1:6" ht="12.75">
      <c r="A7" s="778"/>
      <c r="B7" s="779" t="s">
        <v>960</v>
      </c>
      <c r="C7" s="780">
        <v>-3683092</v>
      </c>
      <c r="D7" s="781">
        <v>-3683092</v>
      </c>
      <c r="E7" s="781">
        <v>-3683092</v>
      </c>
      <c r="F7" s="830"/>
    </row>
    <row r="8" spans="1:6" ht="12.75">
      <c r="A8" s="778" t="s">
        <v>961</v>
      </c>
      <c r="B8" s="779" t="s">
        <v>962</v>
      </c>
      <c r="C8" s="780">
        <v>11808000</v>
      </c>
      <c r="D8" s="781">
        <v>11808000</v>
      </c>
      <c r="E8" s="781">
        <v>11808000</v>
      </c>
      <c r="F8" s="830"/>
    </row>
    <row r="9" spans="1:6" ht="12.75">
      <c r="A9" s="778" t="s">
        <v>963</v>
      </c>
      <c r="B9" s="779" t="s">
        <v>964</v>
      </c>
      <c r="C9" s="782">
        <v>775767</v>
      </c>
      <c r="D9" s="781">
        <v>775767</v>
      </c>
      <c r="E9" s="781">
        <v>775767</v>
      </c>
      <c r="F9" s="830"/>
    </row>
    <row r="10" spans="1:6" ht="12.75">
      <c r="A10" s="778" t="s">
        <v>965</v>
      </c>
      <c r="B10" s="779" t="s">
        <v>966</v>
      </c>
      <c r="C10" s="782">
        <v>5100690</v>
      </c>
      <c r="D10" s="781">
        <v>5100690</v>
      </c>
      <c r="E10" s="781">
        <v>5100690</v>
      </c>
      <c r="F10" s="830"/>
    </row>
    <row r="11" spans="1:6" ht="12.75">
      <c r="A11" s="778"/>
      <c r="B11" s="779" t="s">
        <v>543</v>
      </c>
      <c r="C11" s="783">
        <f>SUM(C6:C10)</f>
        <v>20272125</v>
      </c>
      <c r="D11" s="779">
        <f>SUM(D6:D10)</f>
        <v>20272125</v>
      </c>
      <c r="E11" s="779">
        <f>SUM(E6:E10)</f>
        <v>20272125</v>
      </c>
      <c r="F11" s="830"/>
    </row>
    <row r="12" spans="1:6" ht="12.75">
      <c r="A12" s="784"/>
      <c r="B12" s="774" t="s">
        <v>967</v>
      </c>
      <c r="C12" s="785">
        <f>C11</f>
        <v>20272125</v>
      </c>
      <c r="D12" s="786">
        <f>D11</f>
        <v>20272125</v>
      </c>
      <c r="E12" s="786">
        <f>E11</f>
        <v>20272125</v>
      </c>
      <c r="F12" s="830"/>
    </row>
    <row r="13" spans="1:6" ht="12.75">
      <c r="A13" s="784"/>
      <c r="B13" s="774" t="s">
        <v>968</v>
      </c>
      <c r="C13" s="785"/>
      <c r="D13" s="786">
        <v>50016</v>
      </c>
      <c r="E13" s="786">
        <v>50016</v>
      </c>
      <c r="F13" s="830"/>
    </row>
    <row r="14" spans="1:6" ht="12.75" customHeight="1">
      <c r="A14" s="778" t="s">
        <v>969</v>
      </c>
      <c r="B14" s="779" t="s">
        <v>970</v>
      </c>
      <c r="C14" s="780">
        <v>6000000</v>
      </c>
      <c r="D14" s="781">
        <v>6000000</v>
      </c>
      <c r="E14" s="781">
        <v>6000000</v>
      </c>
      <c r="F14" s="830"/>
    </row>
    <row r="15" spans="1:6" ht="12.75">
      <c r="A15" s="778"/>
      <c r="B15" s="779" t="s">
        <v>971</v>
      </c>
      <c r="C15" s="780">
        <v>-6000000</v>
      </c>
      <c r="D15" s="781">
        <v>-6000000</v>
      </c>
      <c r="E15" s="781">
        <v>-6000000</v>
      </c>
      <c r="F15" s="830"/>
    </row>
    <row r="16" spans="1:6" ht="12.75">
      <c r="A16" s="778"/>
      <c r="B16" s="774" t="s">
        <v>972</v>
      </c>
      <c r="C16" s="787">
        <f>C14+C15</f>
        <v>0</v>
      </c>
      <c r="D16" s="774">
        <f>D14+D15</f>
        <v>0</v>
      </c>
      <c r="E16" s="774">
        <f>E14+E15</f>
        <v>0</v>
      </c>
      <c r="F16" s="830"/>
    </row>
    <row r="17" spans="1:6" ht="12.75">
      <c r="A17" s="778"/>
      <c r="B17" s="779"/>
      <c r="C17" s="780"/>
      <c r="D17" s="781"/>
      <c r="E17" s="781"/>
      <c r="F17" s="830"/>
    </row>
    <row r="18" spans="1:6" ht="12.75">
      <c r="A18" s="778" t="s">
        <v>973</v>
      </c>
      <c r="B18" s="779" t="s">
        <v>974</v>
      </c>
      <c r="C18" s="780">
        <v>316200</v>
      </c>
      <c r="D18" s="781">
        <v>316200</v>
      </c>
      <c r="E18" s="781">
        <v>316200</v>
      </c>
      <c r="F18" s="830"/>
    </row>
    <row r="19" spans="1:6" ht="12.75">
      <c r="A19" s="778"/>
      <c r="B19" s="779" t="s">
        <v>971</v>
      </c>
      <c r="C19" s="782">
        <v>-316200</v>
      </c>
      <c r="D19" s="781">
        <v>-316200</v>
      </c>
      <c r="E19" s="781">
        <v>-316200</v>
      </c>
      <c r="F19" s="830"/>
    </row>
    <row r="20" spans="1:6" ht="12.75">
      <c r="A20" s="778"/>
      <c r="B20" s="774" t="s">
        <v>975</v>
      </c>
      <c r="C20" s="780">
        <f>SUM(C18:C19)</f>
        <v>0</v>
      </c>
      <c r="D20" s="781">
        <f>SUM(D18:D19)</f>
        <v>0</v>
      </c>
      <c r="E20" s="781">
        <f>SUM(E18:E19)</f>
        <v>0</v>
      </c>
      <c r="F20" s="830"/>
    </row>
    <row r="21" spans="1:6" ht="12.75">
      <c r="A21" s="778"/>
      <c r="B21" s="779"/>
      <c r="C21" s="780"/>
      <c r="D21" s="781"/>
      <c r="E21" s="781"/>
      <c r="F21" s="830"/>
    </row>
    <row r="22" spans="1:6" ht="12.75">
      <c r="A22" s="778" t="s">
        <v>976</v>
      </c>
      <c r="B22" s="779" t="s">
        <v>977</v>
      </c>
      <c r="C22" s="780">
        <v>22580690</v>
      </c>
      <c r="D22" s="781">
        <v>22580690</v>
      </c>
      <c r="E22" s="781">
        <v>22580690</v>
      </c>
      <c r="F22" s="830"/>
    </row>
    <row r="23" spans="1:6" ht="12.75">
      <c r="A23" s="778"/>
      <c r="B23" s="779" t="s">
        <v>971</v>
      </c>
      <c r="C23" s="782">
        <v>0</v>
      </c>
      <c r="D23" s="781">
        <v>0</v>
      </c>
      <c r="E23" s="781">
        <v>0</v>
      </c>
      <c r="F23" s="830"/>
    </row>
    <row r="24" spans="1:6" ht="12.75">
      <c r="A24" s="778"/>
      <c r="B24" s="774" t="s">
        <v>978</v>
      </c>
      <c r="C24" s="787">
        <f>SUM(C22:C23)</f>
        <v>22580690</v>
      </c>
      <c r="D24" s="774">
        <f>SUM(D22:D23)</f>
        <v>22580690</v>
      </c>
      <c r="E24" s="774">
        <f>SUM(E22:E23)</f>
        <v>22580690</v>
      </c>
      <c r="F24" s="830"/>
    </row>
    <row r="25" spans="1:6" ht="12.75">
      <c r="A25" s="778" t="s">
        <v>979</v>
      </c>
      <c r="B25" s="779" t="s">
        <v>656</v>
      </c>
      <c r="C25" s="780">
        <v>585200</v>
      </c>
      <c r="D25" s="781">
        <v>585200</v>
      </c>
      <c r="E25" s="781">
        <v>585200</v>
      </c>
      <c r="F25" s="830"/>
    </row>
    <row r="26" spans="1:6" ht="12.75">
      <c r="A26" s="784" t="s">
        <v>956</v>
      </c>
      <c r="B26" s="774" t="s">
        <v>957</v>
      </c>
      <c r="C26" s="787">
        <f>SUM(C12+C16+C20+C24+C25)</f>
        <v>43438015</v>
      </c>
      <c r="D26" s="774">
        <f>SUM(D12+D16+D20+D24+D25+D13)</f>
        <v>43488031</v>
      </c>
      <c r="E26" s="774">
        <f>SUM(E12+E16+E20+E24+E25+E13)</f>
        <v>43488031</v>
      </c>
      <c r="F26" s="830"/>
    </row>
    <row r="27" spans="1:6" ht="12.75">
      <c r="A27" s="778"/>
      <c r="B27" s="779" t="s">
        <v>971</v>
      </c>
      <c r="C27" s="780"/>
      <c r="D27" s="781"/>
      <c r="E27" s="781"/>
      <c r="F27" s="830"/>
    </row>
    <row r="28" spans="1:6" ht="12.75">
      <c r="A28" s="778"/>
      <c r="B28" s="779"/>
      <c r="C28" s="780"/>
      <c r="D28" s="781"/>
      <c r="E28" s="781"/>
      <c r="F28" s="830"/>
    </row>
    <row r="29" spans="1:6" ht="12.75">
      <c r="A29" s="778"/>
      <c r="B29" s="779"/>
      <c r="C29" s="780"/>
      <c r="D29" s="781"/>
      <c r="E29" s="781"/>
      <c r="F29" s="830"/>
    </row>
    <row r="30" spans="1:6" ht="12.75">
      <c r="A30" s="778"/>
      <c r="B30" s="779"/>
      <c r="C30" s="780"/>
      <c r="D30" s="781"/>
      <c r="E30" s="781"/>
      <c r="F30" s="830"/>
    </row>
    <row r="31" spans="1:6" ht="12.75">
      <c r="A31" s="778" t="s">
        <v>980</v>
      </c>
      <c r="B31" s="779" t="s">
        <v>981</v>
      </c>
      <c r="C31" s="780"/>
      <c r="D31" s="781"/>
      <c r="E31" s="781"/>
      <c r="F31" s="830"/>
    </row>
    <row r="32" spans="1:6" ht="12.75">
      <c r="A32" s="778" t="s">
        <v>114</v>
      </c>
      <c r="B32" s="779" t="s">
        <v>657</v>
      </c>
      <c r="C32" s="780">
        <v>23847600</v>
      </c>
      <c r="D32" s="781">
        <v>23847600</v>
      </c>
      <c r="E32" s="781">
        <v>23847600</v>
      </c>
      <c r="F32" s="830"/>
    </row>
    <row r="33" spans="1:6" ht="12.75">
      <c r="A33" s="778"/>
      <c r="B33" s="779" t="s">
        <v>982</v>
      </c>
      <c r="C33" s="780">
        <v>10452300</v>
      </c>
      <c r="D33" s="781">
        <v>10452300</v>
      </c>
      <c r="E33" s="781">
        <v>10452300</v>
      </c>
      <c r="F33" s="830"/>
    </row>
    <row r="34" spans="1:6" ht="12.75">
      <c r="A34" s="778" t="s">
        <v>128</v>
      </c>
      <c r="B34" s="788" t="s">
        <v>983</v>
      </c>
      <c r="C34" s="780">
        <v>2995667</v>
      </c>
      <c r="D34" s="781">
        <v>2995667</v>
      </c>
      <c r="E34" s="781">
        <v>2995667</v>
      </c>
      <c r="F34" s="830"/>
    </row>
    <row r="35" spans="1:6" ht="12.75">
      <c r="A35" s="778"/>
      <c r="B35" s="788" t="s">
        <v>984</v>
      </c>
      <c r="C35" s="780">
        <v>1388900</v>
      </c>
      <c r="D35" s="781">
        <v>1388900</v>
      </c>
      <c r="E35" s="781">
        <v>1388900</v>
      </c>
      <c r="F35" s="830"/>
    </row>
    <row r="36" spans="1:6" ht="12.75">
      <c r="A36" s="774" t="s">
        <v>980</v>
      </c>
      <c r="B36" s="774" t="s">
        <v>985</v>
      </c>
      <c r="C36" s="787">
        <f>SUM(C32:C35)</f>
        <v>38684467</v>
      </c>
      <c r="D36" s="774">
        <f>SUM(D32:D35)</f>
        <v>38684467</v>
      </c>
      <c r="E36" s="774">
        <f>SUM(E32:E35)</f>
        <v>38684467</v>
      </c>
      <c r="F36" s="830"/>
    </row>
    <row r="37" spans="1:6" ht="12.75">
      <c r="A37" s="779"/>
      <c r="B37" s="779"/>
      <c r="C37" s="780"/>
      <c r="D37" s="781"/>
      <c r="E37" s="781"/>
      <c r="F37" s="830"/>
    </row>
    <row r="38" spans="1:6" ht="12.75">
      <c r="A38" s="779" t="s">
        <v>986</v>
      </c>
      <c r="B38" s="789" t="s">
        <v>987</v>
      </c>
      <c r="C38" s="780"/>
      <c r="D38" s="781"/>
      <c r="E38" s="781"/>
      <c r="F38" s="830"/>
    </row>
    <row r="39" spans="1:6" ht="12.75">
      <c r="A39" s="779"/>
      <c r="B39" s="774"/>
      <c r="C39" s="787"/>
      <c r="D39" s="774"/>
      <c r="E39" s="774"/>
      <c r="F39" s="830"/>
    </row>
    <row r="40" spans="1:6" ht="12.75">
      <c r="A40" s="779" t="s">
        <v>128</v>
      </c>
      <c r="B40" s="774" t="s">
        <v>988</v>
      </c>
      <c r="C40" s="787">
        <v>4904000</v>
      </c>
      <c r="D40" s="774">
        <v>4904000</v>
      </c>
      <c r="E40" s="774">
        <v>4904000</v>
      </c>
      <c r="F40" s="830"/>
    </row>
    <row r="41" spans="1:6" ht="12.75">
      <c r="A41" s="779" t="s">
        <v>142</v>
      </c>
      <c r="B41" s="774" t="s">
        <v>989</v>
      </c>
      <c r="C41" s="780"/>
      <c r="D41" s="781"/>
      <c r="E41" s="781"/>
      <c r="F41" s="830"/>
    </row>
    <row r="42" spans="1:6" ht="12.75">
      <c r="A42" s="779" t="s">
        <v>990</v>
      </c>
      <c r="B42" s="779" t="s">
        <v>658</v>
      </c>
      <c r="C42" s="780">
        <v>664320</v>
      </c>
      <c r="D42" s="781">
        <v>664320</v>
      </c>
      <c r="E42" s="781">
        <v>664320</v>
      </c>
      <c r="F42" s="830"/>
    </row>
    <row r="43" spans="1:6" ht="12.75">
      <c r="A43" s="779" t="s">
        <v>991</v>
      </c>
      <c r="B43" s="779" t="s">
        <v>659</v>
      </c>
      <c r="C43" s="780">
        <v>3100000</v>
      </c>
      <c r="D43" s="781">
        <v>3100000</v>
      </c>
      <c r="E43" s="781">
        <v>3100000</v>
      </c>
      <c r="F43" s="830"/>
    </row>
    <row r="44" spans="1:6" ht="12.75">
      <c r="A44" s="779" t="s">
        <v>992</v>
      </c>
      <c r="B44" s="779" t="s">
        <v>993</v>
      </c>
      <c r="C44" s="780"/>
      <c r="D44" s="781"/>
      <c r="E44" s="781"/>
      <c r="F44" s="830"/>
    </row>
    <row r="45" spans="1:6" ht="12.75">
      <c r="A45" s="779"/>
      <c r="B45" s="774" t="s">
        <v>649</v>
      </c>
      <c r="C45" s="787">
        <f>SUM(C42:C44)</f>
        <v>3764320</v>
      </c>
      <c r="D45" s="774">
        <f>SUM(D42:D44)</f>
        <v>3764320</v>
      </c>
      <c r="E45" s="774">
        <f>SUM(E42:E44)</f>
        <v>3764320</v>
      </c>
      <c r="F45" s="830"/>
    </row>
    <row r="46" spans="1:6" ht="12.75">
      <c r="A46" s="779"/>
      <c r="B46" s="774" t="s">
        <v>994</v>
      </c>
      <c r="C46" s="780"/>
      <c r="D46" s="781"/>
      <c r="E46" s="781"/>
      <c r="F46" s="830"/>
    </row>
    <row r="47" spans="1:6" ht="12.75">
      <c r="A47" s="779"/>
      <c r="B47" s="774"/>
      <c r="C47" s="780"/>
      <c r="D47" s="781"/>
      <c r="E47" s="781"/>
      <c r="F47" s="830"/>
    </row>
    <row r="48" spans="1:6" ht="12.75">
      <c r="A48" s="779" t="s">
        <v>172</v>
      </c>
      <c r="B48" s="774" t="s">
        <v>995</v>
      </c>
      <c r="C48" s="780"/>
      <c r="D48" s="781"/>
      <c r="E48" s="781"/>
      <c r="F48" s="830"/>
    </row>
    <row r="49" spans="1:6" ht="12.75">
      <c r="A49" s="779"/>
      <c r="B49" s="774" t="s">
        <v>996</v>
      </c>
      <c r="C49" s="780">
        <v>10507000</v>
      </c>
      <c r="D49" s="781">
        <v>10507000</v>
      </c>
      <c r="E49" s="781">
        <v>10507000</v>
      </c>
      <c r="F49" s="830"/>
    </row>
    <row r="50" spans="1:6" ht="12.75">
      <c r="A50" s="779"/>
      <c r="B50" s="774" t="s">
        <v>997</v>
      </c>
      <c r="C50" s="780">
        <v>10044665</v>
      </c>
      <c r="D50" s="781">
        <v>10044665</v>
      </c>
      <c r="E50" s="781">
        <v>10044665</v>
      </c>
      <c r="F50" s="830"/>
    </row>
    <row r="51" spans="1:6" ht="12.75">
      <c r="A51" s="779"/>
      <c r="B51" s="774"/>
      <c r="C51" s="780"/>
      <c r="D51" s="781"/>
      <c r="E51" s="781"/>
      <c r="F51" s="830"/>
    </row>
    <row r="52" spans="1:6" ht="12.75">
      <c r="A52" s="779"/>
      <c r="B52" s="774" t="s">
        <v>998</v>
      </c>
      <c r="C52" s="785">
        <f>SUM(C49:C51)</f>
        <v>20551665</v>
      </c>
      <c r="D52" s="786">
        <f>SUM(D49:D51)</f>
        <v>20551665</v>
      </c>
      <c r="E52" s="786">
        <f>SUM(E49:E51)</f>
        <v>20551665</v>
      </c>
      <c r="F52" s="830"/>
    </row>
    <row r="53" spans="1:6" ht="12.75">
      <c r="A53" s="779"/>
      <c r="B53" s="774"/>
      <c r="C53" s="785"/>
      <c r="D53" s="786"/>
      <c r="E53" s="786"/>
      <c r="F53" s="830"/>
    </row>
    <row r="54" spans="1:6" ht="12.75">
      <c r="A54" s="779" t="s">
        <v>986</v>
      </c>
      <c r="B54" s="789" t="s">
        <v>987</v>
      </c>
      <c r="C54" s="785">
        <f>SUM(C52+C45+C40)</f>
        <v>29219985</v>
      </c>
      <c r="D54" s="786">
        <f>SUM(D52+D45+D40)</f>
        <v>29219985</v>
      </c>
      <c r="E54" s="786">
        <f>SUM(E52+E45+E40)</f>
        <v>29219985</v>
      </c>
      <c r="F54" s="830"/>
    </row>
    <row r="55" spans="1:6" ht="12.75">
      <c r="A55" s="779"/>
      <c r="B55" s="774"/>
      <c r="C55" s="780"/>
      <c r="D55" s="781"/>
      <c r="E55" s="781"/>
      <c r="F55" s="830"/>
    </row>
    <row r="56" spans="1:6" ht="12.75">
      <c r="A56" s="774"/>
      <c r="B56" s="774" t="s">
        <v>999</v>
      </c>
      <c r="C56" s="787">
        <f>C54+C36+C26</f>
        <v>111342467</v>
      </c>
      <c r="D56" s="774">
        <f>D54+D36+D26</f>
        <v>111392483</v>
      </c>
      <c r="E56" s="774">
        <f>E54+E36+E26</f>
        <v>111392483</v>
      </c>
      <c r="F56" s="830"/>
    </row>
    <row r="57" spans="1:6" ht="12.75">
      <c r="A57" s="779"/>
      <c r="B57" s="779"/>
      <c r="C57" s="780"/>
      <c r="D57" s="781"/>
      <c r="E57" s="781"/>
      <c r="F57" s="830"/>
    </row>
    <row r="58" spans="1:6" ht="12.75">
      <c r="A58" s="779"/>
      <c r="B58" s="781" t="s">
        <v>660</v>
      </c>
      <c r="C58" s="780">
        <v>1800000</v>
      </c>
      <c r="D58" s="781">
        <v>1800000</v>
      </c>
      <c r="E58" s="781">
        <v>1800000</v>
      </c>
      <c r="F58" s="830"/>
    </row>
    <row r="59" spans="1:6" ht="12.75">
      <c r="A59" s="779"/>
      <c r="B59" s="781" t="s">
        <v>1000</v>
      </c>
      <c r="C59" s="780"/>
      <c r="D59" s="781"/>
      <c r="E59" s="781"/>
      <c r="F59" s="830"/>
    </row>
    <row r="60" spans="1:6" ht="12.75">
      <c r="A60" s="779"/>
      <c r="B60" s="781" t="s">
        <v>661</v>
      </c>
      <c r="C60" s="790"/>
      <c r="D60" s="781">
        <v>404917</v>
      </c>
      <c r="E60" s="781">
        <v>404917</v>
      </c>
      <c r="F60" s="830"/>
    </row>
    <row r="61" spans="1:6" ht="12.75">
      <c r="A61" s="779"/>
      <c r="B61" s="791" t="s">
        <v>1001</v>
      </c>
      <c r="C61" s="792"/>
      <c r="D61" s="793">
        <v>142240</v>
      </c>
      <c r="E61" s="781">
        <v>142240</v>
      </c>
      <c r="F61" s="830"/>
    </row>
    <row r="62" spans="1:6" ht="12.75">
      <c r="A62" s="779"/>
      <c r="B62" s="791" t="s">
        <v>1000</v>
      </c>
      <c r="C62" s="792"/>
      <c r="D62" s="793">
        <f>D60+D61</f>
        <v>547157</v>
      </c>
      <c r="E62" s="781">
        <f>E60+E61</f>
        <v>547157</v>
      </c>
      <c r="F62" s="830"/>
    </row>
    <row r="63" spans="1:6" ht="12.75">
      <c r="A63" s="781"/>
      <c r="B63" s="794" t="s">
        <v>1002</v>
      </c>
      <c r="C63" s="795">
        <f>C56+C58</f>
        <v>113142467</v>
      </c>
      <c r="D63" s="796">
        <f>D56+D58+D62</f>
        <v>113739640</v>
      </c>
      <c r="E63" s="797">
        <f>E56+E58+E62</f>
        <v>113739640</v>
      </c>
      <c r="F63" s="830"/>
    </row>
    <row r="64" spans="1:6" ht="12.75">
      <c r="A64" s="798"/>
      <c r="B64" s="794"/>
      <c r="C64" s="792"/>
      <c r="D64" s="792"/>
      <c r="E64" s="792"/>
      <c r="F64" s="830"/>
    </row>
    <row r="65" spans="1:6" ht="13.5" thickBot="1">
      <c r="A65" s="799"/>
      <c r="B65" s="483"/>
      <c r="C65" s="792"/>
      <c r="D65" s="792"/>
      <c r="E65" s="792"/>
      <c r="F65" s="830"/>
    </row>
    <row r="66" spans="1:6" s="486" customFormat="1" ht="19.5" customHeight="1" thickBot="1">
      <c r="A66" s="484"/>
      <c r="B66" s="485" t="s">
        <v>649</v>
      </c>
      <c r="C66" s="800">
        <f>C63</f>
        <v>113142467</v>
      </c>
      <c r="D66" s="800">
        <f>D63</f>
        <v>113739640</v>
      </c>
      <c r="E66" s="800">
        <f>E63</f>
        <v>113739640</v>
      </c>
      <c r="F66" s="830"/>
    </row>
    <row r="67" spans="1:2" ht="12.75">
      <c r="A67" s="860" t="s">
        <v>662</v>
      </c>
      <c r="B67" s="860"/>
    </row>
  </sheetData>
  <sheetProtection selectLockedCells="1" selectUnlockedCells="1"/>
  <mergeCells count="4">
    <mergeCell ref="B1:E1"/>
    <mergeCell ref="B2:D2"/>
    <mergeCell ref="F1:F66"/>
    <mergeCell ref="A67:B67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zoomScale="120" zoomScaleNormal="120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9.00390625" style="22" customWidth="1"/>
    <col min="2" max="2" width="68.875" style="22" customWidth="1"/>
    <col min="3" max="3" width="18.875" style="22" customWidth="1"/>
    <col min="4" max="5" width="18.875" style="23" customWidth="1"/>
    <col min="6" max="16384" width="9.375" style="24" customWidth="1"/>
  </cols>
  <sheetData>
    <row r="1" spans="1:5" ht="15.75">
      <c r="A1" s="806" t="str">
        <f>CONCATENATE("1. tájékoztató tábla ",Z_ALAPADATOK!A7," ",Z_ALAPADATOK!B7," ",Z_ALAPADATOK!C7," ",Z_ALAPADATOK!D7," ",Z_ALAPADATOK!E7," ",Z_ALAPADATOK!F7," ",Z_ALAPADATOK!G7," ",Z_ALAPADATOK!H7)</f>
        <v>1. tájékoztató tábla a … / 2019. ( … ) önkormányzati rendelethez</v>
      </c>
      <c r="B1" s="806"/>
      <c r="C1" s="806"/>
      <c r="D1" s="806"/>
      <c r="E1" s="806"/>
    </row>
    <row r="2" spans="1:5" ht="15.75" customHeight="1">
      <c r="A2" s="807" t="str">
        <f>CONCATENATE(Z_ALAPADATOK!A3)</f>
        <v>Balatonvilágos Község Önkormányzata</v>
      </c>
      <c r="B2" s="807"/>
      <c r="C2" s="807"/>
      <c r="D2" s="807"/>
      <c r="E2" s="807"/>
    </row>
    <row r="3" spans="1:5" ht="15.75">
      <c r="A3" s="807" t="s">
        <v>663</v>
      </c>
      <c r="B3" s="807"/>
      <c r="C3" s="807"/>
      <c r="D3" s="807"/>
      <c r="E3" s="807"/>
    </row>
    <row r="4" spans="1:5" ht="15.75" customHeight="1">
      <c r="A4" s="808" t="s">
        <v>102</v>
      </c>
      <c r="B4" s="808"/>
      <c r="C4" s="808"/>
      <c r="D4" s="808"/>
      <c r="E4" s="808"/>
    </row>
    <row r="5" spans="1:5" ht="15.75" customHeight="1">
      <c r="A5" s="487" t="s">
        <v>103</v>
      </c>
      <c r="B5" s="487"/>
      <c r="C5" s="487"/>
      <c r="D5" s="488"/>
      <c r="E5" s="488" t="str">
        <f>CONCATENATE('Z_6.12.3.sz.mell'!E4)</f>
        <v>E</v>
      </c>
    </row>
    <row r="6" spans="1:5" ht="15.75" customHeight="1">
      <c r="A6" s="864" t="s">
        <v>105</v>
      </c>
      <c r="B6" s="861" t="s">
        <v>106</v>
      </c>
      <c r="C6" s="861" t="s">
        <v>664</v>
      </c>
      <c r="D6" s="862" t="s">
        <v>665</v>
      </c>
      <c r="E6" s="862"/>
    </row>
    <row r="7" spans="1:5" ht="37.5" customHeight="1">
      <c r="A7" s="864"/>
      <c r="B7" s="861"/>
      <c r="C7" s="861"/>
      <c r="D7" s="489" t="s">
        <v>572</v>
      </c>
      <c r="E7" s="31" t="s">
        <v>538</v>
      </c>
    </row>
    <row r="8" spans="1:5" s="35" customFormat="1" ht="12" customHeight="1">
      <c r="A8" s="490" t="s">
        <v>109</v>
      </c>
      <c r="B8" s="491" t="s">
        <v>110</v>
      </c>
      <c r="C8" s="491" t="s">
        <v>111</v>
      </c>
      <c r="D8" s="491" t="s">
        <v>113</v>
      </c>
      <c r="E8" s="492" t="s">
        <v>436</v>
      </c>
    </row>
    <row r="9" spans="1:5" s="40" customFormat="1" ht="12" customHeight="1">
      <c r="A9" s="36" t="s">
        <v>114</v>
      </c>
      <c r="B9" s="493" t="s">
        <v>115</v>
      </c>
      <c r="C9" s="38">
        <f>+C10+C11+C12+C13+C14+C15</f>
        <v>128963621</v>
      </c>
      <c r="D9" s="38">
        <f>+D10+D11+D12+D13+D14+D15</f>
        <v>0</v>
      </c>
      <c r="E9" s="39">
        <f>+E10+E11+E12+E13+E14+E15</f>
        <v>0</v>
      </c>
    </row>
    <row r="10" spans="1:5" s="40" customFormat="1" ht="12" customHeight="1">
      <c r="A10" s="41" t="s">
        <v>116</v>
      </c>
      <c r="B10" s="494" t="s">
        <v>117</v>
      </c>
      <c r="C10" s="52">
        <v>43847881</v>
      </c>
      <c r="D10" s="52"/>
      <c r="E10" s="53"/>
    </row>
    <row r="11" spans="1:5" s="40" customFormat="1" ht="12" customHeight="1">
      <c r="A11" s="45" t="s">
        <v>118</v>
      </c>
      <c r="B11" s="495" t="s">
        <v>119</v>
      </c>
      <c r="C11" s="54">
        <v>40198833</v>
      </c>
      <c r="D11" s="54"/>
      <c r="E11" s="50"/>
    </row>
    <row r="12" spans="1:5" s="40" customFormat="1" ht="12" customHeight="1">
      <c r="A12" s="45" t="s">
        <v>120</v>
      </c>
      <c r="B12" s="495" t="s">
        <v>121</v>
      </c>
      <c r="C12" s="54">
        <v>26242815</v>
      </c>
      <c r="D12" s="54"/>
      <c r="E12" s="50"/>
    </row>
    <row r="13" spans="1:5" s="40" customFormat="1" ht="12" customHeight="1">
      <c r="A13" s="45" t="s">
        <v>122</v>
      </c>
      <c r="B13" s="495" t="s">
        <v>123</v>
      </c>
      <c r="C13" s="54">
        <v>1594860</v>
      </c>
      <c r="D13" s="54"/>
      <c r="E13" s="50"/>
    </row>
    <row r="14" spans="1:5" s="40" customFormat="1" ht="12" customHeight="1">
      <c r="A14" s="45" t="s">
        <v>124</v>
      </c>
      <c r="B14" s="495" t="s">
        <v>666</v>
      </c>
      <c r="C14" s="54">
        <v>16953622</v>
      </c>
      <c r="D14" s="54"/>
      <c r="E14" s="50"/>
    </row>
    <row r="15" spans="1:5" s="40" customFormat="1" ht="12" customHeight="1">
      <c r="A15" s="48" t="s">
        <v>126</v>
      </c>
      <c r="B15" s="496" t="s">
        <v>667</v>
      </c>
      <c r="C15" s="54">
        <v>125610</v>
      </c>
      <c r="D15" s="56"/>
      <c r="E15" s="57"/>
    </row>
    <row r="16" spans="1:5" s="40" customFormat="1" ht="12" customHeight="1">
      <c r="A16" s="36" t="s">
        <v>128</v>
      </c>
      <c r="B16" s="497" t="s">
        <v>129</v>
      </c>
      <c r="C16" s="38">
        <f>+C17+C18+C19+C20+C21</f>
        <v>20796089</v>
      </c>
      <c r="D16" s="38">
        <f>+D17+D18+D19+D20+D21</f>
        <v>0</v>
      </c>
      <c r="E16" s="39">
        <f>+E17+E18+E19+E20+E21</f>
        <v>0</v>
      </c>
    </row>
    <row r="17" spans="1:5" s="40" customFormat="1" ht="12" customHeight="1">
      <c r="A17" s="41" t="s">
        <v>130</v>
      </c>
      <c r="B17" s="494" t="s">
        <v>131</v>
      </c>
      <c r="C17" s="52"/>
      <c r="D17" s="52"/>
      <c r="E17" s="53"/>
    </row>
    <row r="18" spans="1:5" s="40" customFormat="1" ht="12" customHeight="1">
      <c r="A18" s="45" t="s">
        <v>132</v>
      </c>
      <c r="B18" s="495" t="s">
        <v>133</v>
      </c>
      <c r="C18" s="54"/>
      <c r="D18" s="54"/>
      <c r="E18" s="50"/>
    </row>
    <row r="19" spans="1:5" s="40" customFormat="1" ht="12" customHeight="1">
      <c r="A19" s="45" t="s">
        <v>134</v>
      </c>
      <c r="B19" s="495" t="s">
        <v>135</v>
      </c>
      <c r="C19" s="54"/>
      <c r="D19" s="54"/>
      <c r="E19" s="50"/>
    </row>
    <row r="20" spans="1:5" s="40" customFormat="1" ht="12" customHeight="1">
      <c r="A20" s="45" t="s">
        <v>136</v>
      </c>
      <c r="B20" s="495" t="s">
        <v>137</v>
      </c>
      <c r="C20" s="54"/>
      <c r="D20" s="54"/>
      <c r="E20" s="50"/>
    </row>
    <row r="21" spans="1:5" s="40" customFormat="1" ht="12" customHeight="1">
      <c r="A21" s="45" t="s">
        <v>138</v>
      </c>
      <c r="B21" s="495" t="s">
        <v>139</v>
      </c>
      <c r="C21" s="54">
        <v>20796089</v>
      </c>
      <c r="D21" s="54"/>
      <c r="E21" s="50"/>
    </row>
    <row r="22" spans="1:5" s="40" customFormat="1" ht="12" customHeight="1">
      <c r="A22" s="48" t="s">
        <v>140</v>
      </c>
      <c r="B22" s="496" t="s">
        <v>141</v>
      </c>
      <c r="C22" s="56"/>
      <c r="D22" s="56"/>
      <c r="E22" s="57"/>
    </row>
    <row r="23" spans="1:5" s="40" customFormat="1" ht="12" customHeight="1">
      <c r="A23" s="36" t="s">
        <v>142</v>
      </c>
      <c r="B23" s="493" t="s">
        <v>143</v>
      </c>
      <c r="C23" s="38">
        <f>+C24+C25+C26+C27+C28</f>
        <v>3541020</v>
      </c>
      <c r="D23" s="38">
        <f>+D24+D25+D26+D27+D28</f>
        <v>0</v>
      </c>
      <c r="E23" s="39">
        <f>+E24+E25+E26+E27+E28</f>
        <v>0</v>
      </c>
    </row>
    <row r="24" spans="1:5" s="40" customFormat="1" ht="12" customHeight="1">
      <c r="A24" s="41" t="s">
        <v>144</v>
      </c>
      <c r="B24" s="494" t="s">
        <v>145</v>
      </c>
      <c r="C24" s="52">
        <v>3541020</v>
      </c>
      <c r="D24" s="52"/>
      <c r="E24" s="53"/>
    </row>
    <row r="25" spans="1:5" s="40" customFormat="1" ht="12" customHeight="1">
      <c r="A25" s="45" t="s">
        <v>146</v>
      </c>
      <c r="B25" s="495" t="s">
        <v>147</v>
      </c>
      <c r="C25" s="54"/>
      <c r="D25" s="54"/>
      <c r="E25" s="50"/>
    </row>
    <row r="26" spans="1:5" s="40" customFormat="1" ht="12" customHeight="1">
      <c r="A26" s="45" t="s">
        <v>148</v>
      </c>
      <c r="B26" s="495" t="s">
        <v>149</v>
      </c>
      <c r="C26" s="54"/>
      <c r="D26" s="54"/>
      <c r="E26" s="50"/>
    </row>
    <row r="27" spans="1:5" s="40" customFormat="1" ht="12" customHeight="1">
      <c r="A27" s="45" t="s">
        <v>150</v>
      </c>
      <c r="B27" s="495" t="s">
        <v>151</v>
      </c>
      <c r="C27" s="54"/>
      <c r="D27" s="54"/>
      <c r="E27" s="50"/>
    </row>
    <row r="28" spans="1:5" s="40" customFormat="1" ht="12" customHeight="1">
      <c r="A28" s="45" t="s">
        <v>152</v>
      </c>
      <c r="B28" s="495" t="s">
        <v>153</v>
      </c>
      <c r="C28" s="54"/>
      <c r="D28" s="54"/>
      <c r="E28" s="50"/>
    </row>
    <row r="29" spans="1:5" s="40" customFormat="1" ht="12" customHeight="1">
      <c r="A29" s="48" t="s">
        <v>154</v>
      </c>
      <c r="B29" s="496" t="s">
        <v>155</v>
      </c>
      <c r="C29" s="56"/>
      <c r="D29" s="56"/>
      <c r="E29" s="57"/>
    </row>
    <row r="30" spans="1:5" s="40" customFormat="1" ht="12" customHeight="1">
      <c r="A30" s="88" t="s">
        <v>156</v>
      </c>
      <c r="B30" s="37" t="s">
        <v>668</v>
      </c>
      <c r="C30" s="59">
        <f>SUM(C31:C37)</f>
        <v>210086401</v>
      </c>
      <c r="D30" s="59">
        <f>SUM(D31:D37)</f>
        <v>0</v>
      </c>
      <c r="E30" s="60">
        <f>SUM(E31:E37)</f>
        <v>0</v>
      </c>
    </row>
    <row r="31" spans="1:5" s="40" customFormat="1" ht="12" customHeight="1">
      <c r="A31" s="41" t="s">
        <v>158</v>
      </c>
      <c r="B31" s="42" t="s">
        <v>159</v>
      </c>
      <c r="C31" s="52">
        <v>141917438</v>
      </c>
      <c r="D31" s="52">
        <f>+D32+D33</f>
        <v>0</v>
      </c>
      <c r="E31" s="53">
        <f>+E32+E33</f>
        <v>0</v>
      </c>
    </row>
    <row r="32" spans="1:5" s="40" customFormat="1" ht="12" customHeight="1">
      <c r="A32" s="45" t="s">
        <v>160</v>
      </c>
      <c r="B32" s="46" t="s">
        <v>161</v>
      </c>
      <c r="C32" s="54">
        <v>19474200</v>
      </c>
      <c r="D32" s="54"/>
      <c r="E32" s="50"/>
    </row>
    <row r="33" spans="1:5" s="40" customFormat="1" ht="12" customHeight="1">
      <c r="A33" s="45" t="s">
        <v>162</v>
      </c>
      <c r="B33" s="46" t="s">
        <v>163</v>
      </c>
      <c r="C33" s="54">
        <v>42364543</v>
      </c>
      <c r="D33" s="54"/>
      <c r="E33" s="50"/>
    </row>
    <row r="34" spans="1:5" s="40" customFormat="1" ht="12" customHeight="1">
      <c r="A34" s="45" t="s">
        <v>164</v>
      </c>
      <c r="B34" s="46" t="s">
        <v>165</v>
      </c>
      <c r="C34" s="54"/>
      <c r="D34" s="54"/>
      <c r="E34" s="50"/>
    </row>
    <row r="35" spans="1:5" s="40" customFormat="1" ht="12" customHeight="1">
      <c r="A35" s="45" t="s">
        <v>166</v>
      </c>
      <c r="B35" s="46" t="s">
        <v>167</v>
      </c>
      <c r="C35" s="54">
        <v>4984947</v>
      </c>
      <c r="D35" s="54"/>
      <c r="E35" s="50"/>
    </row>
    <row r="36" spans="1:5" s="40" customFormat="1" ht="12" customHeight="1">
      <c r="A36" s="45" t="s">
        <v>168</v>
      </c>
      <c r="B36" s="46" t="s">
        <v>169</v>
      </c>
      <c r="C36" s="54"/>
      <c r="D36" s="54"/>
      <c r="E36" s="50"/>
    </row>
    <row r="37" spans="1:5" s="40" customFormat="1" ht="12" customHeight="1">
      <c r="A37" s="48" t="s">
        <v>170</v>
      </c>
      <c r="B37" s="58" t="s">
        <v>171</v>
      </c>
      <c r="C37" s="56">
        <v>1345273</v>
      </c>
      <c r="D37" s="56"/>
      <c r="E37" s="57"/>
    </row>
    <row r="38" spans="1:5" s="40" customFormat="1" ht="12" customHeight="1">
      <c r="A38" s="36" t="s">
        <v>172</v>
      </c>
      <c r="B38" s="493" t="s">
        <v>669</v>
      </c>
      <c r="C38" s="38">
        <f>SUM(C39:C49)</f>
        <v>66328711</v>
      </c>
      <c r="D38" s="38">
        <f>SUM(D39:D49)</f>
        <v>0</v>
      </c>
      <c r="E38" s="39">
        <f>SUM(E39:E49)</f>
        <v>0</v>
      </c>
    </row>
    <row r="39" spans="1:5" s="40" customFormat="1" ht="12" customHeight="1">
      <c r="A39" s="41" t="s">
        <v>174</v>
      </c>
      <c r="B39" s="42" t="s">
        <v>175</v>
      </c>
      <c r="C39" s="52"/>
      <c r="D39" s="52"/>
      <c r="E39" s="53"/>
    </row>
    <row r="40" spans="1:5" s="40" customFormat="1" ht="12" customHeight="1">
      <c r="A40" s="45" t="s">
        <v>176</v>
      </c>
      <c r="B40" s="46" t="s">
        <v>177</v>
      </c>
      <c r="C40" s="54">
        <v>14230261</v>
      </c>
      <c r="D40" s="54"/>
      <c r="E40" s="50"/>
    </row>
    <row r="41" spans="1:5" s="40" customFormat="1" ht="12" customHeight="1">
      <c r="A41" s="45" t="s">
        <v>178</v>
      </c>
      <c r="B41" s="46" t="s">
        <v>179</v>
      </c>
      <c r="C41" s="54">
        <v>8475731</v>
      </c>
      <c r="D41" s="54"/>
      <c r="E41" s="50"/>
    </row>
    <row r="42" spans="1:5" s="40" customFormat="1" ht="12" customHeight="1">
      <c r="A42" s="45" t="s">
        <v>180</v>
      </c>
      <c r="B42" s="46" t="s">
        <v>181</v>
      </c>
      <c r="C42" s="54">
        <v>16176513</v>
      </c>
      <c r="D42" s="54"/>
      <c r="E42" s="50"/>
    </row>
    <row r="43" spans="1:5" s="40" customFormat="1" ht="12" customHeight="1">
      <c r="A43" s="45" t="s">
        <v>182</v>
      </c>
      <c r="B43" s="46" t="s">
        <v>183</v>
      </c>
      <c r="C43" s="54">
        <v>10144736</v>
      </c>
      <c r="D43" s="54"/>
      <c r="E43" s="50"/>
    </row>
    <row r="44" spans="1:5" s="40" customFormat="1" ht="12" customHeight="1">
      <c r="A44" s="45" t="s">
        <v>184</v>
      </c>
      <c r="B44" s="46" t="s">
        <v>185</v>
      </c>
      <c r="C44" s="54">
        <v>14108974</v>
      </c>
      <c r="D44" s="54"/>
      <c r="E44" s="50"/>
    </row>
    <row r="45" spans="1:5" s="40" customFormat="1" ht="12" customHeight="1">
      <c r="A45" s="45" t="s">
        <v>186</v>
      </c>
      <c r="B45" s="46" t="s">
        <v>187</v>
      </c>
      <c r="C45" s="54"/>
      <c r="D45" s="54"/>
      <c r="E45" s="50"/>
    </row>
    <row r="46" spans="1:5" s="40" customFormat="1" ht="12" customHeight="1">
      <c r="A46" s="45" t="s">
        <v>188</v>
      </c>
      <c r="B46" s="46" t="s">
        <v>189</v>
      </c>
      <c r="C46" s="54">
        <v>90859</v>
      </c>
      <c r="D46" s="54"/>
      <c r="E46" s="50"/>
    </row>
    <row r="47" spans="1:5" s="40" customFormat="1" ht="12" customHeight="1">
      <c r="A47" s="45" t="s">
        <v>190</v>
      </c>
      <c r="B47" s="46" t="s">
        <v>191</v>
      </c>
      <c r="C47" s="66">
        <v>90177</v>
      </c>
      <c r="D47" s="54"/>
      <c r="E47" s="50"/>
    </row>
    <row r="48" spans="1:5" s="40" customFormat="1" ht="12" customHeight="1">
      <c r="A48" s="48" t="s">
        <v>192</v>
      </c>
      <c r="B48" s="58" t="s">
        <v>193</v>
      </c>
      <c r="C48" s="67">
        <v>175120</v>
      </c>
      <c r="D48" s="66"/>
      <c r="E48" s="68"/>
    </row>
    <row r="49" spans="1:5" s="40" customFormat="1" ht="12" customHeight="1">
      <c r="A49" s="48" t="s">
        <v>194</v>
      </c>
      <c r="B49" s="49" t="s">
        <v>195</v>
      </c>
      <c r="C49" s="67">
        <v>2836340</v>
      </c>
      <c r="D49" s="67"/>
      <c r="E49" s="143"/>
    </row>
    <row r="50" spans="1:5" s="40" customFormat="1" ht="12" customHeight="1">
      <c r="A50" s="36" t="s">
        <v>196</v>
      </c>
      <c r="B50" s="493" t="s">
        <v>197</v>
      </c>
      <c r="C50" s="38">
        <f>SUM(C51:C55)</f>
        <v>18200556</v>
      </c>
      <c r="D50" s="38">
        <f>SUM(D51:D55)</f>
        <v>0</v>
      </c>
      <c r="E50" s="39">
        <f>SUM(E51:E55)</f>
        <v>0</v>
      </c>
    </row>
    <row r="51" spans="1:5" s="40" customFormat="1" ht="12" customHeight="1">
      <c r="A51" s="41" t="s">
        <v>198</v>
      </c>
      <c r="B51" s="494" t="s">
        <v>199</v>
      </c>
      <c r="C51" s="65"/>
      <c r="D51" s="65"/>
      <c r="E51" s="144"/>
    </row>
    <row r="52" spans="1:5" s="40" customFormat="1" ht="12" customHeight="1">
      <c r="A52" s="45" t="s">
        <v>200</v>
      </c>
      <c r="B52" s="495" t="s">
        <v>201</v>
      </c>
      <c r="C52" s="66">
        <v>18200556</v>
      </c>
      <c r="D52" s="66"/>
      <c r="E52" s="68"/>
    </row>
    <row r="53" spans="1:5" s="40" customFormat="1" ht="12" customHeight="1">
      <c r="A53" s="45" t="s">
        <v>202</v>
      </c>
      <c r="B53" s="495" t="s">
        <v>203</v>
      </c>
      <c r="C53" s="66"/>
      <c r="D53" s="66"/>
      <c r="E53" s="68"/>
    </row>
    <row r="54" spans="1:5" s="40" customFormat="1" ht="12" customHeight="1">
      <c r="A54" s="45" t="s">
        <v>204</v>
      </c>
      <c r="B54" s="495" t="s">
        <v>205</v>
      </c>
      <c r="C54" s="66"/>
      <c r="D54" s="66"/>
      <c r="E54" s="68"/>
    </row>
    <row r="55" spans="1:5" s="40" customFormat="1" ht="12" customHeight="1">
      <c r="A55" s="48" t="s">
        <v>206</v>
      </c>
      <c r="B55" s="496" t="s">
        <v>207</v>
      </c>
      <c r="C55" s="67"/>
      <c r="D55" s="67"/>
      <c r="E55" s="143"/>
    </row>
    <row r="56" spans="1:5" s="40" customFormat="1" ht="12.75">
      <c r="A56" s="36" t="s">
        <v>208</v>
      </c>
      <c r="B56" s="493" t="s">
        <v>209</v>
      </c>
      <c r="C56" s="38">
        <f>SUM(C57:C59)</f>
        <v>3741752</v>
      </c>
      <c r="D56" s="38">
        <f>SUM(D57:D59)</f>
        <v>0</v>
      </c>
      <c r="E56" s="39">
        <f>SUM(E57:E59)</f>
        <v>0</v>
      </c>
    </row>
    <row r="57" spans="1:5" s="40" customFormat="1" ht="12.75">
      <c r="A57" s="41" t="s">
        <v>210</v>
      </c>
      <c r="B57" s="494" t="s">
        <v>211</v>
      </c>
      <c r="C57" s="52"/>
      <c r="D57" s="52"/>
      <c r="E57" s="53"/>
    </row>
    <row r="58" spans="1:5" s="40" customFormat="1" ht="14.25" customHeight="1">
      <c r="A58" s="45" t="s">
        <v>212</v>
      </c>
      <c r="B58" s="495" t="s">
        <v>670</v>
      </c>
      <c r="C58" s="54"/>
      <c r="D58" s="54"/>
      <c r="E58" s="50"/>
    </row>
    <row r="59" spans="1:5" s="40" customFormat="1" ht="12.75">
      <c r="A59" s="45" t="s">
        <v>214</v>
      </c>
      <c r="B59" s="495" t="s">
        <v>215</v>
      </c>
      <c r="C59" s="54">
        <v>3741752</v>
      </c>
      <c r="D59" s="54"/>
      <c r="E59" s="50"/>
    </row>
    <row r="60" spans="1:5" s="40" customFormat="1" ht="12.75">
      <c r="A60" s="48" t="s">
        <v>216</v>
      </c>
      <c r="B60" s="496" t="s">
        <v>217</v>
      </c>
      <c r="C60" s="56"/>
      <c r="D60" s="56"/>
      <c r="E60" s="57"/>
    </row>
    <row r="61" spans="1:5" s="40" customFormat="1" ht="12.75">
      <c r="A61" s="36" t="s">
        <v>218</v>
      </c>
      <c r="B61" s="497" t="s">
        <v>219</v>
      </c>
      <c r="C61" s="38">
        <f>SUM(C62:C64)</f>
        <v>35729240</v>
      </c>
      <c r="D61" s="38">
        <f>SUM(D62:D64)</f>
        <v>0</v>
      </c>
      <c r="E61" s="39">
        <f>SUM(E62:E64)</f>
        <v>0</v>
      </c>
    </row>
    <row r="62" spans="1:5" s="40" customFormat="1" ht="12.75">
      <c r="A62" s="45" t="s">
        <v>220</v>
      </c>
      <c r="B62" s="494" t="s">
        <v>221</v>
      </c>
      <c r="C62" s="66"/>
      <c r="D62" s="66"/>
      <c r="E62" s="68"/>
    </row>
    <row r="63" spans="1:5" s="40" customFormat="1" ht="12.75" customHeight="1">
      <c r="A63" s="45" t="s">
        <v>222</v>
      </c>
      <c r="B63" s="495" t="s">
        <v>671</v>
      </c>
      <c r="C63" s="66">
        <v>688467</v>
      </c>
      <c r="D63" s="66"/>
      <c r="E63" s="68"/>
    </row>
    <row r="64" spans="1:5" s="40" customFormat="1" ht="12.75">
      <c r="A64" s="45" t="s">
        <v>224</v>
      </c>
      <c r="B64" s="495" t="s">
        <v>225</v>
      </c>
      <c r="C64" s="66">
        <v>35040773</v>
      </c>
      <c r="D64" s="66"/>
      <c r="E64" s="68"/>
    </row>
    <row r="65" spans="1:5" s="40" customFormat="1" ht="12.75">
      <c r="A65" s="45" t="s">
        <v>226</v>
      </c>
      <c r="B65" s="496" t="s">
        <v>227</v>
      </c>
      <c r="C65" s="66"/>
      <c r="D65" s="66"/>
      <c r="E65" s="68"/>
    </row>
    <row r="66" spans="1:5" s="40" customFormat="1" ht="12.75">
      <c r="A66" s="36" t="s">
        <v>365</v>
      </c>
      <c r="B66" s="493" t="s">
        <v>229</v>
      </c>
      <c r="C66" s="59">
        <f>+C9+C16+C23+C30+C38+C50+C56+C61</f>
        <v>487387390</v>
      </c>
      <c r="D66" s="59">
        <f>+D9+D16+D23+D30+D38+D50+D56+D61</f>
        <v>0</v>
      </c>
      <c r="E66" s="60">
        <f>+E9+E16+E23+E30+E38+E50+E56+E61</f>
        <v>0</v>
      </c>
    </row>
    <row r="67" spans="1:5" s="40" customFormat="1" ht="12.75">
      <c r="A67" s="70" t="s">
        <v>230</v>
      </c>
      <c r="B67" s="497" t="s">
        <v>672</v>
      </c>
      <c r="C67" s="38">
        <f>SUM(C68:C70)</f>
        <v>0</v>
      </c>
      <c r="D67" s="38">
        <f>SUM(D68:D70)</f>
        <v>0</v>
      </c>
      <c r="E67" s="39">
        <f>SUM(E68:E70)</f>
        <v>0</v>
      </c>
    </row>
    <row r="68" spans="1:5" s="40" customFormat="1" ht="12.75">
      <c r="A68" s="45" t="s">
        <v>232</v>
      </c>
      <c r="B68" s="494" t="s">
        <v>233</v>
      </c>
      <c r="C68" s="66"/>
      <c r="D68" s="66"/>
      <c r="E68" s="68"/>
    </row>
    <row r="69" spans="1:5" s="40" customFormat="1" ht="12.75">
      <c r="A69" s="45" t="s">
        <v>234</v>
      </c>
      <c r="B69" s="495" t="s">
        <v>235</v>
      </c>
      <c r="C69" s="66"/>
      <c r="D69" s="66"/>
      <c r="E69" s="68"/>
    </row>
    <row r="70" spans="1:5" s="40" customFormat="1" ht="12.75">
      <c r="A70" s="45" t="s">
        <v>236</v>
      </c>
      <c r="B70" s="71" t="s">
        <v>237</v>
      </c>
      <c r="C70" s="66"/>
      <c r="D70" s="66"/>
      <c r="E70" s="68"/>
    </row>
    <row r="71" spans="1:5" s="40" customFormat="1" ht="12.75">
      <c r="A71" s="70" t="s">
        <v>238</v>
      </c>
      <c r="B71" s="497" t="s">
        <v>239</v>
      </c>
      <c r="C71" s="38">
        <f>SUM(C72:C75)</f>
        <v>0</v>
      </c>
      <c r="D71" s="38">
        <f>SUM(D72:D75)</f>
        <v>0</v>
      </c>
      <c r="E71" s="39">
        <f>SUM(E72:E75)</f>
        <v>0</v>
      </c>
    </row>
    <row r="72" spans="1:5" s="40" customFormat="1" ht="12.75">
      <c r="A72" s="45" t="s">
        <v>240</v>
      </c>
      <c r="B72" s="498" t="s">
        <v>241</v>
      </c>
      <c r="C72" s="66"/>
      <c r="D72" s="66"/>
      <c r="E72" s="68"/>
    </row>
    <row r="73" spans="1:5" s="40" customFormat="1" ht="12.75">
      <c r="A73" s="45" t="s">
        <v>242</v>
      </c>
      <c r="B73" s="498" t="s">
        <v>243</v>
      </c>
      <c r="C73" s="66"/>
      <c r="D73" s="66"/>
      <c r="E73" s="68"/>
    </row>
    <row r="74" spans="1:5" s="40" customFormat="1" ht="12" customHeight="1">
      <c r="A74" s="45" t="s">
        <v>244</v>
      </c>
      <c r="B74" s="498" t="s">
        <v>245</v>
      </c>
      <c r="C74" s="66"/>
      <c r="D74" s="66"/>
      <c r="E74" s="68"/>
    </row>
    <row r="75" spans="1:5" s="40" customFormat="1" ht="12" customHeight="1">
      <c r="A75" s="45" t="s">
        <v>246</v>
      </c>
      <c r="B75" s="499" t="s">
        <v>247</v>
      </c>
      <c r="C75" s="66"/>
      <c r="D75" s="66"/>
      <c r="E75" s="68"/>
    </row>
    <row r="76" spans="1:5" s="40" customFormat="1" ht="12" customHeight="1">
      <c r="A76" s="70" t="s">
        <v>248</v>
      </c>
      <c r="B76" s="497" t="s">
        <v>249</v>
      </c>
      <c r="C76" s="38">
        <f>SUM(C77:C78)</f>
        <v>130462896</v>
      </c>
      <c r="D76" s="38">
        <f>SUM(D77:D78)</f>
        <v>0</v>
      </c>
      <c r="E76" s="39">
        <f>SUM(E77:E78)</f>
        <v>0</v>
      </c>
    </row>
    <row r="77" spans="1:5" s="40" customFormat="1" ht="12" customHeight="1">
      <c r="A77" s="45" t="s">
        <v>250</v>
      </c>
      <c r="B77" s="494" t="s">
        <v>251</v>
      </c>
      <c r="C77" s="66">
        <v>130462896</v>
      </c>
      <c r="D77" s="66"/>
      <c r="E77" s="68"/>
    </row>
    <row r="78" spans="1:5" s="40" customFormat="1" ht="12" customHeight="1">
      <c r="A78" s="45" t="s">
        <v>252</v>
      </c>
      <c r="B78" s="496" t="s">
        <v>253</v>
      </c>
      <c r="C78" s="66"/>
      <c r="D78" s="66"/>
      <c r="E78" s="68"/>
    </row>
    <row r="79" spans="1:5" s="40" customFormat="1" ht="12" customHeight="1">
      <c r="A79" s="70" t="s">
        <v>254</v>
      </c>
      <c r="B79" s="497" t="s">
        <v>255</v>
      </c>
      <c r="C79" s="38">
        <f>SUM(C80:C82)</f>
        <v>4052052</v>
      </c>
      <c r="D79" s="38">
        <f>SUM(D80:D82)</f>
        <v>0</v>
      </c>
      <c r="E79" s="39">
        <f>SUM(E80:E82)</f>
        <v>0</v>
      </c>
    </row>
    <row r="80" spans="1:5" s="40" customFormat="1" ht="12" customHeight="1">
      <c r="A80" s="45" t="s">
        <v>256</v>
      </c>
      <c r="B80" s="494" t="s">
        <v>257</v>
      </c>
      <c r="C80" s="66">
        <v>4052052</v>
      </c>
      <c r="D80" s="66"/>
      <c r="E80" s="68"/>
    </row>
    <row r="81" spans="1:5" s="40" customFormat="1" ht="12" customHeight="1">
      <c r="A81" s="45" t="s">
        <v>258</v>
      </c>
      <c r="B81" s="495" t="s">
        <v>259</v>
      </c>
      <c r="C81" s="66"/>
      <c r="D81" s="66"/>
      <c r="E81" s="68"/>
    </row>
    <row r="82" spans="1:5" s="40" customFormat="1" ht="12" customHeight="1">
      <c r="A82" s="45" t="s">
        <v>260</v>
      </c>
      <c r="B82" s="500" t="s">
        <v>673</v>
      </c>
      <c r="C82" s="66"/>
      <c r="D82" s="66"/>
      <c r="E82" s="68"/>
    </row>
    <row r="83" spans="1:5" s="40" customFormat="1" ht="12" customHeight="1">
      <c r="A83" s="70" t="s">
        <v>262</v>
      </c>
      <c r="B83" s="497" t="s">
        <v>263</v>
      </c>
      <c r="C83" s="38">
        <f>SUM(C84:C87)</f>
        <v>0</v>
      </c>
      <c r="D83" s="38">
        <f>SUM(D84:D87)</f>
        <v>0</v>
      </c>
      <c r="E83" s="39">
        <f>SUM(E84:E87)</f>
        <v>0</v>
      </c>
    </row>
    <row r="84" spans="1:5" s="40" customFormat="1" ht="12" customHeight="1">
      <c r="A84" s="501" t="s">
        <v>264</v>
      </c>
      <c r="B84" s="494" t="s">
        <v>265</v>
      </c>
      <c r="C84" s="66"/>
      <c r="D84" s="66"/>
      <c r="E84" s="68"/>
    </row>
    <row r="85" spans="1:5" s="40" customFormat="1" ht="12" customHeight="1">
      <c r="A85" s="502" t="s">
        <v>266</v>
      </c>
      <c r="B85" s="495" t="s">
        <v>267</v>
      </c>
      <c r="C85" s="66"/>
      <c r="D85" s="66"/>
      <c r="E85" s="68"/>
    </row>
    <row r="86" spans="1:5" s="40" customFormat="1" ht="12" customHeight="1">
      <c r="A86" s="502" t="s">
        <v>268</v>
      </c>
      <c r="B86" s="495" t="s">
        <v>269</v>
      </c>
      <c r="C86" s="66"/>
      <c r="D86" s="66"/>
      <c r="E86" s="68"/>
    </row>
    <row r="87" spans="1:5" s="40" customFormat="1" ht="12" customHeight="1">
      <c r="A87" s="503" t="s">
        <v>270</v>
      </c>
      <c r="B87" s="496" t="s">
        <v>271</v>
      </c>
      <c r="C87" s="66"/>
      <c r="D87" s="66"/>
      <c r="E87" s="68"/>
    </row>
    <row r="88" spans="1:5" s="40" customFormat="1" ht="12" customHeight="1">
      <c r="A88" s="70" t="s">
        <v>272</v>
      </c>
      <c r="B88" s="497" t="s">
        <v>275</v>
      </c>
      <c r="C88" s="78"/>
      <c r="D88" s="78"/>
      <c r="E88" s="79"/>
    </row>
    <row r="89" spans="1:5" s="40" customFormat="1" ht="13.5" customHeight="1">
      <c r="A89" s="70" t="s">
        <v>274</v>
      </c>
      <c r="B89" s="504" t="s">
        <v>674</v>
      </c>
      <c r="C89" s="59">
        <f>+C67+C71+C76+C79+C83+C88</f>
        <v>134514948</v>
      </c>
      <c r="D89" s="59">
        <f>+D67+D71+D76+D79+D83+D88</f>
        <v>0</v>
      </c>
      <c r="E89" s="60">
        <f>+E67+E71+E76+E79+E83+E88</f>
        <v>0</v>
      </c>
    </row>
    <row r="90" spans="1:5" s="40" customFormat="1" ht="12" customHeight="1">
      <c r="A90" s="81" t="s">
        <v>276</v>
      </c>
      <c r="B90" s="505" t="s">
        <v>675</v>
      </c>
      <c r="C90" s="59">
        <f>+C66+C89</f>
        <v>621902338</v>
      </c>
      <c r="D90" s="59">
        <f>+D66+D89</f>
        <v>0</v>
      </c>
      <c r="E90" s="60">
        <f>+E66+E89</f>
        <v>0</v>
      </c>
    </row>
    <row r="91" spans="1:5" ht="16.5" customHeight="1">
      <c r="A91" s="815" t="s">
        <v>280</v>
      </c>
      <c r="B91" s="815"/>
      <c r="C91" s="815"/>
      <c r="D91" s="815"/>
      <c r="E91" s="815"/>
    </row>
    <row r="92" spans="1:5" s="87" customFormat="1" ht="16.5" customHeight="1">
      <c r="A92" s="506" t="s">
        <v>281</v>
      </c>
      <c r="B92" s="506"/>
      <c r="C92" s="506"/>
      <c r="D92" s="86"/>
      <c r="E92" s="86" t="str">
        <f>E5</f>
        <v>E</v>
      </c>
    </row>
    <row r="93" spans="1:5" s="87" customFormat="1" ht="16.5" customHeight="1">
      <c r="A93" s="812" t="s">
        <v>105</v>
      </c>
      <c r="B93" s="813" t="s">
        <v>282</v>
      </c>
      <c r="C93" s="813" t="str">
        <f>+C6</f>
        <v>2017. évi tény</v>
      </c>
      <c r="D93" s="863" t="str">
        <f>+D6</f>
        <v>2018. évi</v>
      </c>
      <c r="E93" s="863"/>
    </row>
    <row r="94" spans="1:5" ht="37.5" customHeight="1">
      <c r="A94" s="812"/>
      <c r="B94" s="813"/>
      <c r="C94" s="813"/>
      <c r="D94" s="30" t="s">
        <v>572</v>
      </c>
      <c r="E94" s="507" t="s">
        <v>538</v>
      </c>
    </row>
    <row r="95" spans="1:5" s="35" customFormat="1" ht="12" customHeight="1">
      <c r="A95" s="88" t="s">
        <v>109</v>
      </c>
      <c r="B95" s="89" t="s">
        <v>110</v>
      </c>
      <c r="C95" s="89" t="s">
        <v>111</v>
      </c>
      <c r="D95" s="89" t="s">
        <v>113</v>
      </c>
      <c r="E95" s="508" t="s">
        <v>436</v>
      </c>
    </row>
    <row r="96" spans="1:5" ht="12" customHeight="1">
      <c r="A96" s="91" t="s">
        <v>114</v>
      </c>
      <c r="B96" s="92" t="s">
        <v>676</v>
      </c>
      <c r="C96" s="93">
        <f>SUM(C97:C101)</f>
        <v>350558966</v>
      </c>
      <c r="D96" s="93">
        <f>+D97+D98+D99+D100+D101</f>
        <v>0</v>
      </c>
      <c r="E96" s="94">
        <f>+E97+E98+E99+E100+E101</f>
        <v>0</v>
      </c>
    </row>
    <row r="97" spans="1:5" ht="12" customHeight="1">
      <c r="A97" s="95" t="s">
        <v>116</v>
      </c>
      <c r="B97" s="509" t="s">
        <v>284</v>
      </c>
      <c r="C97" s="148">
        <v>120886458</v>
      </c>
      <c r="D97" s="148"/>
      <c r="E97" s="98"/>
    </row>
    <row r="98" spans="1:5" ht="12" customHeight="1">
      <c r="A98" s="45" t="s">
        <v>118</v>
      </c>
      <c r="B98" s="510" t="s">
        <v>285</v>
      </c>
      <c r="C98" s="54">
        <v>26964494</v>
      </c>
      <c r="D98" s="54"/>
      <c r="E98" s="50"/>
    </row>
    <row r="99" spans="1:5" ht="12" customHeight="1">
      <c r="A99" s="45" t="s">
        <v>120</v>
      </c>
      <c r="B99" s="510" t="s">
        <v>286</v>
      </c>
      <c r="C99" s="56">
        <v>131990661</v>
      </c>
      <c r="D99" s="56"/>
      <c r="E99" s="57"/>
    </row>
    <row r="100" spans="1:5" ht="12" customHeight="1">
      <c r="A100" s="45" t="s">
        <v>122</v>
      </c>
      <c r="B100" s="511" t="s">
        <v>287</v>
      </c>
      <c r="C100" s="56">
        <v>8917783</v>
      </c>
      <c r="D100" s="56"/>
      <c r="E100" s="57"/>
    </row>
    <row r="101" spans="1:5" ht="12" customHeight="1">
      <c r="A101" s="45" t="s">
        <v>288</v>
      </c>
      <c r="B101" s="512" t="s">
        <v>289</v>
      </c>
      <c r="C101" s="56">
        <v>61799570</v>
      </c>
      <c r="D101" s="56"/>
      <c r="E101" s="57"/>
    </row>
    <row r="102" spans="1:5" ht="12" customHeight="1">
      <c r="A102" s="45" t="s">
        <v>126</v>
      </c>
      <c r="B102" s="510" t="s">
        <v>677</v>
      </c>
      <c r="C102" s="56">
        <v>796137</v>
      </c>
      <c r="D102" s="56"/>
      <c r="E102" s="57"/>
    </row>
    <row r="103" spans="1:5" ht="12" customHeight="1">
      <c r="A103" s="45" t="s">
        <v>291</v>
      </c>
      <c r="B103" s="513" t="s">
        <v>296</v>
      </c>
      <c r="C103" s="56"/>
      <c r="D103" s="56"/>
      <c r="E103" s="57"/>
    </row>
    <row r="104" spans="1:5" ht="12" customHeight="1">
      <c r="A104" s="45" t="s">
        <v>293</v>
      </c>
      <c r="B104" s="510" t="s">
        <v>298</v>
      </c>
      <c r="C104" s="56"/>
      <c r="D104" s="56"/>
      <c r="E104" s="57"/>
    </row>
    <row r="105" spans="1:5" ht="12" customHeight="1">
      <c r="A105" s="45" t="s">
        <v>295</v>
      </c>
      <c r="B105" s="510" t="s">
        <v>300</v>
      </c>
      <c r="C105" s="56"/>
      <c r="D105" s="56"/>
      <c r="E105" s="57"/>
    </row>
    <row r="106" spans="1:5" ht="12" customHeight="1">
      <c r="A106" s="45" t="s">
        <v>297</v>
      </c>
      <c r="B106" s="513" t="s">
        <v>302</v>
      </c>
      <c r="C106" s="56">
        <v>33366683</v>
      </c>
      <c r="D106" s="56"/>
      <c r="E106" s="57"/>
    </row>
    <row r="107" spans="1:5" ht="12" customHeight="1">
      <c r="A107" s="45" t="s">
        <v>299</v>
      </c>
      <c r="B107" s="513" t="s">
        <v>304</v>
      </c>
      <c r="C107" s="56"/>
      <c r="D107" s="56"/>
      <c r="E107" s="57"/>
    </row>
    <row r="108" spans="1:5" ht="12" customHeight="1">
      <c r="A108" s="45" t="s">
        <v>301</v>
      </c>
      <c r="B108" s="510" t="s">
        <v>306</v>
      </c>
      <c r="C108" s="56"/>
      <c r="D108" s="56"/>
      <c r="E108" s="57"/>
    </row>
    <row r="109" spans="1:5" ht="12" customHeight="1">
      <c r="A109" s="105" t="s">
        <v>303</v>
      </c>
      <c r="B109" s="514" t="s">
        <v>308</v>
      </c>
      <c r="C109" s="56"/>
      <c r="D109" s="56"/>
      <c r="E109" s="57"/>
    </row>
    <row r="110" spans="1:5" ht="12" customHeight="1">
      <c r="A110" s="45" t="s">
        <v>305</v>
      </c>
      <c r="B110" s="514" t="s">
        <v>310</v>
      </c>
      <c r="C110" s="56"/>
      <c r="D110" s="56"/>
      <c r="E110" s="57"/>
    </row>
    <row r="111" spans="1:5" ht="12" customHeight="1">
      <c r="A111" s="106" t="s">
        <v>307</v>
      </c>
      <c r="B111" s="515" t="s">
        <v>312</v>
      </c>
      <c r="C111" s="56">
        <v>27636750</v>
      </c>
      <c r="D111" s="121"/>
      <c r="E111" s="109"/>
    </row>
    <row r="112" spans="1:5" ht="12" customHeight="1">
      <c r="A112" s="36" t="s">
        <v>128</v>
      </c>
      <c r="B112" s="141" t="s">
        <v>678</v>
      </c>
      <c r="C112" s="38">
        <f>+C113+C115+C117</f>
        <v>86166417</v>
      </c>
      <c r="D112" s="38">
        <f>+D113+D115+D117</f>
        <v>0</v>
      </c>
      <c r="E112" s="39">
        <f>+E113+E115+E117</f>
        <v>0</v>
      </c>
    </row>
    <row r="113" spans="1:5" ht="12" customHeight="1">
      <c r="A113" s="41" t="s">
        <v>130</v>
      </c>
      <c r="B113" s="510" t="s">
        <v>320</v>
      </c>
      <c r="C113" s="52">
        <v>61943803</v>
      </c>
      <c r="D113" s="52"/>
      <c r="E113" s="53"/>
    </row>
    <row r="114" spans="1:5" ht="12" customHeight="1">
      <c r="A114" s="41" t="s">
        <v>132</v>
      </c>
      <c r="B114" s="514" t="s">
        <v>321</v>
      </c>
      <c r="C114" s="52"/>
      <c r="D114" s="52"/>
      <c r="E114" s="53"/>
    </row>
    <row r="115" spans="1:5" ht="15.75">
      <c r="A115" s="41" t="s">
        <v>134</v>
      </c>
      <c r="B115" s="514" t="s">
        <v>322</v>
      </c>
      <c r="C115" s="54">
        <v>22491224</v>
      </c>
      <c r="D115" s="54"/>
      <c r="E115" s="50"/>
    </row>
    <row r="116" spans="1:5" ht="12" customHeight="1">
      <c r="A116" s="41" t="s">
        <v>136</v>
      </c>
      <c r="B116" s="514" t="s">
        <v>323</v>
      </c>
      <c r="C116" s="54"/>
      <c r="D116" s="54"/>
      <c r="E116" s="50"/>
    </row>
    <row r="117" spans="1:5" ht="12" customHeight="1">
      <c r="A117" s="41" t="s">
        <v>138</v>
      </c>
      <c r="B117" s="496" t="s">
        <v>324</v>
      </c>
      <c r="C117" s="54">
        <v>1731390</v>
      </c>
      <c r="D117" s="54"/>
      <c r="E117" s="50"/>
    </row>
    <row r="118" spans="1:5" ht="15.75">
      <c r="A118" s="41" t="s">
        <v>140</v>
      </c>
      <c r="B118" s="495" t="s">
        <v>325</v>
      </c>
      <c r="C118" s="54"/>
      <c r="D118" s="54"/>
      <c r="E118" s="50"/>
    </row>
    <row r="119" spans="1:5" ht="15.75">
      <c r="A119" s="41" t="s">
        <v>326</v>
      </c>
      <c r="B119" s="516" t="s">
        <v>327</v>
      </c>
      <c r="C119" s="54"/>
      <c r="D119" s="54"/>
      <c r="E119" s="50"/>
    </row>
    <row r="120" spans="1:5" ht="12" customHeight="1">
      <c r="A120" s="41" t="s">
        <v>328</v>
      </c>
      <c r="B120" s="510" t="s">
        <v>300</v>
      </c>
      <c r="C120" s="54"/>
      <c r="D120" s="54"/>
      <c r="E120" s="50"/>
    </row>
    <row r="121" spans="1:5" ht="12" customHeight="1">
      <c r="A121" s="41" t="s">
        <v>329</v>
      </c>
      <c r="B121" s="510" t="s">
        <v>330</v>
      </c>
      <c r="C121" s="54">
        <v>60000</v>
      </c>
      <c r="D121" s="54"/>
      <c r="E121" s="50"/>
    </row>
    <row r="122" spans="1:5" ht="12" customHeight="1">
      <c r="A122" s="41" t="s">
        <v>331</v>
      </c>
      <c r="B122" s="510" t="s">
        <v>332</v>
      </c>
      <c r="C122" s="54"/>
      <c r="D122" s="54"/>
      <c r="E122" s="50"/>
    </row>
    <row r="123" spans="1:5" s="517" customFormat="1" ht="12" customHeight="1">
      <c r="A123" s="41" t="s">
        <v>333</v>
      </c>
      <c r="B123" s="510" t="s">
        <v>306</v>
      </c>
      <c r="C123" s="54">
        <v>400000</v>
      </c>
      <c r="D123" s="54"/>
      <c r="E123" s="50"/>
    </row>
    <row r="124" spans="1:5" ht="12" customHeight="1">
      <c r="A124" s="41" t="s">
        <v>334</v>
      </c>
      <c r="B124" s="510" t="s">
        <v>335</v>
      </c>
      <c r="C124" s="54"/>
      <c r="D124" s="54"/>
      <c r="E124" s="50"/>
    </row>
    <row r="125" spans="1:5" ht="12" customHeight="1">
      <c r="A125" s="105" t="s">
        <v>336</v>
      </c>
      <c r="B125" s="510" t="s">
        <v>337</v>
      </c>
      <c r="C125" s="56">
        <v>1271390</v>
      </c>
      <c r="D125" s="56"/>
      <c r="E125" s="57"/>
    </row>
    <row r="126" spans="1:5" ht="12" customHeight="1">
      <c r="A126" s="36" t="s">
        <v>142</v>
      </c>
      <c r="B126" s="518" t="s">
        <v>679</v>
      </c>
      <c r="C126" s="38">
        <f>+C127+C128</f>
        <v>0</v>
      </c>
      <c r="D126" s="38">
        <f>+D127+D128</f>
        <v>0</v>
      </c>
      <c r="E126" s="39">
        <f>+E127+E128</f>
        <v>0</v>
      </c>
    </row>
    <row r="127" spans="1:5" ht="12" customHeight="1">
      <c r="A127" s="41" t="s">
        <v>144</v>
      </c>
      <c r="B127" s="516" t="s">
        <v>680</v>
      </c>
      <c r="C127" s="52"/>
      <c r="D127" s="52"/>
      <c r="E127" s="53"/>
    </row>
    <row r="128" spans="1:5" ht="12" customHeight="1">
      <c r="A128" s="48" t="s">
        <v>146</v>
      </c>
      <c r="B128" s="514" t="s">
        <v>681</v>
      </c>
      <c r="C128" s="56"/>
      <c r="D128" s="56"/>
      <c r="E128" s="57"/>
    </row>
    <row r="129" spans="1:5" ht="12" customHeight="1">
      <c r="A129" s="36" t="s">
        <v>339</v>
      </c>
      <c r="B129" s="518" t="s">
        <v>682</v>
      </c>
      <c r="C129" s="38">
        <f>+C96+C112+C126</f>
        <v>436725383</v>
      </c>
      <c r="D129" s="38">
        <f>+D96+D112+D126</f>
        <v>0</v>
      </c>
      <c r="E129" s="39">
        <f>+E96+E112+E126</f>
        <v>0</v>
      </c>
    </row>
    <row r="130" spans="1:5" ht="12" customHeight="1">
      <c r="A130" s="36" t="s">
        <v>172</v>
      </c>
      <c r="B130" s="518" t="s">
        <v>683</v>
      </c>
      <c r="C130" s="38">
        <f>+C131+C132+C133</f>
        <v>0</v>
      </c>
      <c r="D130" s="38">
        <f>+D131+D132+D133</f>
        <v>0</v>
      </c>
      <c r="E130" s="39">
        <f>+E131+E132+E133</f>
        <v>0</v>
      </c>
    </row>
    <row r="131" spans="1:5" ht="12" customHeight="1">
      <c r="A131" s="41" t="s">
        <v>174</v>
      </c>
      <c r="B131" s="516" t="s">
        <v>584</v>
      </c>
      <c r="C131" s="54"/>
      <c r="D131" s="54"/>
      <c r="E131" s="50"/>
    </row>
    <row r="132" spans="1:5" ht="12" customHeight="1">
      <c r="A132" s="41" t="s">
        <v>176</v>
      </c>
      <c r="B132" s="516" t="s">
        <v>342</v>
      </c>
      <c r="C132" s="54"/>
      <c r="D132" s="54"/>
      <c r="E132" s="50"/>
    </row>
    <row r="133" spans="1:5" ht="12" customHeight="1">
      <c r="A133" s="105" t="s">
        <v>178</v>
      </c>
      <c r="B133" s="519" t="s">
        <v>585</v>
      </c>
      <c r="C133" s="54"/>
      <c r="D133" s="54"/>
      <c r="E133" s="50"/>
    </row>
    <row r="134" spans="1:5" ht="12" customHeight="1">
      <c r="A134" s="36" t="s">
        <v>196</v>
      </c>
      <c r="B134" s="518" t="s">
        <v>684</v>
      </c>
      <c r="C134" s="38">
        <f>+C135+C136+C137+C138</f>
        <v>0</v>
      </c>
      <c r="D134" s="38">
        <f>+D135+D136+D137+D138</f>
        <v>0</v>
      </c>
      <c r="E134" s="39">
        <f>+E135+E136+E137+E138</f>
        <v>0</v>
      </c>
    </row>
    <row r="135" spans="1:5" ht="12" customHeight="1">
      <c r="A135" s="41" t="s">
        <v>198</v>
      </c>
      <c r="B135" s="516" t="s">
        <v>345</v>
      </c>
      <c r="C135" s="54"/>
      <c r="D135" s="54"/>
      <c r="E135" s="50"/>
    </row>
    <row r="136" spans="1:5" ht="12" customHeight="1">
      <c r="A136" s="41" t="s">
        <v>200</v>
      </c>
      <c r="B136" s="516" t="s">
        <v>685</v>
      </c>
      <c r="C136" s="54"/>
      <c r="D136" s="54"/>
      <c r="E136" s="50"/>
    </row>
    <row r="137" spans="1:5" ht="12" customHeight="1">
      <c r="A137" s="41" t="s">
        <v>202</v>
      </c>
      <c r="B137" s="516" t="s">
        <v>346</v>
      </c>
      <c r="C137" s="54"/>
      <c r="D137" s="54"/>
      <c r="E137" s="50"/>
    </row>
    <row r="138" spans="1:5" ht="12" customHeight="1">
      <c r="A138" s="105" t="s">
        <v>204</v>
      </c>
      <c r="B138" s="519" t="s">
        <v>686</v>
      </c>
      <c r="C138" s="54"/>
      <c r="D138" s="54"/>
      <c r="E138" s="50"/>
    </row>
    <row r="139" spans="1:5" ht="12" customHeight="1">
      <c r="A139" s="36" t="s">
        <v>356</v>
      </c>
      <c r="B139" s="518" t="s">
        <v>687</v>
      </c>
      <c r="C139" s="59">
        <f>+C140+C141+C142+C143</f>
        <v>1304366</v>
      </c>
      <c r="D139" s="59">
        <f>+D140+D141+D142+D143</f>
        <v>0</v>
      </c>
      <c r="E139" s="60">
        <f>+E140+E141+E142+E143</f>
        <v>0</v>
      </c>
    </row>
    <row r="140" spans="1:5" ht="12" customHeight="1">
      <c r="A140" s="41" t="s">
        <v>210</v>
      </c>
      <c r="B140" s="516" t="s">
        <v>352</v>
      </c>
      <c r="C140" s="54"/>
      <c r="D140" s="54"/>
      <c r="E140" s="50"/>
    </row>
    <row r="141" spans="1:5" ht="12" customHeight="1">
      <c r="A141" s="41" t="s">
        <v>212</v>
      </c>
      <c r="B141" s="516" t="s">
        <v>353</v>
      </c>
      <c r="C141" s="54">
        <v>1304366</v>
      </c>
      <c r="D141" s="54"/>
      <c r="E141" s="50"/>
    </row>
    <row r="142" spans="1:5" ht="12" customHeight="1">
      <c r="A142" s="41" t="s">
        <v>214</v>
      </c>
      <c r="B142" s="516" t="s">
        <v>688</v>
      </c>
      <c r="C142" s="54"/>
      <c r="D142" s="54"/>
      <c r="E142" s="50"/>
    </row>
    <row r="143" spans="1:5" ht="12" customHeight="1">
      <c r="A143" s="105" t="s">
        <v>216</v>
      </c>
      <c r="B143" s="519" t="s">
        <v>355</v>
      </c>
      <c r="C143" s="54"/>
      <c r="D143" s="54"/>
      <c r="E143" s="50"/>
    </row>
    <row r="144" spans="1:9" ht="15" customHeight="1">
      <c r="A144" s="36" t="s">
        <v>218</v>
      </c>
      <c r="B144" s="518" t="s">
        <v>689</v>
      </c>
      <c r="C144" s="125">
        <f>+C145+C146+C147+C148</f>
        <v>0</v>
      </c>
      <c r="D144" s="125">
        <f>+D145+D146+D147+D148</f>
        <v>0</v>
      </c>
      <c r="E144" s="127">
        <f>+E145+E146+E147+E148</f>
        <v>0</v>
      </c>
      <c r="F144" s="134"/>
      <c r="G144" s="135"/>
      <c r="H144" s="135"/>
      <c r="I144" s="135"/>
    </row>
    <row r="145" spans="1:5" s="40" customFormat="1" ht="12.75" customHeight="1">
      <c r="A145" s="41" t="s">
        <v>220</v>
      </c>
      <c r="B145" s="516" t="s">
        <v>690</v>
      </c>
      <c r="C145" s="54"/>
      <c r="D145" s="54"/>
      <c r="E145" s="50"/>
    </row>
    <row r="146" spans="1:5" ht="13.5" customHeight="1">
      <c r="A146" s="41" t="s">
        <v>222</v>
      </c>
      <c r="B146" s="516" t="s">
        <v>691</v>
      </c>
      <c r="C146" s="54"/>
      <c r="D146" s="54"/>
      <c r="E146" s="50"/>
    </row>
    <row r="147" spans="1:5" ht="13.5" customHeight="1">
      <c r="A147" s="41" t="s">
        <v>224</v>
      </c>
      <c r="B147" s="516" t="s">
        <v>692</v>
      </c>
      <c r="C147" s="54"/>
      <c r="D147" s="54"/>
      <c r="E147" s="50"/>
    </row>
    <row r="148" spans="1:5" ht="13.5" customHeight="1">
      <c r="A148" s="41" t="s">
        <v>226</v>
      </c>
      <c r="B148" s="516" t="s">
        <v>693</v>
      </c>
      <c r="C148" s="54"/>
      <c r="D148" s="54"/>
      <c r="E148" s="50"/>
    </row>
    <row r="149" spans="1:5" ht="12.75" customHeight="1">
      <c r="A149" s="36" t="s">
        <v>365</v>
      </c>
      <c r="B149" s="518" t="s">
        <v>694</v>
      </c>
      <c r="C149" s="131">
        <f>+C130+C134+C139+C144</f>
        <v>1304366</v>
      </c>
      <c r="D149" s="131">
        <f>+D130+D134+D139+D144</f>
        <v>0</v>
      </c>
      <c r="E149" s="133">
        <f>+E130+E134+E139+E144</f>
        <v>0</v>
      </c>
    </row>
    <row r="150" spans="1:5" ht="13.5" customHeight="1">
      <c r="A150" s="136" t="s">
        <v>367</v>
      </c>
      <c r="B150" s="520" t="s">
        <v>695</v>
      </c>
      <c r="C150" s="131">
        <f>+C129+C149</f>
        <v>438029749</v>
      </c>
      <c r="D150" s="131">
        <f>+D129+D149</f>
        <v>0</v>
      </c>
      <c r="E150" s="133">
        <f>+E129+E149</f>
        <v>0</v>
      </c>
    </row>
    <row r="151" spans="3:4" ht="13.5" customHeight="1">
      <c r="C151" s="521"/>
      <c r="D151" s="521">
        <f>D90-D150</f>
        <v>0</v>
      </c>
    </row>
    <row r="152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13">
    <mergeCell ref="A1:E1"/>
    <mergeCell ref="A2:E2"/>
    <mergeCell ref="A3:E3"/>
    <mergeCell ref="A4:E4"/>
    <mergeCell ref="A6:A7"/>
    <mergeCell ref="B6:B7"/>
    <mergeCell ref="C6:C7"/>
    <mergeCell ref="D6:E6"/>
    <mergeCell ref="A91:E91"/>
    <mergeCell ref="A93:A94"/>
    <mergeCell ref="B93:B94"/>
    <mergeCell ref="C93:C94"/>
    <mergeCell ref="D93:E93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67"/>
  <rowBreaks count="1" manualBreakCount="1">
    <brk id="90" max="255" man="1"/>
  </rowBreaks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50"/>
  </sheetPr>
  <dimension ref="A1:K19"/>
  <sheetViews>
    <sheetView zoomScale="120" zoomScaleNormal="120" zoomScalePageLayoutView="0" workbookViewId="0" topLeftCell="A1">
      <selection activeCell="N14" sqref="N14"/>
    </sheetView>
  </sheetViews>
  <sheetFormatPr defaultColWidth="9.00390625" defaultRowHeight="12.75"/>
  <cols>
    <col min="1" max="1" width="6.875" style="231" customWidth="1"/>
    <col min="2" max="2" width="32.375" style="232" customWidth="1"/>
    <col min="3" max="3" width="17.00390625" style="232" customWidth="1"/>
    <col min="4" max="9" width="12.875" style="232" customWidth="1"/>
    <col min="10" max="10" width="13.875" style="232" customWidth="1"/>
    <col min="11" max="11" width="4.00390625" style="232" customWidth="1"/>
    <col min="12" max="16384" width="9.375" style="232" customWidth="1"/>
  </cols>
  <sheetData>
    <row r="1" spans="1:10" ht="15.75" customHeight="1">
      <c r="A1" s="865" t="s">
        <v>696</v>
      </c>
      <c r="B1" s="865"/>
      <c r="C1" s="865"/>
      <c r="D1" s="865"/>
      <c r="E1" s="865"/>
      <c r="F1" s="865"/>
      <c r="G1" s="865"/>
      <c r="H1" s="865"/>
      <c r="I1" s="865"/>
      <c r="J1" s="865"/>
    </row>
    <row r="2" spans="1:11" ht="13.5">
      <c r="A2" s="153"/>
      <c r="B2" s="152"/>
      <c r="C2" s="152"/>
      <c r="D2" s="152"/>
      <c r="E2" s="152"/>
      <c r="F2" s="152"/>
      <c r="G2" s="152"/>
      <c r="H2" s="152"/>
      <c r="I2" s="152"/>
      <c r="J2" s="154" t="str">
        <f>'Z_1.tájékoztató_t.'!E5</f>
        <v>E</v>
      </c>
      <c r="K2" s="819" t="str">
        <f>CONCATENATE("2. tájékoztató tábla ",Z_ALAPADATOK!A7," ",Z_ALAPADATOK!B7," ",Z_ALAPADATOK!C7," ",Z_ALAPADATOK!D7," ",Z_ALAPADATOK!E7," ",Z_ALAPADATOK!F7," ",Z_ALAPADATOK!G7," ",Z_ALAPADATOK!H7)</f>
        <v>2. tájékoztató tábla a … / 2019. ( … ) önkormányzati rendelethez</v>
      </c>
    </row>
    <row r="3" spans="1:11" s="522" customFormat="1" ht="26.25" customHeight="1">
      <c r="A3" s="866" t="s">
        <v>105</v>
      </c>
      <c r="B3" s="867" t="s">
        <v>697</v>
      </c>
      <c r="C3" s="867" t="s">
        <v>698</v>
      </c>
      <c r="D3" s="867" t="s">
        <v>699</v>
      </c>
      <c r="E3" s="867" t="s">
        <v>700</v>
      </c>
      <c r="F3" s="868" t="s">
        <v>701</v>
      </c>
      <c r="G3" s="868"/>
      <c r="H3" s="868"/>
      <c r="I3" s="868"/>
      <c r="J3" s="869" t="s">
        <v>702</v>
      </c>
      <c r="K3" s="819"/>
    </row>
    <row r="4" spans="1:11" s="526" customFormat="1" ht="32.25" customHeight="1">
      <c r="A4" s="866"/>
      <c r="B4" s="867"/>
      <c r="C4" s="867"/>
      <c r="D4" s="867"/>
      <c r="E4" s="867"/>
      <c r="F4" s="523" t="s">
        <v>55</v>
      </c>
      <c r="G4" s="524" t="s">
        <v>703</v>
      </c>
      <c r="H4" s="524" t="s">
        <v>704</v>
      </c>
      <c r="I4" s="525" t="s">
        <v>705</v>
      </c>
      <c r="J4" s="869"/>
      <c r="K4" s="819"/>
    </row>
    <row r="5" spans="1:11" s="531" customFormat="1" ht="13.5" customHeight="1">
      <c r="A5" s="527" t="s">
        <v>109</v>
      </c>
      <c r="B5" s="528" t="s">
        <v>706</v>
      </c>
      <c r="C5" s="529" t="s">
        <v>111</v>
      </c>
      <c r="D5" s="529" t="s">
        <v>112</v>
      </c>
      <c r="E5" s="529" t="s">
        <v>113</v>
      </c>
      <c r="F5" s="529" t="s">
        <v>436</v>
      </c>
      <c r="G5" s="529" t="s">
        <v>384</v>
      </c>
      <c r="H5" s="529" t="s">
        <v>385</v>
      </c>
      <c r="I5" s="529" t="s">
        <v>386</v>
      </c>
      <c r="J5" s="530" t="s">
        <v>707</v>
      </c>
      <c r="K5" s="819"/>
    </row>
    <row r="6" spans="1:11" ht="33.75" customHeight="1">
      <c r="A6" s="532" t="s">
        <v>114</v>
      </c>
      <c r="B6" s="533" t="s">
        <v>708</v>
      </c>
      <c r="C6" s="534"/>
      <c r="D6" s="535">
        <f aca="true" t="shared" si="0" ref="D6:I6">SUM(D7:D8)</f>
        <v>0</v>
      </c>
      <c r="E6" s="535">
        <f t="shared" si="0"/>
        <v>0</v>
      </c>
      <c r="F6" s="535">
        <f t="shared" si="0"/>
        <v>0</v>
      </c>
      <c r="G6" s="535">
        <f t="shared" si="0"/>
        <v>0</v>
      </c>
      <c r="H6" s="535">
        <f t="shared" si="0"/>
        <v>0</v>
      </c>
      <c r="I6" s="536">
        <f t="shared" si="0"/>
        <v>0</v>
      </c>
      <c r="J6" s="537">
        <f aca="true" t="shared" si="1" ref="J6:J18">SUM(F6:I6)</f>
        <v>0</v>
      </c>
      <c r="K6" s="819"/>
    </row>
    <row r="7" spans="1:11" ht="21" customHeight="1">
      <c r="A7" s="538" t="s">
        <v>128</v>
      </c>
      <c r="B7" s="539" t="s">
        <v>709</v>
      </c>
      <c r="C7" s="540"/>
      <c r="D7" s="242"/>
      <c r="E7" s="242"/>
      <c r="F7" s="242"/>
      <c r="G7" s="242"/>
      <c r="H7" s="242"/>
      <c r="I7" s="541"/>
      <c r="J7" s="542">
        <f t="shared" si="1"/>
        <v>0</v>
      </c>
      <c r="K7" s="819"/>
    </row>
    <row r="8" spans="1:11" ht="21" customHeight="1">
      <c r="A8" s="538" t="s">
        <v>142</v>
      </c>
      <c r="B8" s="539" t="s">
        <v>709</v>
      </c>
      <c r="C8" s="540"/>
      <c r="D8" s="242"/>
      <c r="E8" s="242"/>
      <c r="F8" s="242"/>
      <c r="G8" s="242"/>
      <c r="H8" s="242"/>
      <c r="I8" s="541"/>
      <c r="J8" s="542">
        <f t="shared" si="1"/>
        <v>0</v>
      </c>
      <c r="K8" s="819"/>
    </row>
    <row r="9" spans="1:11" ht="33" customHeight="1">
      <c r="A9" s="538" t="s">
        <v>339</v>
      </c>
      <c r="B9" s="543" t="s">
        <v>710</v>
      </c>
      <c r="C9" s="544"/>
      <c r="D9" s="545">
        <f aca="true" t="shared" si="2" ref="D9:I9">SUM(D10:D11)</f>
        <v>0</v>
      </c>
      <c r="E9" s="545">
        <f t="shared" si="2"/>
        <v>0</v>
      </c>
      <c r="F9" s="545">
        <f t="shared" si="2"/>
        <v>0</v>
      </c>
      <c r="G9" s="545">
        <f t="shared" si="2"/>
        <v>0</v>
      </c>
      <c r="H9" s="545">
        <f t="shared" si="2"/>
        <v>0</v>
      </c>
      <c r="I9" s="546">
        <f t="shared" si="2"/>
        <v>0</v>
      </c>
      <c r="J9" s="547">
        <f t="shared" si="1"/>
        <v>0</v>
      </c>
      <c r="K9" s="819"/>
    </row>
    <row r="10" spans="1:11" ht="21" customHeight="1">
      <c r="A10" s="538" t="s">
        <v>172</v>
      </c>
      <c r="B10" s="539" t="s">
        <v>709</v>
      </c>
      <c r="C10" s="540"/>
      <c r="D10" s="242"/>
      <c r="E10" s="242"/>
      <c r="F10" s="242"/>
      <c r="G10" s="242"/>
      <c r="H10" s="242"/>
      <c r="I10" s="541"/>
      <c r="J10" s="542">
        <f t="shared" si="1"/>
        <v>0</v>
      </c>
      <c r="K10" s="819"/>
    </row>
    <row r="11" spans="1:11" ht="18" customHeight="1">
      <c r="A11" s="538" t="s">
        <v>196</v>
      </c>
      <c r="B11" s="539" t="s">
        <v>709</v>
      </c>
      <c r="C11" s="540"/>
      <c r="D11" s="242"/>
      <c r="E11" s="242"/>
      <c r="F11" s="242"/>
      <c r="G11" s="242"/>
      <c r="H11" s="242"/>
      <c r="I11" s="541"/>
      <c r="J11" s="542">
        <f t="shared" si="1"/>
        <v>0</v>
      </c>
      <c r="K11" s="819"/>
    </row>
    <row r="12" spans="1:11" ht="21" customHeight="1">
      <c r="A12" s="538" t="s">
        <v>356</v>
      </c>
      <c r="B12" s="548" t="s">
        <v>711</v>
      </c>
      <c r="C12" s="544"/>
      <c r="D12" s="545">
        <f aca="true" t="shared" si="3" ref="D12:I12">SUM(D13:D13)</f>
        <v>0</v>
      </c>
      <c r="E12" s="545">
        <f t="shared" si="3"/>
        <v>0</v>
      </c>
      <c r="F12" s="545">
        <f t="shared" si="3"/>
        <v>0</v>
      </c>
      <c r="G12" s="545">
        <f t="shared" si="3"/>
        <v>0</v>
      </c>
      <c r="H12" s="545">
        <f t="shared" si="3"/>
        <v>0</v>
      </c>
      <c r="I12" s="546">
        <f t="shared" si="3"/>
        <v>0</v>
      </c>
      <c r="J12" s="547">
        <f t="shared" si="1"/>
        <v>0</v>
      </c>
      <c r="K12" s="819"/>
    </row>
    <row r="13" spans="1:11" ht="21" customHeight="1">
      <c r="A13" s="538" t="s">
        <v>218</v>
      </c>
      <c r="B13" s="539" t="s">
        <v>709</v>
      </c>
      <c r="C13" s="540"/>
      <c r="D13" s="242"/>
      <c r="E13" s="242"/>
      <c r="F13" s="242"/>
      <c r="G13" s="242"/>
      <c r="H13" s="242"/>
      <c r="I13" s="541"/>
      <c r="J13" s="542">
        <f t="shared" si="1"/>
        <v>0</v>
      </c>
      <c r="K13" s="819"/>
    </row>
    <row r="14" spans="1:11" ht="21" customHeight="1">
      <c r="A14" s="538" t="s">
        <v>365</v>
      </c>
      <c r="B14" s="548" t="s">
        <v>712</v>
      </c>
      <c r="C14" s="544"/>
      <c r="D14" s="545">
        <f aca="true" t="shared" si="4" ref="D14:I14">SUM(D15:D15)</f>
        <v>0</v>
      </c>
      <c r="E14" s="545">
        <f t="shared" si="4"/>
        <v>0</v>
      </c>
      <c r="F14" s="545">
        <f t="shared" si="4"/>
        <v>0</v>
      </c>
      <c r="G14" s="545">
        <f t="shared" si="4"/>
        <v>0</v>
      </c>
      <c r="H14" s="545">
        <f t="shared" si="4"/>
        <v>0</v>
      </c>
      <c r="I14" s="546">
        <f t="shared" si="4"/>
        <v>0</v>
      </c>
      <c r="J14" s="547">
        <f t="shared" si="1"/>
        <v>0</v>
      </c>
      <c r="K14" s="819"/>
    </row>
    <row r="15" spans="1:11" ht="21" customHeight="1">
      <c r="A15" s="538" t="s">
        <v>367</v>
      </c>
      <c r="B15" s="539" t="s">
        <v>709</v>
      </c>
      <c r="C15" s="540"/>
      <c r="D15" s="242"/>
      <c r="E15" s="242"/>
      <c r="F15" s="242"/>
      <c r="G15" s="242"/>
      <c r="H15" s="242"/>
      <c r="I15" s="541"/>
      <c r="J15" s="542">
        <f t="shared" si="1"/>
        <v>0</v>
      </c>
      <c r="K15" s="819"/>
    </row>
    <row r="16" spans="1:11" ht="21" customHeight="1">
      <c r="A16" s="549" t="s">
        <v>369</v>
      </c>
      <c r="B16" s="550" t="s">
        <v>713</v>
      </c>
      <c r="C16" s="551"/>
      <c r="D16" s="552">
        <f aca="true" t="shared" si="5" ref="D16:I16">SUM(D17:D18)</f>
        <v>0</v>
      </c>
      <c r="E16" s="552">
        <f t="shared" si="5"/>
        <v>0</v>
      </c>
      <c r="F16" s="552">
        <f t="shared" si="5"/>
        <v>0</v>
      </c>
      <c r="G16" s="552">
        <f t="shared" si="5"/>
        <v>0</v>
      </c>
      <c r="H16" s="552">
        <f t="shared" si="5"/>
        <v>0</v>
      </c>
      <c r="I16" s="553">
        <f t="shared" si="5"/>
        <v>0</v>
      </c>
      <c r="J16" s="547">
        <f t="shared" si="1"/>
        <v>0</v>
      </c>
      <c r="K16" s="819"/>
    </row>
    <row r="17" spans="1:11" ht="21" customHeight="1">
      <c r="A17" s="549" t="s">
        <v>396</v>
      </c>
      <c r="B17" s="539" t="s">
        <v>709</v>
      </c>
      <c r="C17" s="540"/>
      <c r="D17" s="242"/>
      <c r="E17" s="242"/>
      <c r="F17" s="242"/>
      <c r="G17" s="242"/>
      <c r="H17" s="242"/>
      <c r="I17" s="541"/>
      <c r="J17" s="542">
        <f t="shared" si="1"/>
        <v>0</v>
      </c>
      <c r="K17" s="819"/>
    </row>
    <row r="18" spans="1:11" ht="21" customHeight="1">
      <c r="A18" s="549" t="s">
        <v>397</v>
      </c>
      <c r="B18" s="539" t="s">
        <v>709</v>
      </c>
      <c r="C18" s="554"/>
      <c r="D18" s="555"/>
      <c r="E18" s="555"/>
      <c r="F18" s="555"/>
      <c r="G18" s="555"/>
      <c r="H18" s="555"/>
      <c r="I18" s="556"/>
      <c r="J18" s="542">
        <f t="shared" si="1"/>
        <v>0</v>
      </c>
      <c r="K18" s="819"/>
    </row>
    <row r="19" spans="1:11" ht="21" customHeight="1">
      <c r="A19" s="557" t="s">
        <v>400</v>
      </c>
      <c r="B19" s="558" t="s">
        <v>714</v>
      </c>
      <c r="C19" s="559"/>
      <c r="D19" s="560">
        <f aca="true" t="shared" si="6" ref="D19:J19">D6+D9+D12+D14+D16</f>
        <v>0</v>
      </c>
      <c r="E19" s="560">
        <f t="shared" si="6"/>
        <v>0</v>
      </c>
      <c r="F19" s="560">
        <f t="shared" si="6"/>
        <v>0</v>
      </c>
      <c r="G19" s="560">
        <f t="shared" si="6"/>
        <v>0</v>
      </c>
      <c r="H19" s="560">
        <f t="shared" si="6"/>
        <v>0</v>
      </c>
      <c r="I19" s="561">
        <f t="shared" si="6"/>
        <v>0</v>
      </c>
      <c r="J19" s="562">
        <f t="shared" si="6"/>
        <v>0</v>
      </c>
      <c r="K19" s="819"/>
    </row>
  </sheetData>
  <sheetProtection selectLockedCells="1" selectUnlockedCells="1"/>
  <mergeCells count="9">
    <mergeCell ref="A1:J1"/>
    <mergeCell ref="K2:K19"/>
    <mergeCell ref="A3:A4"/>
    <mergeCell ref="B3:B4"/>
    <mergeCell ref="C3:C4"/>
    <mergeCell ref="D3:D4"/>
    <mergeCell ref="E3:E4"/>
    <mergeCell ref="F3:I3"/>
    <mergeCell ref="J3:J4"/>
  </mergeCells>
  <printOptions horizontalCentered="1"/>
  <pageMargins left="0.7875" right="0.7875" top="1.3902777777777777" bottom="0.9840277777777777" header="0.5118055555555555" footer="0.5118055555555555"/>
  <pageSetup horizontalDpi="300" verticalDpi="300" orientation="landscape" paperSize="9" scale="95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50"/>
  </sheetPr>
  <dimension ref="A1:I21"/>
  <sheetViews>
    <sheetView zoomScale="120" zoomScaleNormal="120" zoomScalePageLayoutView="0" workbookViewId="0" topLeftCell="A1">
      <selection activeCell="L11" sqref="L11"/>
    </sheetView>
  </sheetViews>
  <sheetFormatPr defaultColWidth="9.00390625" defaultRowHeight="12.75"/>
  <cols>
    <col min="1" max="1" width="6.875" style="231" customWidth="1"/>
    <col min="2" max="2" width="50.375" style="232" customWidth="1"/>
    <col min="3" max="4" width="12.875" style="232" customWidth="1"/>
    <col min="5" max="5" width="14.875" style="232" customWidth="1"/>
    <col min="6" max="6" width="13.875" style="232" customWidth="1"/>
    <col min="7" max="7" width="15.50390625" style="232" customWidth="1"/>
    <col min="8" max="8" width="16.875" style="232" customWidth="1"/>
    <col min="9" max="9" width="5.625" style="232" customWidth="1"/>
    <col min="10" max="16384" width="9.375" style="232" customWidth="1"/>
  </cols>
  <sheetData>
    <row r="1" spans="1:8" ht="17.25" customHeight="1">
      <c r="A1" s="865" t="s">
        <v>715</v>
      </c>
      <c r="B1" s="865"/>
      <c r="C1" s="865"/>
      <c r="D1" s="865"/>
      <c r="E1" s="865"/>
      <c r="F1" s="865"/>
      <c r="G1" s="865"/>
      <c r="H1" s="865"/>
    </row>
    <row r="2" spans="1:8" ht="12.75">
      <c r="A2" s="153"/>
      <c r="B2" s="152"/>
      <c r="C2" s="152"/>
      <c r="D2" s="152"/>
      <c r="E2" s="152"/>
      <c r="F2" s="152"/>
      <c r="G2" s="152"/>
      <c r="H2" s="152"/>
    </row>
    <row r="3" spans="1:9" s="564" customFormat="1" ht="15">
      <c r="A3" s="563"/>
      <c r="B3" s="271"/>
      <c r="C3" s="271"/>
      <c r="D3" s="271"/>
      <c r="E3" s="271"/>
      <c r="F3" s="271"/>
      <c r="G3" s="271"/>
      <c r="H3" s="154" t="str">
        <f>'Z_2.tájékoztató_t.'!J2</f>
        <v>E</v>
      </c>
      <c r="I3" s="870" t="str">
        <f>CONCATENATE("3. tájékoztató tábla ",Z_ALAPADATOK!A7," ",Z_ALAPADATOK!B7," ",Z_ALAPADATOK!C7," ",Z_ALAPADATOK!D7," ",Z_ALAPADATOK!E7," ",Z_ALAPADATOK!F7," ",Z_ALAPADATOK!G7," ",Z_ALAPADATOK!H7)</f>
        <v>3. tájékoztató tábla a … / 2019. ( … ) önkormányzati rendelethez</v>
      </c>
    </row>
    <row r="4" spans="1:9" s="522" customFormat="1" ht="26.25" customHeight="1">
      <c r="A4" s="822" t="s">
        <v>105</v>
      </c>
      <c r="B4" s="871" t="s">
        <v>716</v>
      </c>
      <c r="C4" s="822" t="s">
        <v>717</v>
      </c>
      <c r="D4" s="822" t="s">
        <v>718</v>
      </c>
      <c r="E4" s="872" t="s">
        <v>719</v>
      </c>
      <c r="F4" s="873" t="s">
        <v>720</v>
      </c>
      <c r="G4" s="873"/>
      <c r="H4" s="874" t="s">
        <v>721</v>
      </c>
      <c r="I4" s="870"/>
    </row>
    <row r="5" spans="1:9" s="526" customFormat="1" ht="40.5" customHeight="1">
      <c r="A5" s="822"/>
      <c r="B5" s="871"/>
      <c r="C5" s="871"/>
      <c r="D5" s="822"/>
      <c r="E5" s="872"/>
      <c r="F5" s="566" t="s">
        <v>55</v>
      </c>
      <c r="G5" s="567" t="s">
        <v>703</v>
      </c>
      <c r="H5" s="874"/>
      <c r="I5" s="870"/>
    </row>
    <row r="6" spans="1:9" s="570" customFormat="1" ht="12.75" customHeight="1">
      <c r="A6" s="565" t="s">
        <v>109</v>
      </c>
      <c r="B6" s="156" t="s">
        <v>110</v>
      </c>
      <c r="C6" s="156" t="s">
        <v>111</v>
      </c>
      <c r="D6" s="568" t="s">
        <v>112</v>
      </c>
      <c r="E6" s="565" t="s">
        <v>113</v>
      </c>
      <c r="F6" s="568" t="s">
        <v>436</v>
      </c>
      <c r="G6" s="568" t="s">
        <v>384</v>
      </c>
      <c r="H6" s="569" t="s">
        <v>385</v>
      </c>
      <c r="I6" s="870"/>
    </row>
    <row r="7" spans="1:9" ht="22.5" customHeight="1">
      <c r="A7" s="571" t="s">
        <v>114</v>
      </c>
      <c r="B7" s="572" t="s">
        <v>722</v>
      </c>
      <c r="C7" s="573"/>
      <c r="D7" s="574"/>
      <c r="E7" s="575">
        <f>SUM(E8:E13)</f>
        <v>0</v>
      </c>
      <c r="F7" s="576">
        <f>SUM(F8:F13)</f>
        <v>0</v>
      </c>
      <c r="G7" s="576">
        <f>SUM(G8:G13)</f>
        <v>0</v>
      </c>
      <c r="H7" s="577">
        <f>SUM(H8:H13)</f>
        <v>0</v>
      </c>
      <c r="I7" s="870"/>
    </row>
    <row r="8" spans="1:9" ht="22.5" customHeight="1">
      <c r="A8" s="578" t="s">
        <v>128</v>
      </c>
      <c r="B8" s="579" t="s">
        <v>709</v>
      </c>
      <c r="C8" s="580"/>
      <c r="D8" s="581"/>
      <c r="E8" s="582"/>
      <c r="F8" s="242"/>
      <c r="G8" s="242"/>
      <c r="H8" s="468"/>
      <c r="I8" s="870"/>
    </row>
    <row r="9" spans="1:9" ht="22.5" customHeight="1">
      <c r="A9" s="578" t="s">
        <v>142</v>
      </c>
      <c r="B9" s="579" t="s">
        <v>709</v>
      </c>
      <c r="C9" s="580"/>
      <c r="D9" s="581"/>
      <c r="E9" s="582"/>
      <c r="F9" s="242"/>
      <c r="G9" s="242"/>
      <c r="H9" s="468"/>
      <c r="I9" s="870"/>
    </row>
    <row r="10" spans="1:9" ht="22.5" customHeight="1">
      <c r="A10" s="578" t="s">
        <v>339</v>
      </c>
      <c r="B10" s="579" t="s">
        <v>709</v>
      </c>
      <c r="C10" s="580"/>
      <c r="D10" s="581"/>
      <c r="E10" s="582"/>
      <c r="F10" s="242"/>
      <c r="G10" s="242"/>
      <c r="H10" s="468"/>
      <c r="I10" s="870"/>
    </row>
    <row r="11" spans="1:9" ht="22.5" customHeight="1">
      <c r="A11" s="578" t="s">
        <v>172</v>
      </c>
      <c r="B11" s="579" t="s">
        <v>709</v>
      </c>
      <c r="C11" s="580"/>
      <c r="D11" s="581"/>
      <c r="E11" s="582"/>
      <c r="F11" s="242"/>
      <c r="G11" s="242"/>
      <c r="H11" s="468"/>
      <c r="I11" s="870"/>
    </row>
    <row r="12" spans="1:9" ht="22.5" customHeight="1">
      <c r="A12" s="578" t="s">
        <v>196</v>
      </c>
      <c r="B12" s="579" t="s">
        <v>709</v>
      </c>
      <c r="C12" s="580"/>
      <c r="D12" s="581"/>
      <c r="E12" s="582"/>
      <c r="F12" s="242"/>
      <c r="G12" s="242"/>
      <c r="H12" s="468"/>
      <c r="I12" s="870"/>
    </row>
    <row r="13" spans="1:9" ht="22.5" customHeight="1">
      <c r="A13" s="578" t="s">
        <v>356</v>
      </c>
      <c r="B13" s="579" t="s">
        <v>709</v>
      </c>
      <c r="C13" s="580"/>
      <c r="D13" s="581"/>
      <c r="E13" s="582"/>
      <c r="F13" s="242"/>
      <c r="G13" s="242"/>
      <c r="H13" s="468"/>
      <c r="I13" s="870"/>
    </row>
    <row r="14" spans="1:9" ht="22.5" customHeight="1">
      <c r="A14" s="571" t="s">
        <v>218</v>
      </c>
      <c r="B14" s="572" t="s">
        <v>723</v>
      </c>
      <c r="C14" s="583"/>
      <c r="D14" s="584"/>
      <c r="E14" s="575">
        <f>SUM(E15:E20)</f>
        <v>0</v>
      </c>
      <c r="F14" s="576">
        <f>SUM(F15:F20)</f>
        <v>0</v>
      </c>
      <c r="G14" s="576">
        <f>SUM(G15:G20)</f>
        <v>0</v>
      </c>
      <c r="H14" s="577">
        <f>SUM(H15:H20)</f>
        <v>0</v>
      </c>
      <c r="I14" s="870"/>
    </row>
    <row r="15" spans="1:9" ht="22.5" customHeight="1">
      <c r="A15" s="578" t="s">
        <v>365</v>
      </c>
      <c r="B15" s="579" t="s">
        <v>709</v>
      </c>
      <c r="C15" s="580"/>
      <c r="D15" s="581"/>
      <c r="E15" s="582"/>
      <c r="F15" s="242"/>
      <c r="G15" s="242"/>
      <c r="H15" s="468"/>
      <c r="I15" s="870"/>
    </row>
    <row r="16" spans="1:9" ht="22.5" customHeight="1">
      <c r="A16" s="578" t="s">
        <v>367</v>
      </c>
      <c r="B16" s="579" t="s">
        <v>709</v>
      </c>
      <c r="C16" s="580"/>
      <c r="D16" s="581"/>
      <c r="E16" s="582"/>
      <c r="F16" s="242"/>
      <c r="G16" s="242"/>
      <c r="H16" s="468"/>
      <c r="I16" s="870"/>
    </row>
    <row r="17" spans="1:9" ht="22.5" customHeight="1">
      <c r="A17" s="578" t="s">
        <v>369</v>
      </c>
      <c r="B17" s="579" t="s">
        <v>709</v>
      </c>
      <c r="C17" s="580"/>
      <c r="D17" s="581"/>
      <c r="E17" s="582"/>
      <c r="F17" s="242"/>
      <c r="G17" s="242"/>
      <c r="H17" s="468"/>
      <c r="I17" s="870"/>
    </row>
    <row r="18" spans="1:9" ht="22.5" customHeight="1">
      <c r="A18" s="578" t="s">
        <v>396</v>
      </c>
      <c r="B18" s="579" t="s">
        <v>709</v>
      </c>
      <c r="C18" s="580"/>
      <c r="D18" s="581"/>
      <c r="E18" s="582"/>
      <c r="F18" s="242"/>
      <c r="G18" s="242"/>
      <c r="H18" s="468"/>
      <c r="I18" s="870"/>
    </row>
    <row r="19" spans="1:9" ht="22.5" customHeight="1">
      <c r="A19" s="578" t="s">
        <v>397</v>
      </c>
      <c r="B19" s="579" t="s">
        <v>709</v>
      </c>
      <c r="C19" s="580"/>
      <c r="D19" s="581"/>
      <c r="E19" s="582"/>
      <c r="F19" s="242"/>
      <c r="G19" s="242"/>
      <c r="H19" s="468"/>
      <c r="I19" s="870"/>
    </row>
    <row r="20" spans="1:9" ht="22.5" customHeight="1">
      <c r="A20" s="578" t="s">
        <v>400</v>
      </c>
      <c r="B20" s="579" t="s">
        <v>709</v>
      </c>
      <c r="C20" s="580"/>
      <c r="D20" s="581"/>
      <c r="E20" s="582"/>
      <c r="F20" s="242"/>
      <c r="G20" s="242"/>
      <c r="H20" s="468"/>
      <c r="I20" s="870"/>
    </row>
    <row r="21" spans="1:9" ht="22.5" customHeight="1">
      <c r="A21" s="571" t="s">
        <v>403</v>
      </c>
      <c r="B21" s="572" t="s">
        <v>724</v>
      </c>
      <c r="C21" s="573"/>
      <c r="D21" s="574"/>
      <c r="E21" s="575">
        <f>E7+E14</f>
        <v>0</v>
      </c>
      <c r="F21" s="576">
        <f>F7+F14</f>
        <v>0</v>
      </c>
      <c r="G21" s="576">
        <f>G7+G14</f>
        <v>0</v>
      </c>
      <c r="H21" s="577">
        <f>H7+H14</f>
        <v>0</v>
      </c>
      <c r="I21" s="870"/>
    </row>
    <row r="22" ht="19.5" customHeight="1"/>
  </sheetData>
  <sheetProtection selectLockedCells="1" selectUnlockedCells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landscape" paperSize="9" scale="95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zoomScale="120" zoomScaleNormal="120" zoomScalePageLayoutView="0" workbookViewId="0" topLeftCell="A1">
      <selection activeCell="M13" sqref="M13"/>
    </sheetView>
  </sheetViews>
  <sheetFormatPr defaultColWidth="9.00390625" defaultRowHeight="12.75"/>
  <cols>
    <col min="1" max="1" width="5.50390625" style="270" customWidth="1"/>
    <col min="2" max="2" width="36.875" style="270" customWidth="1"/>
    <col min="3" max="8" width="13.875" style="270" customWidth="1"/>
    <col min="9" max="9" width="15.125" style="270" customWidth="1"/>
    <col min="10" max="10" width="5.00390625" style="270" customWidth="1"/>
    <col min="11" max="16384" width="9.375" style="270" customWidth="1"/>
  </cols>
  <sheetData>
    <row r="1" spans="1:10" ht="34.5" customHeight="1">
      <c r="A1" s="880" t="s">
        <v>725</v>
      </c>
      <c r="B1" s="880"/>
      <c r="C1" s="880"/>
      <c r="D1" s="880"/>
      <c r="E1" s="880"/>
      <c r="F1" s="880"/>
      <c r="G1" s="880"/>
      <c r="H1" s="880"/>
      <c r="I1" s="880"/>
      <c r="J1" s="870" t="str">
        <f>CONCATENATE("4. tájékoztató tábla ",Z_ALAPADATOK!A7," ",Z_ALAPADATOK!B7," ",Z_ALAPADATOK!C7," ",Z_ALAPADATOK!D7," ",Z_ALAPADATOK!E7," ",Z_ALAPADATOK!F7," ",Z_ALAPADATOK!G7," ",Z_ALAPADATOK!H7)</f>
        <v>4. tájékoztató tábla a … / 2019. ( … ) önkormányzati rendelethez</v>
      </c>
    </row>
    <row r="2" spans="1:10" ht="13.5">
      <c r="A2" s="585"/>
      <c r="B2" s="585"/>
      <c r="C2" s="585"/>
      <c r="D2" s="585"/>
      <c r="E2" s="585"/>
      <c r="F2" s="585"/>
      <c r="G2" s="585"/>
      <c r="H2" s="881" t="str">
        <f>'Z_3.tájékoztató_t.'!H3</f>
        <v>E</v>
      </c>
      <c r="I2" s="881"/>
      <c r="J2" s="870"/>
    </row>
    <row r="3" spans="1:10" ht="13.5" customHeight="1">
      <c r="A3" s="882" t="s">
        <v>640</v>
      </c>
      <c r="B3" s="883" t="s">
        <v>726</v>
      </c>
      <c r="C3" s="884" t="s">
        <v>727</v>
      </c>
      <c r="D3" s="885" t="s">
        <v>728</v>
      </c>
      <c r="E3" s="885"/>
      <c r="F3" s="885"/>
      <c r="G3" s="885"/>
      <c r="H3" s="885"/>
      <c r="I3" s="875" t="s">
        <v>729</v>
      </c>
      <c r="J3" s="870"/>
    </row>
    <row r="4" spans="1:10" s="588" customFormat="1" ht="42" customHeight="1">
      <c r="A4" s="882"/>
      <c r="B4" s="883"/>
      <c r="C4" s="884"/>
      <c r="D4" s="348" t="s">
        <v>730</v>
      </c>
      <c r="E4" s="348" t="s">
        <v>731</v>
      </c>
      <c r="F4" s="348" t="s">
        <v>732</v>
      </c>
      <c r="G4" s="587" t="s">
        <v>733</v>
      </c>
      <c r="H4" s="587" t="s">
        <v>734</v>
      </c>
      <c r="I4" s="875"/>
      <c r="J4" s="870"/>
    </row>
    <row r="5" spans="1:10" s="588" customFormat="1" ht="12" customHeight="1">
      <c r="A5" s="406" t="s">
        <v>109</v>
      </c>
      <c r="B5" s="407" t="s">
        <v>110</v>
      </c>
      <c r="C5" s="407" t="s">
        <v>111</v>
      </c>
      <c r="D5" s="407" t="s">
        <v>112</v>
      </c>
      <c r="E5" s="407" t="s">
        <v>113</v>
      </c>
      <c r="F5" s="407" t="s">
        <v>436</v>
      </c>
      <c r="G5" s="407" t="s">
        <v>384</v>
      </c>
      <c r="H5" s="407" t="s">
        <v>735</v>
      </c>
      <c r="I5" s="409" t="s">
        <v>736</v>
      </c>
      <c r="J5" s="870"/>
    </row>
    <row r="6" spans="1:10" s="588" customFormat="1" ht="18" customHeight="1">
      <c r="A6" s="876" t="s">
        <v>737</v>
      </c>
      <c r="B6" s="876"/>
      <c r="C6" s="876"/>
      <c r="D6" s="876"/>
      <c r="E6" s="876"/>
      <c r="F6" s="876"/>
      <c r="G6" s="876"/>
      <c r="H6" s="876"/>
      <c r="I6" s="876"/>
      <c r="J6" s="870"/>
    </row>
    <row r="7" spans="1:10" ht="15.75" customHeight="1">
      <c r="A7" s="589" t="s">
        <v>114</v>
      </c>
      <c r="B7" s="590" t="s">
        <v>738</v>
      </c>
      <c r="C7" s="591"/>
      <c r="D7" s="591"/>
      <c r="E7" s="591"/>
      <c r="F7" s="591"/>
      <c r="G7" s="592"/>
      <c r="H7" s="593">
        <f aca="true" t="shared" si="0" ref="H7:H13">SUM(D7:G7)</f>
        <v>0</v>
      </c>
      <c r="I7" s="594">
        <f aca="true" t="shared" si="1" ref="I7:I13">C7+H7</f>
        <v>0</v>
      </c>
      <c r="J7" s="870"/>
    </row>
    <row r="8" spans="1:10" ht="22.5">
      <c r="A8" s="589" t="s">
        <v>128</v>
      </c>
      <c r="B8" s="590" t="s">
        <v>739</v>
      </c>
      <c r="C8" s="591"/>
      <c r="D8" s="591"/>
      <c r="E8" s="591"/>
      <c r="F8" s="591"/>
      <c r="G8" s="592"/>
      <c r="H8" s="593">
        <f t="shared" si="0"/>
        <v>0</v>
      </c>
      <c r="I8" s="594">
        <f t="shared" si="1"/>
        <v>0</v>
      </c>
      <c r="J8" s="870"/>
    </row>
    <row r="9" spans="1:10" ht="22.5">
      <c r="A9" s="589" t="s">
        <v>142</v>
      </c>
      <c r="B9" s="590" t="s">
        <v>740</v>
      </c>
      <c r="C9" s="591"/>
      <c r="D9" s="591"/>
      <c r="E9" s="591"/>
      <c r="F9" s="591"/>
      <c r="G9" s="592"/>
      <c r="H9" s="593">
        <f t="shared" si="0"/>
        <v>0</v>
      </c>
      <c r="I9" s="594">
        <f t="shared" si="1"/>
        <v>0</v>
      </c>
      <c r="J9" s="870"/>
    </row>
    <row r="10" spans="1:10" ht="15.75" customHeight="1">
      <c r="A10" s="589" t="s">
        <v>339</v>
      </c>
      <c r="B10" s="590" t="s">
        <v>741</v>
      </c>
      <c r="C10" s="591"/>
      <c r="D10" s="591"/>
      <c r="E10" s="591"/>
      <c r="F10" s="591"/>
      <c r="G10" s="592"/>
      <c r="H10" s="593">
        <f t="shared" si="0"/>
        <v>0</v>
      </c>
      <c r="I10" s="594">
        <f t="shared" si="1"/>
        <v>0</v>
      </c>
      <c r="J10" s="870"/>
    </row>
    <row r="11" spans="1:10" ht="22.5">
      <c r="A11" s="589" t="s">
        <v>172</v>
      </c>
      <c r="B11" s="590" t="s">
        <v>742</v>
      </c>
      <c r="C11" s="591"/>
      <c r="D11" s="591"/>
      <c r="E11" s="591"/>
      <c r="F11" s="591"/>
      <c r="G11" s="592"/>
      <c r="H11" s="593">
        <f t="shared" si="0"/>
        <v>0</v>
      </c>
      <c r="I11" s="594">
        <f t="shared" si="1"/>
        <v>0</v>
      </c>
      <c r="J11" s="870"/>
    </row>
    <row r="12" spans="1:10" ht="15.75" customHeight="1">
      <c r="A12" s="595" t="s">
        <v>196</v>
      </c>
      <c r="B12" s="596" t="s">
        <v>743</v>
      </c>
      <c r="C12" s="597"/>
      <c r="D12" s="597"/>
      <c r="E12" s="597"/>
      <c r="F12" s="597"/>
      <c r="G12" s="598"/>
      <c r="H12" s="593">
        <f t="shared" si="0"/>
        <v>0</v>
      </c>
      <c r="I12" s="594">
        <f t="shared" si="1"/>
        <v>0</v>
      </c>
      <c r="J12" s="870"/>
    </row>
    <row r="13" spans="1:10" ht="15.75" customHeight="1">
      <c r="A13" s="599" t="s">
        <v>356</v>
      </c>
      <c r="B13" s="600" t="s">
        <v>744</v>
      </c>
      <c r="C13" s="601"/>
      <c r="D13" s="601"/>
      <c r="E13" s="601"/>
      <c r="F13" s="601"/>
      <c r="G13" s="602"/>
      <c r="H13" s="593">
        <f t="shared" si="0"/>
        <v>0</v>
      </c>
      <c r="I13" s="594">
        <f t="shared" si="1"/>
        <v>0</v>
      </c>
      <c r="J13" s="870"/>
    </row>
    <row r="14" spans="1:10" s="606" customFormat="1" ht="18" customHeight="1">
      <c r="A14" s="877" t="s">
        <v>745</v>
      </c>
      <c r="B14" s="877"/>
      <c r="C14" s="603">
        <f aca="true" t="shared" si="2" ref="C14:I14">SUM(C7:C13)</f>
        <v>0</v>
      </c>
      <c r="D14" s="603">
        <f t="shared" si="2"/>
        <v>0</v>
      </c>
      <c r="E14" s="603">
        <f t="shared" si="2"/>
        <v>0</v>
      </c>
      <c r="F14" s="603">
        <f t="shared" si="2"/>
        <v>0</v>
      </c>
      <c r="G14" s="604">
        <f t="shared" si="2"/>
        <v>0</v>
      </c>
      <c r="H14" s="604">
        <f t="shared" si="2"/>
        <v>0</v>
      </c>
      <c r="I14" s="605">
        <f t="shared" si="2"/>
        <v>0</v>
      </c>
      <c r="J14" s="870"/>
    </row>
    <row r="15" spans="1:10" s="585" customFormat="1" ht="18" customHeight="1">
      <c r="A15" s="878" t="s">
        <v>746</v>
      </c>
      <c r="B15" s="878"/>
      <c r="C15" s="878"/>
      <c r="D15" s="878"/>
      <c r="E15" s="878"/>
      <c r="F15" s="878"/>
      <c r="G15" s="878"/>
      <c r="H15" s="878"/>
      <c r="I15" s="878"/>
      <c r="J15" s="870"/>
    </row>
    <row r="16" spans="1:10" s="585" customFormat="1" ht="12.75">
      <c r="A16" s="589" t="s">
        <v>114</v>
      </c>
      <c r="B16" s="590" t="s">
        <v>747</v>
      </c>
      <c r="C16" s="591"/>
      <c r="D16" s="591"/>
      <c r="E16" s="591"/>
      <c r="F16" s="591"/>
      <c r="G16" s="592"/>
      <c r="H16" s="593">
        <f>SUM(D16:G16)</f>
        <v>0</v>
      </c>
      <c r="I16" s="594">
        <f>C16+H16</f>
        <v>0</v>
      </c>
      <c r="J16" s="870"/>
    </row>
    <row r="17" spans="1:10" ht="12.75">
      <c r="A17" s="599" t="s">
        <v>128</v>
      </c>
      <c r="B17" s="600" t="s">
        <v>744</v>
      </c>
      <c r="C17" s="601"/>
      <c r="D17" s="601"/>
      <c r="E17" s="601"/>
      <c r="F17" s="601"/>
      <c r="G17" s="602"/>
      <c r="H17" s="593">
        <f>SUM(D17:G17)</f>
        <v>0</v>
      </c>
      <c r="I17" s="607">
        <f>C17+H17</f>
        <v>0</v>
      </c>
      <c r="J17" s="870"/>
    </row>
    <row r="18" spans="1:10" ht="15.75" customHeight="1">
      <c r="A18" s="877" t="s">
        <v>748</v>
      </c>
      <c r="B18" s="877"/>
      <c r="C18" s="603">
        <f aca="true" t="shared" si="3" ref="C18:I18">SUM(C16:C17)</f>
        <v>0</v>
      </c>
      <c r="D18" s="603">
        <f t="shared" si="3"/>
        <v>0</v>
      </c>
      <c r="E18" s="603">
        <f t="shared" si="3"/>
        <v>0</v>
      </c>
      <c r="F18" s="603">
        <f t="shared" si="3"/>
        <v>0</v>
      </c>
      <c r="G18" s="604">
        <f t="shared" si="3"/>
        <v>0</v>
      </c>
      <c r="H18" s="604">
        <f t="shared" si="3"/>
        <v>0</v>
      </c>
      <c r="I18" s="605">
        <f t="shared" si="3"/>
        <v>0</v>
      </c>
      <c r="J18" s="870"/>
    </row>
    <row r="19" spans="1:10" ht="18" customHeight="1">
      <c r="A19" s="879" t="s">
        <v>749</v>
      </c>
      <c r="B19" s="879"/>
      <c r="C19" s="608">
        <f aca="true" t="shared" si="4" ref="C19:I19">C14+C18</f>
        <v>0</v>
      </c>
      <c r="D19" s="608">
        <f t="shared" si="4"/>
        <v>0</v>
      </c>
      <c r="E19" s="608">
        <f t="shared" si="4"/>
        <v>0</v>
      </c>
      <c r="F19" s="608">
        <f t="shared" si="4"/>
        <v>0</v>
      </c>
      <c r="G19" s="608">
        <f t="shared" si="4"/>
        <v>0</v>
      </c>
      <c r="H19" s="608">
        <f t="shared" si="4"/>
        <v>0</v>
      </c>
      <c r="I19" s="605">
        <f t="shared" si="4"/>
        <v>0</v>
      </c>
      <c r="J19" s="870"/>
    </row>
  </sheetData>
  <sheetProtection selectLockedCells="1" selectUnlockedCells="1"/>
  <mergeCells count="13"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 horizontalCentered="1"/>
  <pageMargins left="0.5902777777777778" right="0.5902777777777778" top="0.8472222222222222" bottom="0.7875" header="0.5118055555555555" footer="0.5118055555555555"/>
  <pageSetup horizontalDpi="300" verticalDpi="300" orientation="landscape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50"/>
  </sheetPr>
  <dimension ref="A1:D34"/>
  <sheetViews>
    <sheetView zoomScale="120" zoomScaleNormal="120" zoomScalePageLayoutView="0" workbookViewId="0" topLeftCell="A1">
      <selection activeCell="G15" sqref="G15"/>
    </sheetView>
  </sheetViews>
  <sheetFormatPr defaultColWidth="9.00390625" defaultRowHeight="12.75"/>
  <cols>
    <col min="1" max="1" width="5.875" style="609" customWidth="1"/>
    <col min="2" max="2" width="55.875" style="334" customWidth="1"/>
    <col min="3" max="4" width="14.875" style="334" customWidth="1"/>
    <col min="5" max="16384" width="9.375" style="334" customWidth="1"/>
  </cols>
  <sheetData>
    <row r="1" spans="1:4" ht="15">
      <c r="A1" s="886" t="str">
        <f>CONCATENATE("5. tájékoztató tábla ",Z_ALAPADATOK!A7," ",Z_ALAPADATOK!B7," ",Z_ALAPADATOK!C7," ",Z_ALAPADATOK!D7," ",Z_ALAPADATOK!E7," ",Z_ALAPADATOK!F7," ",Z_ALAPADATOK!G7," ",Z_ALAPADATOK!H7)</f>
        <v>5. tájékoztató tábla a … / 2019. ( … ) önkormányzati rendelethez</v>
      </c>
      <c r="B1" s="886"/>
      <c r="C1" s="886"/>
      <c r="D1" s="886"/>
    </row>
    <row r="2" spans="1:4" ht="12.75">
      <c r="A2" s="610"/>
      <c r="B2" s="611"/>
      <c r="C2" s="611"/>
      <c r="D2" s="611"/>
    </row>
    <row r="3" spans="1:4" ht="15.75" customHeight="1">
      <c r="A3" s="880" t="s">
        <v>750</v>
      </c>
      <c r="B3" s="880"/>
      <c r="C3" s="880"/>
      <c r="D3" s="880"/>
    </row>
    <row r="4" spans="1:4" ht="15.75" customHeight="1">
      <c r="A4" s="880" t="s">
        <v>751</v>
      </c>
      <c r="B4" s="880"/>
      <c r="C4" s="880"/>
      <c r="D4" s="880"/>
    </row>
    <row r="5" spans="1:4" s="564" customFormat="1" ht="15">
      <c r="A5" s="563"/>
      <c r="B5" s="271"/>
      <c r="C5" s="271"/>
      <c r="D5" s="154" t="str">
        <f>'Z_3.tájékoztató_t.'!H3</f>
        <v>E</v>
      </c>
    </row>
    <row r="6" spans="1:4" s="588" customFormat="1" ht="48" customHeight="1">
      <c r="A6" s="402" t="s">
        <v>640</v>
      </c>
      <c r="B6" s="348" t="s">
        <v>106</v>
      </c>
      <c r="C6" s="348" t="s">
        <v>752</v>
      </c>
      <c r="D6" s="586" t="s">
        <v>753</v>
      </c>
    </row>
    <row r="7" spans="1:4" s="588" customFormat="1" ht="13.5" customHeight="1">
      <c r="A7" s="612" t="s">
        <v>109</v>
      </c>
      <c r="B7" s="613" t="s">
        <v>110</v>
      </c>
      <c r="C7" s="613" t="s">
        <v>111</v>
      </c>
      <c r="D7" s="614" t="s">
        <v>112</v>
      </c>
    </row>
    <row r="8" spans="1:4" ht="18" customHeight="1">
      <c r="A8" s="615" t="s">
        <v>114</v>
      </c>
      <c r="B8" s="616" t="s">
        <v>754</v>
      </c>
      <c r="C8" s="617"/>
      <c r="D8" s="618"/>
    </row>
    <row r="9" spans="1:4" ht="18" customHeight="1">
      <c r="A9" s="619" t="s">
        <v>128</v>
      </c>
      <c r="B9" s="620" t="s">
        <v>755</v>
      </c>
      <c r="C9" s="621"/>
      <c r="D9" s="622"/>
    </row>
    <row r="10" spans="1:4" ht="18" customHeight="1">
      <c r="A10" s="619" t="s">
        <v>142</v>
      </c>
      <c r="B10" s="620" t="s">
        <v>756</v>
      </c>
      <c r="C10" s="621"/>
      <c r="D10" s="622"/>
    </row>
    <row r="11" spans="1:4" ht="18" customHeight="1">
      <c r="A11" s="619" t="s">
        <v>339</v>
      </c>
      <c r="B11" s="620" t="s">
        <v>757</v>
      </c>
      <c r="C11" s="621"/>
      <c r="D11" s="622"/>
    </row>
    <row r="12" spans="1:4" ht="18" customHeight="1">
      <c r="A12" s="623" t="s">
        <v>172</v>
      </c>
      <c r="B12" s="620" t="s">
        <v>758</v>
      </c>
      <c r="C12" s="194">
        <v>190995</v>
      </c>
      <c r="D12" s="451">
        <v>51900</v>
      </c>
    </row>
    <row r="13" spans="1:4" ht="18" customHeight="1">
      <c r="A13" s="619" t="s">
        <v>196</v>
      </c>
      <c r="B13" s="620" t="s">
        <v>759</v>
      </c>
      <c r="C13" s="194">
        <v>184215</v>
      </c>
      <c r="D13" s="451">
        <v>51542</v>
      </c>
    </row>
    <row r="14" spans="1:4" ht="18" customHeight="1">
      <c r="A14" s="623" t="s">
        <v>356</v>
      </c>
      <c r="B14" s="624" t="s">
        <v>760</v>
      </c>
      <c r="C14" s="194">
        <v>6780</v>
      </c>
      <c r="D14" s="451">
        <v>358</v>
      </c>
    </row>
    <row r="15" spans="1:4" ht="18" customHeight="1">
      <c r="A15" s="623" t="s">
        <v>218</v>
      </c>
      <c r="B15" s="624" t="s">
        <v>761</v>
      </c>
      <c r="C15" s="194"/>
      <c r="D15" s="451"/>
    </row>
    <row r="16" spans="1:4" ht="18" customHeight="1">
      <c r="A16" s="619" t="s">
        <v>365</v>
      </c>
      <c r="B16" s="624" t="s">
        <v>762</v>
      </c>
      <c r="C16" s="621"/>
      <c r="D16" s="622"/>
    </row>
    <row r="17" spans="1:4" ht="18" customHeight="1">
      <c r="A17" s="623" t="s">
        <v>367</v>
      </c>
      <c r="B17" s="624" t="s">
        <v>763</v>
      </c>
      <c r="C17" s="621"/>
      <c r="D17" s="622"/>
    </row>
    <row r="18" spans="1:4" ht="22.5">
      <c r="A18" s="619" t="s">
        <v>369</v>
      </c>
      <c r="B18" s="624" t="s">
        <v>764</v>
      </c>
      <c r="C18" s="621"/>
      <c r="D18" s="622"/>
    </row>
    <row r="19" spans="1:4" ht="18" customHeight="1">
      <c r="A19" s="623" t="s">
        <v>396</v>
      </c>
      <c r="B19" s="620" t="s">
        <v>765</v>
      </c>
      <c r="C19" s="621"/>
      <c r="D19" s="622"/>
    </row>
    <row r="20" spans="1:4" ht="18" customHeight="1">
      <c r="A20" s="619" t="s">
        <v>397</v>
      </c>
      <c r="B20" s="620" t="s">
        <v>766</v>
      </c>
      <c r="C20" s="621"/>
      <c r="D20" s="622"/>
    </row>
    <row r="21" spans="1:4" ht="18" customHeight="1">
      <c r="A21" s="623" t="s">
        <v>400</v>
      </c>
      <c r="B21" s="620" t="s">
        <v>767</v>
      </c>
      <c r="C21" s="621"/>
      <c r="D21" s="622"/>
    </row>
    <row r="22" spans="1:4" ht="18" customHeight="1">
      <c r="A22" s="619" t="s">
        <v>403</v>
      </c>
      <c r="B22" s="620" t="s">
        <v>768</v>
      </c>
      <c r="C22" s="621"/>
      <c r="D22" s="622"/>
    </row>
    <row r="23" spans="1:4" ht="18" customHeight="1">
      <c r="A23" s="623" t="s">
        <v>406</v>
      </c>
      <c r="B23" s="620" t="s">
        <v>769</v>
      </c>
      <c r="C23" s="621"/>
      <c r="D23" s="622"/>
    </row>
    <row r="24" spans="1:4" ht="18" customHeight="1">
      <c r="A24" s="619" t="s">
        <v>409</v>
      </c>
      <c r="B24" s="625"/>
      <c r="C24" s="621"/>
      <c r="D24" s="622"/>
    </row>
    <row r="25" spans="1:4" ht="18" customHeight="1">
      <c r="A25" s="623" t="s">
        <v>412</v>
      </c>
      <c r="B25" s="625"/>
      <c r="C25" s="621"/>
      <c r="D25" s="622"/>
    </row>
    <row r="26" spans="1:4" ht="18" customHeight="1">
      <c r="A26" s="619" t="s">
        <v>415</v>
      </c>
      <c r="B26" s="625"/>
      <c r="C26" s="621"/>
      <c r="D26" s="622"/>
    </row>
    <row r="27" spans="1:4" ht="18" customHeight="1">
      <c r="A27" s="623" t="s">
        <v>418</v>
      </c>
      <c r="B27" s="625"/>
      <c r="C27" s="621"/>
      <c r="D27" s="622"/>
    </row>
    <row r="28" spans="1:4" ht="18" customHeight="1">
      <c r="A28" s="619" t="s">
        <v>420</v>
      </c>
      <c r="B28" s="625"/>
      <c r="C28" s="621"/>
      <c r="D28" s="622"/>
    </row>
    <row r="29" spans="1:4" ht="18" customHeight="1">
      <c r="A29" s="623" t="s">
        <v>422</v>
      </c>
      <c r="B29" s="625"/>
      <c r="C29" s="621"/>
      <c r="D29" s="622"/>
    </row>
    <row r="30" spans="1:4" ht="18" customHeight="1">
      <c r="A30" s="619" t="s">
        <v>423</v>
      </c>
      <c r="B30" s="625"/>
      <c r="C30" s="621"/>
      <c r="D30" s="622"/>
    </row>
    <row r="31" spans="1:4" ht="18" customHeight="1">
      <c r="A31" s="623" t="s">
        <v>424</v>
      </c>
      <c r="B31" s="625"/>
      <c r="C31" s="621"/>
      <c r="D31" s="622"/>
    </row>
    <row r="32" spans="1:4" ht="18" customHeight="1">
      <c r="A32" s="626" t="s">
        <v>427</v>
      </c>
      <c r="B32" s="627"/>
      <c r="C32" s="628"/>
      <c r="D32" s="629"/>
    </row>
    <row r="33" spans="1:4" ht="18" customHeight="1">
      <c r="A33" s="630" t="s">
        <v>429</v>
      </c>
      <c r="B33" s="631" t="s">
        <v>649</v>
      </c>
      <c r="C33" s="576">
        <f>+C8+C9+C10+C11+C12+C19+C20+C21+C22+C23+C24+C25+C26+C27+C28+C29+C30+C31+C32</f>
        <v>190995</v>
      </c>
      <c r="D33" s="577">
        <f>+D8+D9+D10+D11+D12+D19+D20+D21+D22+D23+D24+D25+D26+D27+D28+D29+D30+D31+D32</f>
        <v>51900</v>
      </c>
    </row>
    <row r="34" spans="1:4" ht="25.5" customHeight="1">
      <c r="A34" s="632"/>
      <c r="B34" s="887" t="s">
        <v>770</v>
      </c>
      <c r="C34" s="887"/>
      <c r="D34" s="887"/>
    </row>
  </sheetData>
  <sheetProtection selectLockedCells="1" selectUnlockedCells="1"/>
  <mergeCells count="4">
    <mergeCell ref="A1:D1"/>
    <mergeCell ref="A3:D3"/>
    <mergeCell ref="A4:D4"/>
    <mergeCell ref="B34:D3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5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50"/>
  </sheetPr>
  <dimension ref="A1:E23"/>
  <sheetViews>
    <sheetView zoomScale="120" zoomScaleNormal="120" zoomScalePageLayoutView="0" workbookViewId="0" topLeftCell="A7">
      <selection activeCell="E10" sqref="E10"/>
    </sheetView>
  </sheetViews>
  <sheetFormatPr defaultColWidth="9.00390625" defaultRowHeight="12.75"/>
  <cols>
    <col min="1" max="1" width="6.625" style="270" customWidth="1"/>
    <col min="2" max="2" width="40.875" style="270" customWidth="1"/>
    <col min="3" max="3" width="20.875" style="270" customWidth="1"/>
    <col min="4" max="5" width="12.875" style="270" customWidth="1"/>
    <col min="6" max="16384" width="9.375" style="270" customWidth="1"/>
  </cols>
  <sheetData>
    <row r="1" spans="1:5" ht="15">
      <c r="A1" s="888" t="str">
        <f>CONCATENATE("6. tájékoztató tábla ",Z_ALAPADATOK!A7," ",Z_ALAPADATOK!B7," ",Z_ALAPADATOK!C7," ",Z_ALAPADATOK!D7," ",Z_ALAPADATOK!E7," ",Z_ALAPADATOK!F7," ",Z_ALAPADATOK!G7," ",Z_ALAPADATOK!H7)</f>
        <v>6. tájékoztató tábla a … / 2019. ( … ) önkormányzati rendelethez</v>
      </c>
      <c r="B1" s="888"/>
      <c r="C1" s="888"/>
      <c r="D1" s="888"/>
      <c r="E1" s="888"/>
    </row>
    <row r="2" spans="1:5" ht="12.75">
      <c r="A2" s="585"/>
      <c r="B2" s="585"/>
      <c r="C2" s="585"/>
      <c r="D2" s="585"/>
      <c r="E2" s="585"/>
    </row>
    <row r="3" spans="1:5" ht="15.75">
      <c r="A3" s="827" t="s">
        <v>771</v>
      </c>
      <c r="B3" s="827"/>
      <c r="C3" s="827"/>
      <c r="D3" s="827"/>
      <c r="E3" s="827"/>
    </row>
    <row r="4" spans="1:5" ht="15.75">
      <c r="A4" s="827" t="s">
        <v>772</v>
      </c>
      <c r="B4" s="827"/>
      <c r="C4" s="827"/>
      <c r="D4" s="827"/>
      <c r="E4" s="827"/>
    </row>
    <row r="5" spans="1:5" ht="12.75">
      <c r="A5" s="585"/>
      <c r="B5" s="585"/>
      <c r="C5" s="585"/>
      <c r="D5" s="585"/>
      <c r="E5" s="585"/>
    </row>
    <row r="6" spans="1:5" ht="13.5">
      <c r="A6" s="585"/>
      <c r="B6" s="585"/>
      <c r="C6" s="633"/>
      <c r="D6" s="633"/>
      <c r="E6" s="633" t="str">
        <f>'Z_5.tájékoztató_t.'!D5</f>
        <v>E</v>
      </c>
    </row>
    <row r="7" spans="1:5" ht="42.75" customHeight="1">
      <c r="A7" s="634" t="s">
        <v>105</v>
      </c>
      <c r="B7" s="635" t="s">
        <v>773</v>
      </c>
      <c r="C7" s="635" t="s">
        <v>774</v>
      </c>
      <c r="D7" s="636" t="s">
        <v>775</v>
      </c>
      <c r="E7" s="637" t="s">
        <v>776</v>
      </c>
    </row>
    <row r="8" spans="1:5" ht="15.75" customHeight="1">
      <c r="A8" s="638" t="s">
        <v>114</v>
      </c>
      <c r="B8" s="639" t="s">
        <v>777</v>
      </c>
      <c r="C8" s="640"/>
      <c r="D8" s="640">
        <v>100000</v>
      </c>
      <c r="E8" s="640">
        <v>100000</v>
      </c>
    </row>
    <row r="9" spans="1:5" ht="15.75" customHeight="1">
      <c r="A9" s="641" t="s">
        <v>128</v>
      </c>
      <c r="B9" s="642" t="s">
        <v>778</v>
      </c>
      <c r="C9" s="643"/>
      <c r="D9" s="643">
        <v>100000</v>
      </c>
      <c r="E9" s="644">
        <v>0</v>
      </c>
    </row>
    <row r="10" spans="1:5" ht="15.75" customHeight="1">
      <c r="A10" s="641" t="s">
        <v>142</v>
      </c>
      <c r="B10" s="642" t="s">
        <v>779</v>
      </c>
      <c r="C10" s="643"/>
      <c r="D10" s="643">
        <v>100000</v>
      </c>
      <c r="E10" s="643">
        <v>100000</v>
      </c>
    </row>
    <row r="11" spans="1:5" ht="15.75" customHeight="1">
      <c r="A11" s="641" t="s">
        <v>339</v>
      </c>
      <c r="B11" s="642" t="s">
        <v>780</v>
      </c>
      <c r="C11" s="643"/>
      <c r="D11" s="643">
        <v>100000</v>
      </c>
      <c r="E11" s="643">
        <v>100000</v>
      </c>
    </row>
    <row r="12" spans="1:5" ht="15.75" customHeight="1">
      <c r="A12" s="641" t="s">
        <v>172</v>
      </c>
      <c r="B12" s="642" t="s">
        <v>781</v>
      </c>
      <c r="C12" s="643"/>
      <c r="D12" s="643">
        <v>300000</v>
      </c>
      <c r="E12" s="643">
        <v>300000</v>
      </c>
    </row>
    <row r="13" spans="1:5" ht="15.75" customHeight="1">
      <c r="A13" s="641" t="s">
        <v>196</v>
      </c>
      <c r="B13" s="642" t="s">
        <v>782</v>
      </c>
      <c r="C13" s="643"/>
      <c r="D13" s="643">
        <v>70000</v>
      </c>
      <c r="E13" s="643">
        <v>70000</v>
      </c>
    </row>
    <row r="14" spans="1:5" ht="15.75" customHeight="1">
      <c r="A14" s="641" t="s">
        <v>356</v>
      </c>
      <c r="B14" s="642" t="s">
        <v>783</v>
      </c>
      <c r="C14" s="643"/>
      <c r="D14" s="643">
        <v>100000</v>
      </c>
      <c r="E14" s="643">
        <v>100000</v>
      </c>
    </row>
    <row r="15" spans="1:5" ht="15.75" customHeight="1">
      <c r="A15" s="641" t="s">
        <v>218</v>
      </c>
      <c r="B15" s="642" t="s">
        <v>784</v>
      </c>
      <c r="C15" s="643"/>
      <c r="D15" s="643">
        <v>100000</v>
      </c>
      <c r="E15" s="644">
        <v>0</v>
      </c>
    </row>
    <row r="16" spans="1:5" ht="15.75" customHeight="1">
      <c r="A16" s="641" t="s">
        <v>365</v>
      </c>
      <c r="B16" s="642" t="s">
        <v>785</v>
      </c>
      <c r="C16" s="643"/>
      <c r="D16" s="643">
        <v>50000</v>
      </c>
      <c r="E16" s="644">
        <v>50000</v>
      </c>
    </row>
    <row r="17" spans="1:5" ht="15.75" customHeight="1">
      <c r="A17" s="641" t="s">
        <v>367</v>
      </c>
      <c r="B17" s="645"/>
      <c r="C17" s="645"/>
      <c r="D17" s="646"/>
      <c r="E17" s="647"/>
    </row>
    <row r="18" spans="1:5" ht="15.75" customHeight="1">
      <c r="A18" s="641" t="s">
        <v>369</v>
      </c>
      <c r="B18" s="645"/>
      <c r="C18" s="645"/>
      <c r="D18" s="646"/>
      <c r="E18" s="647"/>
    </row>
    <row r="19" spans="1:5" ht="15.75" customHeight="1">
      <c r="A19" s="641" t="s">
        <v>396</v>
      </c>
      <c r="B19" s="645"/>
      <c r="C19" s="645"/>
      <c r="D19" s="646"/>
      <c r="E19" s="647"/>
    </row>
    <row r="20" spans="1:5" ht="15.75" customHeight="1">
      <c r="A20" s="641" t="s">
        <v>397</v>
      </c>
      <c r="B20" s="645"/>
      <c r="C20" s="645"/>
      <c r="D20" s="646"/>
      <c r="E20" s="647"/>
    </row>
    <row r="21" spans="1:5" ht="15.75" customHeight="1">
      <c r="A21" s="641" t="s">
        <v>400</v>
      </c>
      <c r="B21" s="645"/>
      <c r="C21" s="645"/>
      <c r="D21" s="646"/>
      <c r="E21" s="647"/>
    </row>
    <row r="22" spans="1:5" ht="15.75" customHeight="1">
      <c r="A22" s="641" t="s">
        <v>403</v>
      </c>
      <c r="B22" s="645"/>
      <c r="C22" s="645"/>
      <c r="D22" s="646"/>
      <c r="E22" s="647"/>
    </row>
    <row r="23" spans="1:5" ht="15.75" customHeight="1">
      <c r="A23" s="889" t="s">
        <v>649</v>
      </c>
      <c r="B23" s="889"/>
      <c r="C23" s="648"/>
      <c r="D23" s="649">
        <f>SUM(D8:D22)</f>
        <v>1020000</v>
      </c>
      <c r="E23" s="650">
        <f>SUM(E8:E22)</f>
        <v>820000</v>
      </c>
    </row>
  </sheetData>
  <sheetProtection selectLockedCells="1" selectUnlockedCells="1"/>
  <mergeCells count="4">
    <mergeCell ref="A1:E1"/>
    <mergeCell ref="A3:E3"/>
    <mergeCell ref="A4:E4"/>
    <mergeCell ref="A23:B23"/>
  </mergeCells>
  <printOptions horizontalCentered="1"/>
  <pageMargins left="0.7875" right="0.7875" top="1.575" bottom="0.9840277777777777" header="0.5118055555555555" footer="0.5118055555555555"/>
  <pageSetup horizontalDpi="300" verticalDpi="3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166"/>
  <sheetViews>
    <sheetView zoomScale="120" zoomScaleNormal="120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9.50390625" style="22" customWidth="1"/>
    <col min="2" max="2" width="65.875" style="22" customWidth="1"/>
    <col min="3" max="3" width="17.875" style="23" customWidth="1"/>
    <col min="4" max="5" width="17.875" style="24" customWidth="1"/>
    <col min="6" max="16384" width="9.375" style="24" customWidth="1"/>
  </cols>
  <sheetData>
    <row r="1" spans="1:5" ht="15.75">
      <c r="A1" s="25"/>
      <c r="B1" s="806" t="str">
        <f>CONCATENATE("1.4. melléklet ",Z_ALAPADATOK!A7," ",Z_ALAPADATOK!B7," ",Z_ALAPADATOK!C7," ",Z_ALAPADATOK!D7," ",Z_ALAPADATOK!E7," ",Z_ALAPADATOK!F7," ",Z_ALAPADATOK!G7," ",Z_ALAPADATOK!H7)</f>
        <v>1.4. melléklet a … / 2019. ( … ) önkormányzati rendelethez</v>
      </c>
      <c r="C1" s="806"/>
      <c r="D1" s="806"/>
      <c r="E1" s="806"/>
    </row>
    <row r="2" spans="1:5" ht="15.75" customHeight="1">
      <c r="A2" s="807" t="str">
        <f>CONCATENATE(Z_ALAPADATOK!A3)</f>
        <v>Balatonvilágos Község Önkormányzata</v>
      </c>
      <c r="B2" s="807"/>
      <c r="C2" s="807"/>
      <c r="D2" s="807"/>
      <c r="E2" s="807"/>
    </row>
    <row r="3" spans="1:5" ht="15.75">
      <c r="A3" s="817" t="s">
        <v>375</v>
      </c>
      <c r="B3" s="817"/>
      <c r="C3" s="817"/>
      <c r="D3" s="817"/>
      <c r="E3" s="817"/>
    </row>
    <row r="4" spans="1:5" ht="17.25" customHeight="1">
      <c r="A4" s="817" t="s">
        <v>378</v>
      </c>
      <c r="B4" s="817"/>
      <c r="C4" s="817"/>
      <c r="D4" s="817"/>
      <c r="E4" s="817"/>
    </row>
    <row r="5" spans="1:5" ht="15.75">
      <c r="A5" s="25"/>
      <c r="B5" s="25"/>
      <c r="C5" s="26"/>
      <c r="D5" s="27"/>
      <c r="E5" s="27"/>
    </row>
    <row r="6" spans="1:5" ht="15.75" customHeight="1">
      <c r="A6" s="808" t="s">
        <v>102</v>
      </c>
      <c r="B6" s="808"/>
      <c r="C6" s="808"/>
      <c r="D6" s="808"/>
      <c r="E6" s="808"/>
    </row>
    <row r="7" spans="1:5" ht="15.75" customHeight="1">
      <c r="A7" s="809" t="s">
        <v>103</v>
      </c>
      <c r="B7" s="809"/>
      <c r="C7" s="28"/>
      <c r="D7" s="27"/>
      <c r="E7" s="28" t="str">
        <f>CONCATENATE('Z_1.3.sz.mell.'!E7)</f>
        <v> Forintban!</v>
      </c>
    </row>
    <row r="8" spans="1:5" ht="15.75" customHeight="1">
      <c r="A8" s="812" t="s">
        <v>105</v>
      </c>
      <c r="B8" s="813" t="s">
        <v>106</v>
      </c>
      <c r="C8" s="814" t="str">
        <f>+CONCATENATE(LEFT(Z_ÖSSZEFÜGGÉSEK!A6,4),". évi")</f>
        <v>2018. évi</v>
      </c>
      <c r="D8" s="814"/>
      <c r="E8" s="814"/>
    </row>
    <row r="9" spans="1:5" ht="24">
      <c r="A9" s="812"/>
      <c r="B9" s="813"/>
      <c r="C9" s="29" t="s">
        <v>107</v>
      </c>
      <c r="D9" s="30" t="s">
        <v>108</v>
      </c>
      <c r="E9" s="31" t="str">
        <f>CONCATENATE('Z_1.3.sz.mell.'!E9)</f>
        <v>2018. XII. 31.
teljesítés</v>
      </c>
    </row>
    <row r="10" spans="1:5" s="35" customFormat="1" ht="12" customHeight="1">
      <c r="A10" s="32" t="s">
        <v>109</v>
      </c>
      <c r="B10" s="33" t="s">
        <v>110</v>
      </c>
      <c r="C10" s="33" t="s">
        <v>111</v>
      </c>
      <c r="D10" s="33" t="s">
        <v>112</v>
      </c>
      <c r="E10" s="34" t="s">
        <v>113</v>
      </c>
    </row>
    <row r="11" spans="1:5" s="40" customFormat="1" ht="12" customHeight="1">
      <c r="A11" s="36" t="s">
        <v>114</v>
      </c>
      <c r="B11" s="37" t="s">
        <v>115</v>
      </c>
      <c r="C11" s="38">
        <f>+C12+C13+C14+C15+C16+C17</f>
        <v>0</v>
      </c>
      <c r="D11" s="38">
        <f>+D12+D13+D14+D15+D16+D17</f>
        <v>0</v>
      </c>
      <c r="E11" s="39">
        <f>+E12+E13+E14+E15+E16+E17</f>
        <v>0</v>
      </c>
    </row>
    <row r="12" spans="1:5" s="40" customFormat="1" ht="12" customHeight="1">
      <c r="A12" s="41" t="s">
        <v>116</v>
      </c>
      <c r="B12" s="42" t="s">
        <v>117</v>
      </c>
      <c r="C12" s="52"/>
      <c r="D12" s="52"/>
      <c r="E12" s="53"/>
    </row>
    <row r="13" spans="1:5" s="40" customFormat="1" ht="12" customHeight="1">
      <c r="A13" s="45" t="s">
        <v>118</v>
      </c>
      <c r="B13" s="46" t="s">
        <v>119</v>
      </c>
      <c r="C13" s="54"/>
      <c r="D13" s="54"/>
      <c r="E13" s="50"/>
    </row>
    <row r="14" spans="1:5" s="40" customFormat="1" ht="12" customHeight="1">
      <c r="A14" s="45" t="s">
        <v>120</v>
      </c>
      <c r="B14" s="46" t="s">
        <v>121</v>
      </c>
      <c r="C14" s="54"/>
      <c r="D14" s="54"/>
      <c r="E14" s="50"/>
    </row>
    <row r="15" spans="1:5" s="40" customFormat="1" ht="12" customHeight="1">
      <c r="A15" s="45" t="s">
        <v>122</v>
      </c>
      <c r="B15" s="46" t="s">
        <v>123</v>
      </c>
      <c r="C15" s="54"/>
      <c r="D15" s="54"/>
      <c r="E15" s="50"/>
    </row>
    <row r="16" spans="1:5" s="40" customFormat="1" ht="12" customHeight="1">
      <c r="A16" s="45" t="s">
        <v>124</v>
      </c>
      <c r="B16" s="47" t="s">
        <v>125</v>
      </c>
      <c r="C16" s="54"/>
      <c r="D16" s="54"/>
      <c r="E16" s="50"/>
    </row>
    <row r="17" spans="1:5" s="40" customFormat="1" ht="12" customHeight="1">
      <c r="A17" s="48" t="s">
        <v>126</v>
      </c>
      <c r="B17" s="49" t="s">
        <v>127</v>
      </c>
      <c r="C17" s="54"/>
      <c r="D17" s="54"/>
      <c r="E17" s="50"/>
    </row>
    <row r="18" spans="1:5" s="40" customFormat="1" ht="12" customHeight="1">
      <c r="A18" s="36" t="s">
        <v>128</v>
      </c>
      <c r="B18" s="51" t="s">
        <v>129</v>
      </c>
      <c r="C18" s="38">
        <f>+C19+C20+C21+C22+C23</f>
        <v>0</v>
      </c>
      <c r="D18" s="38">
        <f>+D19+D20+D21+D22+D23</f>
        <v>0</v>
      </c>
      <c r="E18" s="39">
        <f>+E19+E20+E21+E22+E23</f>
        <v>0</v>
      </c>
    </row>
    <row r="19" spans="1:5" s="40" customFormat="1" ht="12" customHeight="1">
      <c r="A19" s="41" t="s">
        <v>130</v>
      </c>
      <c r="B19" s="42" t="s">
        <v>131</v>
      </c>
      <c r="C19" s="52"/>
      <c r="D19" s="52"/>
      <c r="E19" s="53"/>
    </row>
    <row r="20" spans="1:5" s="40" customFormat="1" ht="12" customHeight="1">
      <c r="A20" s="45" t="s">
        <v>132</v>
      </c>
      <c r="B20" s="46" t="s">
        <v>133</v>
      </c>
      <c r="C20" s="54"/>
      <c r="D20" s="54"/>
      <c r="E20" s="50"/>
    </row>
    <row r="21" spans="1:5" s="40" customFormat="1" ht="12" customHeight="1">
      <c r="A21" s="45" t="s">
        <v>134</v>
      </c>
      <c r="B21" s="46" t="s">
        <v>135</v>
      </c>
      <c r="C21" s="54"/>
      <c r="D21" s="54"/>
      <c r="E21" s="50"/>
    </row>
    <row r="22" spans="1:5" s="40" customFormat="1" ht="12" customHeight="1">
      <c r="A22" s="45" t="s">
        <v>136</v>
      </c>
      <c r="B22" s="46" t="s">
        <v>137</v>
      </c>
      <c r="C22" s="54"/>
      <c r="D22" s="54"/>
      <c r="E22" s="50"/>
    </row>
    <row r="23" spans="1:5" s="40" customFormat="1" ht="12" customHeight="1">
      <c r="A23" s="45" t="s">
        <v>138</v>
      </c>
      <c r="B23" s="46" t="s">
        <v>139</v>
      </c>
      <c r="C23" s="54"/>
      <c r="D23" s="54"/>
      <c r="E23" s="50"/>
    </row>
    <row r="24" spans="1:5" s="40" customFormat="1" ht="12" customHeight="1">
      <c r="A24" s="48" t="s">
        <v>140</v>
      </c>
      <c r="B24" s="49" t="s">
        <v>141</v>
      </c>
      <c r="C24" s="56"/>
      <c r="D24" s="56"/>
      <c r="E24" s="57"/>
    </row>
    <row r="25" spans="1:5" s="40" customFormat="1" ht="12" customHeight="1">
      <c r="A25" s="36" t="s">
        <v>142</v>
      </c>
      <c r="B25" s="37" t="s">
        <v>143</v>
      </c>
      <c r="C25" s="38">
        <f>+C26+C27+C28+C29+C30</f>
        <v>0</v>
      </c>
      <c r="D25" s="38">
        <f>+D26+D27+D28+D29+D30</f>
        <v>0</v>
      </c>
      <c r="E25" s="39">
        <f>+E26+E27+E28+E29+E30</f>
        <v>0</v>
      </c>
    </row>
    <row r="26" spans="1:5" s="40" customFormat="1" ht="12" customHeight="1">
      <c r="A26" s="41" t="s">
        <v>144</v>
      </c>
      <c r="B26" s="42" t="s">
        <v>145</v>
      </c>
      <c r="C26" s="52"/>
      <c r="D26" s="52"/>
      <c r="E26" s="53"/>
    </row>
    <row r="27" spans="1:5" s="40" customFormat="1" ht="12" customHeight="1">
      <c r="A27" s="45" t="s">
        <v>146</v>
      </c>
      <c r="B27" s="46" t="s">
        <v>147</v>
      </c>
      <c r="C27" s="54"/>
      <c r="D27" s="54"/>
      <c r="E27" s="50"/>
    </row>
    <row r="28" spans="1:5" s="40" customFormat="1" ht="12" customHeight="1">
      <c r="A28" s="45" t="s">
        <v>148</v>
      </c>
      <c r="B28" s="46" t="s">
        <v>149</v>
      </c>
      <c r="C28" s="54"/>
      <c r="D28" s="54"/>
      <c r="E28" s="50"/>
    </row>
    <row r="29" spans="1:5" s="40" customFormat="1" ht="12" customHeight="1">
      <c r="A29" s="45" t="s">
        <v>150</v>
      </c>
      <c r="B29" s="46" t="s">
        <v>151</v>
      </c>
      <c r="C29" s="54"/>
      <c r="D29" s="54"/>
      <c r="E29" s="50"/>
    </row>
    <row r="30" spans="1:5" s="40" customFormat="1" ht="12" customHeight="1">
      <c r="A30" s="45" t="s">
        <v>152</v>
      </c>
      <c r="B30" s="46" t="s">
        <v>153</v>
      </c>
      <c r="C30" s="54"/>
      <c r="D30" s="54"/>
      <c r="E30" s="50"/>
    </row>
    <row r="31" spans="1:5" s="40" customFormat="1" ht="12" customHeight="1">
      <c r="A31" s="48" t="s">
        <v>154</v>
      </c>
      <c r="B31" s="58" t="s">
        <v>155</v>
      </c>
      <c r="C31" s="56"/>
      <c r="D31" s="56"/>
      <c r="E31" s="57"/>
    </row>
    <row r="32" spans="1:5" s="40" customFormat="1" ht="12" customHeight="1">
      <c r="A32" s="36" t="s">
        <v>156</v>
      </c>
      <c r="B32" s="37" t="s">
        <v>157</v>
      </c>
      <c r="C32" s="59">
        <f>SUM(C33:C39)</f>
        <v>0</v>
      </c>
      <c r="D32" s="59">
        <f>SUM(D33:D39)</f>
        <v>0</v>
      </c>
      <c r="E32" s="60">
        <f>SUM(E33:E39)</f>
        <v>0</v>
      </c>
    </row>
    <row r="33" spans="1:5" s="40" customFormat="1" ht="12" customHeight="1">
      <c r="A33" s="41" t="s">
        <v>158</v>
      </c>
      <c r="B33" s="42" t="s">
        <v>159</v>
      </c>
      <c r="C33" s="52">
        <f>+C34+C35+C36</f>
        <v>0</v>
      </c>
      <c r="D33" s="52">
        <f>+D34+D35+D36</f>
        <v>0</v>
      </c>
      <c r="E33" s="53">
        <f>+E34+E35+E36</f>
        <v>0</v>
      </c>
    </row>
    <row r="34" spans="1:5" s="40" customFormat="1" ht="12" customHeight="1">
      <c r="A34" s="45" t="s">
        <v>160</v>
      </c>
      <c r="B34" s="46" t="s">
        <v>161</v>
      </c>
      <c r="C34" s="54"/>
      <c r="D34" s="54"/>
      <c r="E34" s="50"/>
    </row>
    <row r="35" spans="1:5" s="40" customFormat="1" ht="12" customHeight="1">
      <c r="A35" s="45" t="s">
        <v>162</v>
      </c>
      <c r="B35" s="46" t="s">
        <v>163</v>
      </c>
      <c r="C35" s="54"/>
      <c r="D35" s="54"/>
      <c r="E35" s="50"/>
    </row>
    <row r="36" spans="1:5" s="40" customFormat="1" ht="12" customHeight="1">
      <c r="A36" s="45" t="s">
        <v>164</v>
      </c>
      <c r="B36" s="46" t="s">
        <v>165</v>
      </c>
      <c r="C36" s="54"/>
      <c r="D36" s="54"/>
      <c r="E36" s="50"/>
    </row>
    <row r="37" spans="1:5" s="40" customFormat="1" ht="12" customHeight="1">
      <c r="A37" s="45" t="s">
        <v>166</v>
      </c>
      <c r="B37" s="46" t="s">
        <v>167</v>
      </c>
      <c r="C37" s="54"/>
      <c r="D37" s="54"/>
      <c r="E37" s="50"/>
    </row>
    <row r="38" spans="1:5" s="40" customFormat="1" ht="12" customHeight="1">
      <c r="A38" s="45" t="s">
        <v>168</v>
      </c>
      <c r="B38" s="46" t="s">
        <v>169</v>
      </c>
      <c r="C38" s="54"/>
      <c r="D38" s="54"/>
      <c r="E38" s="50"/>
    </row>
    <row r="39" spans="1:5" s="40" customFormat="1" ht="12" customHeight="1">
      <c r="A39" s="48" t="s">
        <v>170</v>
      </c>
      <c r="B39" s="61" t="s">
        <v>171</v>
      </c>
      <c r="C39" s="56"/>
      <c r="D39" s="56"/>
      <c r="E39" s="57"/>
    </row>
    <row r="40" spans="1:5" s="40" customFormat="1" ht="12" customHeight="1">
      <c r="A40" s="36" t="s">
        <v>172</v>
      </c>
      <c r="B40" s="37" t="s">
        <v>173</v>
      </c>
      <c r="C40" s="38">
        <f>SUM(C41:C51)</f>
        <v>0</v>
      </c>
      <c r="D40" s="38">
        <f>SUM(D41:D51)</f>
        <v>0</v>
      </c>
      <c r="E40" s="39">
        <f>SUM(E41:E51)</f>
        <v>0</v>
      </c>
    </row>
    <row r="41" spans="1:5" s="40" customFormat="1" ht="12" customHeight="1">
      <c r="A41" s="41" t="s">
        <v>174</v>
      </c>
      <c r="B41" s="42" t="s">
        <v>175</v>
      </c>
      <c r="C41" s="52"/>
      <c r="D41" s="52"/>
      <c r="E41" s="53"/>
    </row>
    <row r="42" spans="1:5" s="40" customFormat="1" ht="12" customHeight="1">
      <c r="A42" s="45" t="s">
        <v>176</v>
      </c>
      <c r="B42" s="46" t="s">
        <v>177</v>
      </c>
      <c r="C42" s="54"/>
      <c r="D42" s="54"/>
      <c r="E42" s="50"/>
    </row>
    <row r="43" spans="1:5" s="40" customFormat="1" ht="12" customHeight="1">
      <c r="A43" s="45" t="s">
        <v>178</v>
      </c>
      <c r="B43" s="46" t="s">
        <v>179</v>
      </c>
      <c r="C43" s="54"/>
      <c r="D43" s="54"/>
      <c r="E43" s="50"/>
    </row>
    <row r="44" spans="1:5" s="40" customFormat="1" ht="12" customHeight="1">
      <c r="A44" s="45" t="s">
        <v>180</v>
      </c>
      <c r="B44" s="46" t="s">
        <v>181</v>
      </c>
      <c r="C44" s="54"/>
      <c r="D44" s="54"/>
      <c r="E44" s="50"/>
    </row>
    <row r="45" spans="1:5" s="40" customFormat="1" ht="12" customHeight="1">
      <c r="A45" s="45" t="s">
        <v>182</v>
      </c>
      <c r="B45" s="46" t="s">
        <v>183</v>
      </c>
      <c r="C45" s="54"/>
      <c r="D45" s="54"/>
      <c r="E45" s="50"/>
    </row>
    <row r="46" spans="1:5" s="40" customFormat="1" ht="12" customHeight="1">
      <c r="A46" s="45" t="s">
        <v>184</v>
      </c>
      <c r="B46" s="46" t="s">
        <v>185</v>
      </c>
      <c r="C46" s="54"/>
      <c r="D46" s="54"/>
      <c r="E46" s="50"/>
    </row>
    <row r="47" spans="1:5" s="40" customFormat="1" ht="12" customHeight="1">
      <c r="A47" s="45" t="s">
        <v>186</v>
      </c>
      <c r="B47" s="46" t="s">
        <v>187</v>
      </c>
      <c r="C47" s="54"/>
      <c r="D47" s="54"/>
      <c r="E47" s="50"/>
    </row>
    <row r="48" spans="1:5" s="40" customFormat="1" ht="12" customHeight="1">
      <c r="A48" s="45" t="s">
        <v>188</v>
      </c>
      <c r="B48" s="46" t="s">
        <v>189</v>
      </c>
      <c r="C48" s="54"/>
      <c r="D48" s="54"/>
      <c r="E48" s="50"/>
    </row>
    <row r="49" spans="1:5" s="40" customFormat="1" ht="12" customHeight="1">
      <c r="A49" s="45" t="s">
        <v>190</v>
      </c>
      <c r="B49" s="46" t="s">
        <v>191</v>
      </c>
      <c r="C49" s="66"/>
      <c r="D49" s="66"/>
      <c r="E49" s="68"/>
    </row>
    <row r="50" spans="1:5" s="40" customFormat="1" ht="12" customHeight="1">
      <c r="A50" s="48" t="s">
        <v>192</v>
      </c>
      <c r="B50" s="58" t="s">
        <v>193</v>
      </c>
      <c r="C50" s="67"/>
      <c r="D50" s="67"/>
      <c r="E50" s="143"/>
    </row>
    <row r="51" spans="1:5" s="40" customFormat="1" ht="12" customHeight="1">
      <c r="A51" s="48" t="s">
        <v>194</v>
      </c>
      <c r="B51" s="49" t="s">
        <v>195</v>
      </c>
      <c r="C51" s="67"/>
      <c r="D51" s="67"/>
      <c r="E51" s="143"/>
    </row>
    <row r="52" spans="1:5" s="40" customFormat="1" ht="12" customHeight="1">
      <c r="A52" s="36" t="s">
        <v>196</v>
      </c>
      <c r="B52" s="37" t="s">
        <v>197</v>
      </c>
      <c r="C52" s="38">
        <f>SUM(C53:C57)</f>
        <v>0</v>
      </c>
      <c r="D52" s="38">
        <f>SUM(D53:D57)</f>
        <v>0</v>
      </c>
      <c r="E52" s="39">
        <f>SUM(E53:E57)</f>
        <v>0</v>
      </c>
    </row>
    <row r="53" spans="1:5" s="40" customFormat="1" ht="12" customHeight="1">
      <c r="A53" s="41" t="s">
        <v>198</v>
      </c>
      <c r="B53" s="42" t="s">
        <v>199</v>
      </c>
      <c r="C53" s="65"/>
      <c r="D53" s="65"/>
      <c r="E53" s="144"/>
    </row>
    <row r="54" spans="1:5" s="40" customFormat="1" ht="12" customHeight="1">
      <c r="A54" s="45" t="s">
        <v>200</v>
      </c>
      <c r="B54" s="46" t="s">
        <v>201</v>
      </c>
      <c r="C54" s="66"/>
      <c r="D54" s="66"/>
      <c r="E54" s="68"/>
    </row>
    <row r="55" spans="1:5" s="40" customFormat="1" ht="12" customHeight="1">
      <c r="A55" s="45" t="s">
        <v>202</v>
      </c>
      <c r="B55" s="46" t="s">
        <v>203</v>
      </c>
      <c r="C55" s="66"/>
      <c r="D55" s="66"/>
      <c r="E55" s="68"/>
    </row>
    <row r="56" spans="1:5" s="40" customFormat="1" ht="12" customHeight="1">
      <c r="A56" s="45" t="s">
        <v>204</v>
      </c>
      <c r="B56" s="46" t="s">
        <v>205</v>
      </c>
      <c r="C56" s="66"/>
      <c r="D56" s="66"/>
      <c r="E56" s="68"/>
    </row>
    <row r="57" spans="1:5" s="40" customFormat="1" ht="12" customHeight="1">
      <c r="A57" s="48" t="s">
        <v>206</v>
      </c>
      <c r="B57" s="49" t="s">
        <v>207</v>
      </c>
      <c r="C57" s="67"/>
      <c r="D57" s="67"/>
      <c r="E57" s="143"/>
    </row>
    <row r="58" spans="1:5" s="40" customFormat="1" ht="12" customHeight="1">
      <c r="A58" s="36" t="s">
        <v>208</v>
      </c>
      <c r="B58" s="37" t="s">
        <v>209</v>
      </c>
      <c r="C58" s="38">
        <f>SUM(C59:C61)</f>
        <v>0</v>
      </c>
      <c r="D58" s="38">
        <f>SUM(D59:D61)</f>
        <v>0</v>
      </c>
      <c r="E58" s="39">
        <f>SUM(E59:E61)</f>
        <v>0</v>
      </c>
    </row>
    <row r="59" spans="1:5" s="40" customFormat="1" ht="12" customHeight="1">
      <c r="A59" s="41" t="s">
        <v>210</v>
      </c>
      <c r="B59" s="42" t="s">
        <v>211</v>
      </c>
      <c r="C59" s="52"/>
      <c r="D59" s="52"/>
      <c r="E59" s="53"/>
    </row>
    <row r="60" spans="1:5" s="40" customFormat="1" ht="12" customHeight="1">
      <c r="A60" s="45" t="s">
        <v>212</v>
      </c>
      <c r="B60" s="46" t="s">
        <v>213</v>
      </c>
      <c r="C60" s="54"/>
      <c r="D60" s="54"/>
      <c r="E60" s="50"/>
    </row>
    <row r="61" spans="1:5" s="40" customFormat="1" ht="12" customHeight="1">
      <c r="A61" s="45" t="s">
        <v>214</v>
      </c>
      <c r="B61" s="46" t="s">
        <v>215</v>
      </c>
      <c r="C61" s="54"/>
      <c r="D61" s="54"/>
      <c r="E61" s="50"/>
    </row>
    <row r="62" spans="1:5" s="40" customFormat="1" ht="12" customHeight="1">
      <c r="A62" s="48" t="s">
        <v>216</v>
      </c>
      <c r="B62" s="49" t="s">
        <v>217</v>
      </c>
      <c r="C62" s="56"/>
      <c r="D62" s="56"/>
      <c r="E62" s="57"/>
    </row>
    <row r="63" spans="1:5" s="40" customFormat="1" ht="12" customHeight="1">
      <c r="A63" s="36" t="s">
        <v>218</v>
      </c>
      <c r="B63" s="51" t="s">
        <v>219</v>
      </c>
      <c r="C63" s="38">
        <f>SUM(C64:C66)</f>
        <v>0</v>
      </c>
      <c r="D63" s="38">
        <f>SUM(D64:D66)</f>
        <v>0</v>
      </c>
      <c r="E63" s="39">
        <f>SUM(E64:E66)</f>
        <v>0</v>
      </c>
    </row>
    <row r="64" spans="1:5" s="40" customFormat="1" ht="12" customHeight="1">
      <c r="A64" s="41" t="s">
        <v>220</v>
      </c>
      <c r="B64" s="42" t="s">
        <v>221</v>
      </c>
      <c r="C64" s="66"/>
      <c r="D64" s="66"/>
      <c r="E64" s="68"/>
    </row>
    <row r="65" spans="1:5" s="40" customFormat="1" ht="12" customHeight="1">
      <c r="A65" s="45" t="s">
        <v>222</v>
      </c>
      <c r="B65" s="46" t="s">
        <v>223</v>
      </c>
      <c r="C65" s="66"/>
      <c r="D65" s="66"/>
      <c r="E65" s="68"/>
    </row>
    <row r="66" spans="1:5" s="40" customFormat="1" ht="12" customHeight="1">
      <c r="A66" s="45" t="s">
        <v>224</v>
      </c>
      <c r="B66" s="46" t="s">
        <v>225</v>
      </c>
      <c r="C66" s="66"/>
      <c r="D66" s="66"/>
      <c r="E66" s="68"/>
    </row>
    <row r="67" spans="1:5" s="40" customFormat="1" ht="12" customHeight="1">
      <c r="A67" s="48" t="s">
        <v>226</v>
      </c>
      <c r="B67" s="49" t="s">
        <v>227</v>
      </c>
      <c r="C67" s="66"/>
      <c r="D67" s="66"/>
      <c r="E67" s="68"/>
    </row>
    <row r="68" spans="1:5" s="40" customFormat="1" ht="12" customHeight="1">
      <c r="A68" s="69" t="s">
        <v>228</v>
      </c>
      <c r="B68" s="37" t="s">
        <v>229</v>
      </c>
      <c r="C68" s="59">
        <f>+C11+C18+C25+C32+C40+C52+C58+C63</f>
        <v>0</v>
      </c>
      <c r="D68" s="59">
        <f>+D11+D18+D25+D32+D40+D52+D58+D63</f>
        <v>0</v>
      </c>
      <c r="E68" s="60">
        <f>+E11+E18+E25+E32+E40+E52+E58+E63</f>
        <v>0</v>
      </c>
    </row>
    <row r="69" spans="1:5" s="40" customFormat="1" ht="12" customHeight="1">
      <c r="A69" s="70" t="s">
        <v>230</v>
      </c>
      <c r="B69" s="51" t="s">
        <v>231</v>
      </c>
      <c r="C69" s="38">
        <f>SUM(C70:C72)</f>
        <v>0</v>
      </c>
      <c r="D69" s="38">
        <f>SUM(D70:D72)</f>
        <v>0</v>
      </c>
      <c r="E69" s="39">
        <f>SUM(E70:E72)</f>
        <v>0</v>
      </c>
    </row>
    <row r="70" spans="1:5" s="40" customFormat="1" ht="12" customHeight="1">
      <c r="A70" s="41" t="s">
        <v>232</v>
      </c>
      <c r="B70" s="42" t="s">
        <v>233</v>
      </c>
      <c r="C70" s="66"/>
      <c r="D70" s="66"/>
      <c r="E70" s="68"/>
    </row>
    <row r="71" spans="1:5" s="40" customFormat="1" ht="12" customHeight="1">
      <c r="A71" s="45" t="s">
        <v>234</v>
      </c>
      <c r="B71" s="46" t="s">
        <v>235</v>
      </c>
      <c r="C71" s="66"/>
      <c r="D71" s="66"/>
      <c r="E71" s="68"/>
    </row>
    <row r="72" spans="1:5" s="40" customFormat="1" ht="12" customHeight="1">
      <c r="A72" s="48" t="s">
        <v>236</v>
      </c>
      <c r="B72" s="71" t="s">
        <v>237</v>
      </c>
      <c r="C72" s="66"/>
      <c r="D72" s="66"/>
      <c r="E72" s="68"/>
    </row>
    <row r="73" spans="1:5" s="40" customFormat="1" ht="12" customHeight="1">
      <c r="A73" s="70" t="s">
        <v>238</v>
      </c>
      <c r="B73" s="51" t="s">
        <v>239</v>
      </c>
      <c r="C73" s="38">
        <f>SUM(C74:C77)</f>
        <v>0</v>
      </c>
      <c r="D73" s="38">
        <f>SUM(D74:D77)</f>
        <v>0</v>
      </c>
      <c r="E73" s="39">
        <f>SUM(E74:E77)</f>
        <v>0</v>
      </c>
    </row>
    <row r="74" spans="1:5" s="40" customFormat="1" ht="12" customHeight="1">
      <c r="A74" s="41" t="s">
        <v>240</v>
      </c>
      <c r="B74" s="72" t="s">
        <v>241</v>
      </c>
      <c r="C74" s="66"/>
      <c r="D74" s="66"/>
      <c r="E74" s="68"/>
    </row>
    <row r="75" spans="1:5" s="40" customFormat="1" ht="12" customHeight="1">
      <c r="A75" s="45" t="s">
        <v>242</v>
      </c>
      <c r="B75" s="72" t="s">
        <v>243</v>
      </c>
      <c r="C75" s="66"/>
      <c r="D75" s="66"/>
      <c r="E75" s="68"/>
    </row>
    <row r="76" spans="1:5" s="40" customFormat="1" ht="12" customHeight="1">
      <c r="A76" s="45" t="s">
        <v>244</v>
      </c>
      <c r="B76" s="72" t="s">
        <v>245</v>
      </c>
      <c r="C76" s="66"/>
      <c r="D76" s="66"/>
      <c r="E76" s="68"/>
    </row>
    <row r="77" spans="1:5" s="40" customFormat="1" ht="12" customHeight="1">
      <c r="A77" s="48" t="s">
        <v>246</v>
      </c>
      <c r="B77" s="73" t="s">
        <v>247</v>
      </c>
      <c r="C77" s="66"/>
      <c r="D77" s="66"/>
      <c r="E77" s="68"/>
    </row>
    <row r="78" spans="1:5" s="40" customFormat="1" ht="12" customHeight="1">
      <c r="A78" s="70" t="s">
        <v>248</v>
      </c>
      <c r="B78" s="51" t="s">
        <v>249</v>
      </c>
      <c r="C78" s="38">
        <f>SUM(C79:C80)</f>
        <v>0</v>
      </c>
      <c r="D78" s="38">
        <f>SUM(D79:D80)</f>
        <v>0</v>
      </c>
      <c r="E78" s="39">
        <f>SUM(E79:E80)</f>
        <v>0</v>
      </c>
    </row>
    <row r="79" spans="1:5" s="40" customFormat="1" ht="12" customHeight="1">
      <c r="A79" s="41" t="s">
        <v>250</v>
      </c>
      <c r="B79" s="42" t="s">
        <v>251</v>
      </c>
      <c r="C79" s="66"/>
      <c r="D79" s="66"/>
      <c r="E79" s="68"/>
    </row>
    <row r="80" spans="1:5" s="40" customFormat="1" ht="12" customHeight="1">
      <c r="A80" s="48" t="s">
        <v>252</v>
      </c>
      <c r="B80" s="49" t="s">
        <v>253</v>
      </c>
      <c r="C80" s="66"/>
      <c r="D80" s="66"/>
      <c r="E80" s="68"/>
    </row>
    <row r="81" spans="1:5" s="40" customFormat="1" ht="12" customHeight="1">
      <c r="A81" s="70" t="s">
        <v>254</v>
      </c>
      <c r="B81" s="51" t="s">
        <v>255</v>
      </c>
      <c r="C81" s="38">
        <f>SUM(C82:C84)</f>
        <v>0</v>
      </c>
      <c r="D81" s="38">
        <f>SUM(D82:D84)</f>
        <v>0</v>
      </c>
      <c r="E81" s="39">
        <f>SUM(E82:E84)</f>
        <v>0</v>
      </c>
    </row>
    <row r="82" spans="1:5" s="40" customFormat="1" ht="12" customHeight="1">
      <c r="A82" s="41" t="s">
        <v>256</v>
      </c>
      <c r="B82" s="42" t="s">
        <v>257</v>
      </c>
      <c r="C82" s="66"/>
      <c r="D82" s="66"/>
      <c r="E82" s="68"/>
    </row>
    <row r="83" spans="1:5" s="40" customFormat="1" ht="12" customHeight="1">
      <c r="A83" s="45" t="s">
        <v>258</v>
      </c>
      <c r="B83" s="46" t="s">
        <v>259</v>
      </c>
      <c r="C83" s="66"/>
      <c r="D83" s="66"/>
      <c r="E83" s="68"/>
    </row>
    <row r="84" spans="1:5" s="40" customFormat="1" ht="12" customHeight="1">
      <c r="A84" s="48" t="s">
        <v>260</v>
      </c>
      <c r="B84" s="49" t="s">
        <v>261</v>
      </c>
      <c r="C84" s="66"/>
      <c r="D84" s="66"/>
      <c r="E84" s="68"/>
    </row>
    <row r="85" spans="1:5" s="40" customFormat="1" ht="12" customHeight="1">
      <c r="A85" s="70" t="s">
        <v>262</v>
      </c>
      <c r="B85" s="51" t="s">
        <v>263</v>
      </c>
      <c r="C85" s="38">
        <f>SUM(C86:C89)</f>
        <v>0</v>
      </c>
      <c r="D85" s="38">
        <f>SUM(D86:D89)</f>
        <v>0</v>
      </c>
      <c r="E85" s="39">
        <f>SUM(E86:E89)</f>
        <v>0</v>
      </c>
    </row>
    <row r="86" spans="1:5" s="40" customFormat="1" ht="12" customHeight="1">
      <c r="A86" s="75" t="s">
        <v>264</v>
      </c>
      <c r="B86" s="42" t="s">
        <v>265</v>
      </c>
      <c r="C86" s="66"/>
      <c r="D86" s="66"/>
      <c r="E86" s="68"/>
    </row>
    <row r="87" spans="1:5" s="40" customFormat="1" ht="12" customHeight="1">
      <c r="A87" s="76" t="s">
        <v>266</v>
      </c>
      <c r="B87" s="46" t="s">
        <v>267</v>
      </c>
      <c r="C87" s="66"/>
      <c r="D87" s="66"/>
      <c r="E87" s="68"/>
    </row>
    <row r="88" spans="1:5" s="40" customFormat="1" ht="12" customHeight="1">
      <c r="A88" s="76" t="s">
        <v>268</v>
      </c>
      <c r="B88" s="46" t="s">
        <v>269</v>
      </c>
      <c r="C88" s="66"/>
      <c r="D88" s="66"/>
      <c r="E88" s="68"/>
    </row>
    <row r="89" spans="1:5" s="40" customFormat="1" ht="12" customHeight="1">
      <c r="A89" s="77" t="s">
        <v>270</v>
      </c>
      <c r="B89" s="49" t="s">
        <v>271</v>
      </c>
      <c r="C89" s="66"/>
      <c r="D89" s="66"/>
      <c r="E89" s="68"/>
    </row>
    <row r="90" spans="1:5" s="40" customFormat="1" ht="12" customHeight="1">
      <c r="A90" s="70" t="s">
        <v>272</v>
      </c>
      <c r="B90" s="51" t="s">
        <v>273</v>
      </c>
      <c r="C90" s="78"/>
      <c r="D90" s="78"/>
      <c r="E90" s="79"/>
    </row>
    <row r="91" spans="1:5" s="40" customFormat="1" ht="13.5" customHeight="1">
      <c r="A91" s="70" t="s">
        <v>274</v>
      </c>
      <c r="B91" s="51" t="s">
        <v>275</v>
      </c>
      <c r="C91" s="78"/>
      <c r="D91" s="78"/>
      <c r="E91" s="79"/>
    </row>
    <row r="92" spans="1:5" s="40" customFormat="1" ht="15.75" customHeight="1">
      <c r="A92" s="70" t="s">
        <v>276</v>
      </c>
      <c r="B92" s="80" t="s">
        <v>277</v>
      </c>
      <c r="C92" s="59">
        <f>+C69+C73+C78+C81+C85+C91+C90</f>
        <v>0</v>
      </c>
      <c r="D92" s="59">
        <f>+D69+D73+D78+D81+D85+D91+D90</f>
        <v>0</v>
      </c>
      <c r="E92" s="60">
        <f>+E69+E73+E78+E81+E85+E91+E90</f>
        <v>0</v>
      </c>
    </row>
    <row r="93" spans="1:5" s="40" customFormat="1" ht="25.5" customHeight="1">
      <c r="A93" s="81" t="s">
        <v>278</v>
      </c>
      <c r="B93" s="82" t="s">
        <v>279</v>
      </c>
      <c r="C93" s="59">
        <f>+C68+C92</f>
        <v>0</v>
      </c>
      <c r="D93" s="59">
        <f>+D68+D92</f>
        <v>0</v>
      </c>
      <c r="E93" s="60">
        <f>+E68+E92</f>
        <v>0</v>
      </c>
    </row>
    <row r="94" spans="1:3" s="40" customFormat="1" ht="15" customHeight="1">
      <c r="A94" s="83"/>
      <c r="B94" s="84"/>
      <c r="C94" s="85"/>
    </row>
    <row r="95" spans="1:5" ht="16.5" customHeight="1">
      <c r="A95" s="815" t="s">
        <v>280</v>
      </c>
      <c r="B95" s="815"/>
      <c r="C95" s="815"/>
      <c r="D95" s="815"/>
      <c r="E95" s="815"/>
    </row>
    <row r="96" spans="1:5" s="87" customFormat="1" ht="16.5" customHeight="1">
      <c r="A96" s="816" t="s">
        <v>281</v>
      </c>
      <c r="B96" s="816"/>
      <c r="C96" s="86"/>
      <c r="E96" s="86" t="str">
        <f>E7</f>
        <v> Forintban!</v>
      </c>
    </row>
    <row r="97" spans="1:5" ht="15.75" customHeight="1">
      <c r="A97" s="812" t="s">
        <v>105</v>
      </c>
      <c r="B97" s="813" t="s">
        <v>282</v>
      </c>
      <c r="C97" s="814" t="str">
        <f>+CONCATENATE(LEFT(Z_ÖSSZEFÜGGÉSEK!A6,4),". évi")</f>
        <v>2018. évi</v>
      </c>
      <c r="D97" s="814"/>
      <c r="E97" s="814"/>
    </row>
    <row r="98" spans="1:5" ht="24">
      <c r="A98" s="812"/>
      <c r="B98" s="813"/>
      <c r="C98" s="29" t="s">
        <v>107</v>
      </c>
      <c r="D98" s="30" t="s">
        <v>108</v>
      </c>
      <c r="E98" s="31" t="str">
        <f>CONCATENATE(E9)</f>
        <v>2018. XII. 31.
teljesítés</v>
      </c>
    </row>
    <row r="99" spans="1:5" s="35" customFormat="1" ht="12" customHeight="1">
      <c r="A99" s="88" t="s">
        <v>109</v>
      </c>
      <c r="B99" s="89" t="s">
        <v>110</v>
      </c>
      <c r="C99" s="89" t="s">
        <v>111</v>
      </c>
      <c r="D99" s="89" t="s">
        <v>112</v>
      </c>
      <c r="E99" s="90" t="s">
        <v>113</v>
      </c>
    </row>
    <row r="100" spans="1:5" ht="12" customHeight="1">
      <c r="A100" s="91" t="s">
        <v>114</v>
      </c>
      <c r="B100" s="92" t="s">
        <v>283</v>
      </c>
      <c r="C100" s="93">
        <f>C101+C102+C103+C104+C105+C118</f>
        <v>0</v>
      </c>
      <c r="D100" s="93">
        <f>D101+D102+D103+D104+D105+D118</f>
        <v>0</v>
      </c>
      <c r="E100" s="94">
        <f>E101+E102+E103+E104+E105+E118</f>
        <v>0</v>
      </c>
    </row>
    <row r="101" spans="1:5" ht="12" customHeight="1">
      <c r="A101" s="95" t="s">
        <v>116</v>
      </c>
      <c r="B101" s="96" t="s">
        <v>284</v>
      </c>
      <c r="C101" s="148"/>
      <c r="D101" s="148"/>
      <c r="E101" s="98"/>
    </row>
    <row r="102" spans="1:5" ht="12" customHeight="1">
      <c r="A102" s="45" t="s">
        <v>118</v>
      </c>
      <c r="B102" s="99" t="s">
        <v>285</v>
      </c>
      <c r="C102" s="54"/>
      <c r="D102" s="54"/>
      <c r="E102" s="50"/>
    </row>
    <row r="103" spans="1:5" ht="12" customHeight="1">
      <c r="A103" s="45" t="s">
        <v>120</v>
      </c>
      <c r="B103" s="99" t="s">
        <v>286</v>
      </c>
      <c r="C103" s="56"/>
      <c r="D103" s="56"/>
      <c r="E103" s="57"/>
    </row>
    <row r="104" spans="1:5" ht="12" customHeight="1">
      <c r="A104" s="45" t="s">
        <v>122</v>
      </c>
      <c r="B104" s="100" t="s">
        <v>287</v>
      </c>
      <c r="C104" s="56"/>
      <c r="D104" s="56"/>
      <c r="E104" s="57"/>
    </row>
    <row r="105" spans="1:5" ht="12" customHeight="1">
      <c r="A105" s="45" t="s">
        <v>288</v>
      </c>
      <c r="B105" s="101" t="s">
        <v>289</v>
      </c>
      <c r="C105" s="56"/>
      <c r="D105" s="56"/>
      <c r="E105" s="57"/>
    </row>
    <row r="106" spans="1:5" ht="12" customHeight="1">
      <c r="A106" s="45" t="s">
        <v>126</v>
      </c>
      <c r="B106" s="99" t="s">
        <v>290</v>
      </c>
      <c r="C106" s="56"/>
      <c r="D106" s="56"/>
      <c r="E106" s="57"/>
    </row>
    <row r="107" spans="1:5" ht="12" customHeight="1">
      <c r="A107" s="45" t="s">
        <v>291</v>
      </c>
      <c r="B107" s="102" t="s">
        <v>292</v>
      </c>
      <c r="C107" s="56"/>
      <c r="D107" s="56"/>
      <c r="E107" s="57"/>
    </row>
    <row r="108" spans="1:5" ht="12" customHeight="1">
      <c r="A108" s="45" t="s">
        <v>293</v>
      </c>
      <c r="B108" s="102" t="s">
        <v>294</v>
      </c>
      <c r="C108" s="56"/>
      <c r="D108" s="56"/>
      <c r="E108" s="57"/>
    </row>
    <row r="109" spans="1:5" ht="12" customHeight="1">
      <c r="A109" s="45" t="s">
        <v>295</v>
      </c>
      <c r="B109" s="103" t="s">
        <v>296</v>
      </c>
      <c r="C109" s="56"/>
      <c r="D109" s="56"/>
      <c r="E109" s="57"/>
    </row>
    <row r="110" spans="1:5" ht="12" customHeight="1">
      <c r="A110" s="45" t="s">
        <v>297</v>
      </c>
      <c r="B110" s="104" t="s">
        <v>298</v>
      </c>
      <c r="C110" s="56"/>
      <c r="D110" s="56"/>
      <c r="E110" s="57"/>
    </row>
    <row r="111" spans="1:5" ht="12" customHeight="1">
      <c r="A111" s="45" t="s">
        <v>299</v>
      </c>
      <c r="B111" s="104" t="s">
        <v>300</v>
      </c>
      <c r="C111" s="56"/>
      <c r="D111" s="56"/>
      <c r="E111" s="57"/>
    </row>
    <row r="112" spans="1:5" ht="12" customHeight="1">
      <c r="A112" s="45" t="s">
        <v>301</v>
      </c>
      <c r="B112" s="103" t="s">
        <v>302</v>
      </c>
      <c r="C112" s="56"/>
      <c r="D112" s="56"/>
      <c r="E112" s="57"/>
    </row>
    <row r="113" spans="1:5" ht="12" customHeight="1">
      <c r="A113" s="45" t="s">
        <v>303</v>
      </c>
      <c r="B113" s="103" t="s">
        <v>304</v>
      </c>
      <c r="C113" s="56"/>
      <c r="D113" s="56"/>
      <c r="E113" s="57"/>
    </row>
    <row r="114" spans="1:5" ht="12" customHeight="1">
      <c r="A114" s="45" t="s">
        <v>305</v>
      </c>
      <c r="B114" s="104" t="s">
        <v>306</v>
      </c>
      <c r="C114" s="56"/>
      <c r="D114" s="56"/>
      <c r="E114" s="57"/>
    </row>
    <row r="115" spans="1:5" ht="12" customHeight="1">
      <c r="A115" s="105" t="s">
        <v>307</v>
      </c>
      <c r="B115" s="102" t="s">
        <v>308</v>
      </c>
      <c r="C115" s="56"/>
      <c r="D115" s="56"/>
      <c r="E115" s="57"/>
    </row>
    <row r="116" spans="1:5" ht="12" customHeight="1">
      <c r="A116" s="45" t="s">
        <v>309</v>
      </c>
      <c r="B116" s="102" t="s">
        <v>310</v>
      </c>
      <c r="C116" s="56"/>
      <c r="D116" s="56"/>
      <c r="E116" s="57"/>
    </row>
    <row r="117" spans="1:5" ht="12" customHeight="1">
      <c r="A117" s="48" t="s">
        <v>311</v>
      </c>
      <c r="B117" s="102" t="s">
        <v>312</v>
      </c>
      <c r="C117" s="56"/>
      <c r="D117" s="56"/>
      <c r="E117" s="57"/>
    </row>
    <row r="118" spans="1:5" ht="12" customHeight="1">
      <c r="A118" s="45" t="s">
        <v>313</v>
      </c>
      <c r="B118" s="100" t="s">
        <v>314</v>
      </c>
      <c r="C118" s="54"/>
      <c r="D118" s="54"/>
      <c r="E118" s="50"/>
    </row>
    <row r="119" spans="1:5" ht="12" customHeight="1">
      <c r="A119" s="45" t="s">
        <v>315</v>
      </c>
      <c r="B119" s="99" t="s">
        <v>316</v>
      </c>
      <c r="C119" s="54"/>
      <c r="D119" s="54"/>
      <c r="E119" s="50"/>
    </row>
    <row r="120" spans="1:5" ht="12" customHeight="1">
      <c r="A120" s="106" t="s">
        <v>317</v>
      </c>
      <c r="B120" s="107" t="s">
        <v>318</v>
      </c>
      <c r="C120" s="121"/>
      <c r="D120" s="121"/>
      <c r="E120" s="109"/>
    </row>
    <row r="121" spans="1:5" ht="12" customHeight="1">
      <c r="A121" s="110" t="s">
        <v>128</v>
      </c>
      <c r="B121" s="111" t="s">
        <v>319</v>
      </c>
      <c r="C121" s="112">
        <f>+C122+C124+C126</f>
        <v>0</v>
      </c>
      <c r="D121" s="38">
        <f>+D122+D124+D126</f>
        <v>0</v>
      </c>
      <c r="E121" s="113">
        <f>+E122+E124+E126</f>
        <v>0</v>
      </c>
    </row>
    <row r="122" spans="1:5" ht="12" customHeight="1">
      <c r="A122" s="41" t="s">
        <v>130</v>
      </c>
      <c r="B122" s="99" t="s">
        <v>320</v>
      </c>
      <c r="C122" s="52"/>
      <c r="D122" s="149"/>
      <c r="E122" s="53"/>
    </row>
    <row r="123" spans="1:5" ht="12" customHeight="1">
      <c r="A123" s="41" t="s">
        <v>132</v>
      </c>
      <c r="B123" s="114" t="s">
        <v>321</v>
      </c>
      <c r="C123" s="52"/>
      <c r="D123" s="149"/>
      <c r="E123" s="53"/>
    </row>
    <row r="124" spans="1:5" ht="12" customHeight="1">
      <c r="A124" s="41" t="s">
        <v>134</v>
      </c>
      <c r="B124" s="114" t="s">
        <v>322</v>
      </c>
      <c r="C124" s="54"/>
      <c r="D124" s="118"/>
      <c r="E124" s="50"/>
    </row>
    <row r="125" spans="1:5" ht="12" customHeight="1">
      <c r="A125" s="41" t="s">
        <v>136</v>
      </c>
      <c r="B125" s="114" t="s">
        <v>323</v>
      </c>
      <c r="C125" s="54"/>
      <c r="D125" s="118"/>
      <c r="E125" s="50"/>
    </row>
    <row r="126" spans="1:5" ht="12" customHeight="1">
      <c r="A126" s="41" t="s">
        <v>138</v>
      </c>
      <c r="B126" s="49" t="s">
        <v>324</v>
      </c>
      <c r="C126" s="54"/>
      <c r="D126" s="118"/>
      <c r="E126" s="50"/>
    </row>
    <row r="127" spans="1:5" ht="12" customHeight="1">
      <c r="A127" s="41" t="s">
        <v>140</v>
      </c>
      <c r="B127" s="47" t="s">
        <v>325</v>
      </c>
      <c r="C127" s="54"/>
      <c r="D127" s="118"/>
      <c r="E127" s="50"/>
    </row>
    <row r="128" spans="1:5" ht="12" customHeight="1">
      <c r="A128" s="41" t="s">
        <v>326</v>
      </c>
      <c r="B128" s="115" t="s">
        <v>327</v>
      </c>
      <c r="C128" s="54"/>
      <c r="D128" s="118"/>
      <c r="E128" s="50"/>
    </row>
    <row r="129" spans="1:5" ht="15.75">
      <c r="A129" s="41" t="s">
        <v>328</v>
      </c>
      <c r="B129" s="104" t="s">
        <v>300</v>
      </c>
      <c r="C129" s="54"/>
      <c r="D129" s="118"/>
      <c r="E129" s="50"/>
    </row>
    <row r="130" spans="1:5" ht="12" customHeight="1">
      <c r="A130" s="41" t="s">
        <v>329</v>
      </c>
      <c r="B130" s="104" t="s">
        <v>330</v>
      </c>
      <c r="C130" s="54"/>
      <c r="D130" s="118"/>
      <c r="E130" s="50"/>
    </row>
    <row r="131" spans="1:5" ht="12" customHeight="1">
      <c r="A131" s="41" t="s">
        <v>331</v>
      </c>
      <c r="B131" s="104" t="s">
        <v>332</v>
      </c>
      <c r="C131" s="54"/>
      <c r="D131" s="118"/>
      <c r="E131" s="50"/>
    </row>
    <row r="132" spans="1:5" ht="12" customHeight="1">
      <c r="A132" s="41" t="s">
        <v>333</v>
      </c>
      <c r="B132" s="104" t="s">
        <v>306</v>
      </c>
      <c r="C132" s="54"/>
      <c r="D132" s="118"/>
      <c r="E132" s="50"/>
    </row>
    <row r="133" spans="1:5" ht="12" customHeight="1">
      <c r="A133" s="41" t="s">
        <v>334</v>
      </c>
      <c r="B133" s="104" t="s">
        <v>335</v>
      </c>
      <c r="C133" s="54"/>
      <c r="D133" s="118"/>
      <c r="E133" s="50"/>
    </row>
    <row r="134" spans="1:5" ht="15.75">
      <c r="A134" s="105" t="s">
        <v>336</v>
      </c>
      <c r="B134" s="104" t="s">
        <v>337</v>
      </c>
      <c r="C134" s="56"/>
      <c r="D134" s="147"/>
      <c r="E134" s="57"/>
    </row>
    <row r="135" spans="1:5" ht="12" customHeight="1">
      <c r="A135" s="36" t="s">
        <v>142</v>
      </c>
      <c r="B135" s="116" t="s">
        <v>338</v>
      </c>
      <c r="C135" s="38">
        <f>+C100+C121</f>
        <v>0</v>
      </c>
      <c r="D135" s="117">
        <f>+D100+D121</f>
        <v>0</v>
      </c>
      <c r="E135" s="39">
        <f>+E100+E121</f>
        <v>0</v>
      </c>
    </row>
    <row r="136" spans="1:5" ht="12" customHeight="1">
      <c r="A136" s="36" t="s">
        <v>339</v>
      </c>
      <c r="B136" s="116" t="s">
        <v>340</v>
      </c>
      <c r="C136" s="38">
        <f>+C137+C138+C139</f>
        <v>0</v>
      </c>
      <c r="D136" s="117">
        <f>+D137+D138+D139</f>
        <v>0</v>
      </c>
      <c r="E136" s="39">
        <f>+E137+E138+E139</f>
        <v>0</v>
      </c>
    </row>
    <row r="137" spans="1:5" ht="12" customHeight="1">
      <c r="A137" s="41" t="s">
        <v>158</v>
      </c>
      <c r="B137" s="114" t="s">
        <v>341</v>
      </c>
      <c r="C137" s="54"/>
      <c r="D137" s="118"/>
      <c r="E137" s="50"/>
    </row>
    <row r="138" spans="1:5" ht="12" customHeight="1">
      <c r="A138" s="41" t="s">
        <v>160</v>
      </c>
      <c r="B138" s="114" t="s">
        <v>342</v>
      </c>
      <c r="C138" s="54"/>
      <c r="D138" s="118"/>
      <c r="E138" s="50"/>
    </row>
    <row r="139" spans="1:5" ht="12" customHeight="1">
      <c r="A139" s="105" t="s">
        <v>162</v>
      </c>
      <c r="B139" s="114" t="s">
        <v>343</v>
      </c>
      <c r="C139" s="54"/>
      <c r="D139" s="118"/>
      <c r="E139" s="50"/>
    </row>
    <row r="140" spans="1:5" ht="12" customHeight="1">
      <c r="A140" s="36" t="s">
        <v>172</v>
      </c>
      <c r="B140" s="116" t="s">
        <v>344</v>
      </c>
      <c r="C140" s="38">
        <f>SUM(C141:C146)</f>
        <v>0</v>
      </c>
      <c r="D140" s="117">
        <f>SUM(D141:D146)</f>
        <v>0</v>
      </c>
      <c r="E140" s="39">
        <f>SUM(E141:E146)</f>
        <v>0</v>
      </c>
    </row>
    <row r="141" spans="1:5" ht="12" customHeight="1">
      <c r="A141" s="41" t="s">
        <v>174</v>
      </c>
      <c r="B141" s="119" t="s">
        <v>345</v>
      </c>
      <c r="C141" s="54"/>
      <c r="D141" s="118"/>
      <c r="E141" s="50"/>
    </row>
    <row r="142" spans="1:5" ht="12" customHeight="1">
      <c r="A142" s="41" t="s">
        <v>176</v>
      </c>
      <c r="B142" s="119" t="s">
        <v>346</v>
      </c>
      <c r="C142" s="54"/>
      <c r="D142" s="118"/>
      <c r="E142" s="50"/>
    </row>
    <row r="143" spans="1:5" ht="12" customHeight="1">
      <c r="A143" s="41" t="s">
        <v>178</v>
      </c>
      <c r="B143" s="119" t="s">
        <v>347</v>
      </c>
      <c r="C143" s="54"/>
      <c r="D143" s="118"/>
      <c r="E143" s="50"/>
    </row>
    <row r="144" spans="1:5" ht="12" customHeight="1">
      <c r="A144" s="41" t="s">
        <v>180</v>
      </c>
      <c r="B144" s="119" t="s">
        <v>348</v>
      </c>
      <c r="C144" s="54"/>
      <c r="D144" s="118"/>
      <c r="E144" s="50"/>
    </row>
    <row r="145" spans="1:5" ht="12" customHeight="1">
      <c r="A145" s="41" t="s">
        <v>182</v>
      </c>
      <c r="B145" s="119" t="s">
        <v>349</v>
      </c>
      <c r="C145" s="54"/>
      <c r="D145" s="118"/>
      <c r="E145" s="50"/>
    </row>
    <row r="146" spans="1:5" ht="12" customHeight="1">
      <c r="A146" s="106" t="s">
        <v>184</v>
      </c>
      <c r="B146" s="120" t="s">
        <v>350</v>
      </c>
      <c r="C146" s="121"/>
      <c r="D146" s="122"/>
      <c r="E146" s="109"/>
    </row>
    <row r="147" spans="1:5" ht="12" customHeight="1">
      <c r="A147" s="36" t="s">
        <v>196</v>
      </c>
      <c r="B147" s="116" t="s">
        <v>351</v>
      </c>
      <c r="C147" s="59">
        <f>+C148+C149+C150+C151</f>
        <v>0</v>
      </c>
      <c r="D147" s="123">
        <f>+D148+D149+D150+D151</f>
        <v>0</v>
      </c>
      <c r="E147" s="60">
        <f>+E148+E149+E150+E151</f>
        <v>0</v>
      </c>
    </row>
    <row r="148" spans="1:5" ht="12" customHeight="1">
      <c r="A148" s="41" t="s">
        <v>198</v>
      </c>
      <c r="B148" s="119" t="s">
        <v>352</v>
      </c>
      <c r="C148" s="54"/>
      <c r="D148" s="118"/>
      <c r="E148" s="50"/>
    </row>
    <row r="149" spans="1:5" ht="12" customHeight="1">
      <c r="A149" s="41" t="s">
        <v>200</v>
      </c>
      <c r="B149" s="119" t="s">
        <v>353</v>
      </c>
      <c r="C149" s="54"/>
      <c r="D149" s="118"/>
      <c r="E149" s="50"/>
    </row>
    <row r="150" spans="1:5" ht="12" customHeight="1">
      <c r="A150" s="41" t="s">
        <v>202</v>
      </c>
      <c r="B150" s="119" t="s">
        <v>354</v>
      </c>
      <c r="C150" s="54"/>
      <c r="D150" s="118"/>
      <c r="E150" s="50"/>
    </row>
    <row r="151" spans="1:5" ht="12" customHeight="1">
      <c r="A151" s="105" t="s">
        <v>204</v>
      </c>
      <c r="B151" s="124" t="s">
        <v>355</v>
      </c>
      <c r="C151" s="54"/>
      <c r="D151" s="118"/>
      <c r="E151" s="50"/>
    </row>
    <row r="152" spans="1:5" ht="12" customHeight="1">
      <c r="A152" s="36" t="s">
        <v>356</v>
      </c>
      <c r="B152" s="116" t="s">
        <v>357</v>
      </c>
      <c r="C152" s="125">
        <f>SUM(C153:C157)</f>
        <v>0</v>
      </c>
      <c r="D152" s="126">
        <f>SUM(D153:D157)</f>
        <v>0</v>
      </c>
      <c r="E152" s="127">
        <f>SUM(E153:E157)</f>
        <v>0</v>
      </c>
    </row>
    <row r="153" spans="1:5" ht="12" customHeight="1">
      <c r="A153" s="41" t="s">
        <v>210</v>
      </c>
      <c r="B153" s="119" t="s">
        <v>358</v>
      </c>
      <c r="C153" s="54"/>
      <c r="D153" s="118"/>
      <c r="E153" s="50"/>
    </row>
    <row r="154" spans="1:5" ht="12" customHeight="1">
      <c r="A154" s="41" t="s">
        <v>212</v>
      </c>
      <c r="B154" s="119" t="s">
        <v>359</v>
      </c>
      <c r="C154" s="54"/>
      <c r="D154" s="118"/>
      <c r="E154" s="50"/>
    </row>
    <row r="155" spans="1:5" ht="12" customHeight="1">
      <c r="A155" s="41" t="s">
        <v>214</v>
      </c>
      <c r="B155" s="119" t="s">
        <v>360</v>
      </c>
      <c r="C155" s="54"/>
      <c r="D155" s="118"/>
      <c r="E155" s="50"/>
    </row>
    <row r="156" spans="1:5" ht="12" customHeight="1">
      <c r="A156" s="41" t="s">
        <v>216</v>
      </c>
      <c r="B156" s="119" t="s">
        <v>361</v>
      </c>
      <c r="C156" s="54"/>
      <c r="D156" s="118"/>
      <c r="E156" s="50"/>
    </row>
    <row r="157" spans="1:5" ht="12" customHeight="1">
      <c r="A157" s="41" t="s">
        <v>362</v>
      </c>
      <c r="B157" s="119" t="s">
        <v>363</v>
      </c>
      <c r="C157" s="54"/>
      <c r="D157" s="118"/>
      <c r="E157" s="50"/>
    </row>
    <row r="158" spans="1:5" ht="12" customHeight="1">
      <c r="A158" s="36" t="s">
        <v>218</v>
      </c>
      <c r="B158" s="116" t="s">
        <v>364</v>
      </c>
      <c r="C158" s="128"/>
      <c r="D158" s="129"/>
      <c r="E158" s="130"/>
    </row>
    <row r="159" spans="1:5" ht="12" customHeight="1">
      <c r="A159" s="36" t="s">
        <v>365</v>
      </c>
      <c r="B159" s="116" t="s">
        <v>366</v>
      </c>
      <c r="C159" s="128"/>
      <c r="D159" s="129"/>
      <c r="E159" s="130"/>
    </row>
    <row r="160" spans="1:9" ht="15" customHeight="1">
      <c r="A160" s="36" t="s">
        <v>367</v>
      </c>
      <c r="B160" s="116" t="s">
        <v>368</v>
      </c>
      <c r="C160" s="131">
        <f>+C136+C140+C147+C152+C158+C159</f>
        <v>0</v>
      </c>
      <c r="D160" s="132">
        <f>+D136+D140+D147+D152+D158+D159</f>
        <v>0</v>
      </c>
      <c r="E160" s="133">
        <f>+E136+E140+E147+E152+E158+E159</f>
        <v>0</v>
      </c>
      <c r="F160" s="134"/>
      <c r="G160" s="135"/>
      <c r="H160" s="135"/>
      <c r="I160" s="135"/>
    </row>
    <row r="161" spans="1:5" s="40" customFormat="1" ht="12.75" customHeight="1">
      <c r="A161" s="136" t="s">
        <v>369</v>
      </c>
      <c r="B161" s="137" t="s">
        <v>370</v>
      </c>
      <c r="C161" s="131">
        <f>+C135+C160</f>
        <v>0</v>
      </c>
      <c r="D161" s="132">
        <f>+D135+D160</f>
        <v>0</v>
      </c>
      <c r="E161" s="133">
        <f>+E135+E160</f>
        <v>0</v>
      </c>
    </row>
    <row r="162" spans="3:4" ht="15.75">
      <c r="C162" s="139">
        <f>C93-C161</f>
        <v>0</v>
      </c>
      <c r="D162" s="139">
        <f>D93-D161</f>
        <v>0</v>
      </c>
    </row>
    <row r="163" spans="1:5" ht="15.75">
      <c r="A163" s="810" t="s">
        <v>371</v>
      </c>
      <c r="B163" s="810"/>
      <c r="C163" s="810"/>
      <c r="D163" s="810"/>
      <c r="E163" s="810"/>
    </row>
    <row r="164" spans="1:5" ht="15" customHeight="1">
      <c r="A164" s="811" t="s">
        <v>372</v>
      </c>
      <c r="B164" s="811"/>
      <c r="C164" s="140"/>
      <c r="E164" s="140" t="str">
        <f>E96</f>
        <v> Forintban!</v>
      </c>
    </row>
    <row r="165" spans="1:5" ht="25.5" customHeight="1">
      <c r="A165" s="36">
        <v>1</v>
      </c>
      <c r="B165" s="141" t="s">
        <v>373</v>
      </c>
      <c r="C165" s="142">
        <f>+C68-C135</f>
        <v>0</v>
      </c>
      <c r="D165" s="38">
        <f>+D68-D135</f>
        <v>0</v>
      </c>
      <c r="E165" s="39">
        <f>+E68-E135</f>
        <v>0</v>
      </c>
    </row>
    <row r="166" spans="1:5" ht="32.25" customHeight="1">
      <c r="A166" s="36" t="s">
        <v>128</v>
      </c>
      <c r="B166" s="141" t="s">
        <v>374</v>
      </c>
      <c r="C166" s="38">
        <f>+C92-C160</f>
        <v>0</v>
      </c>
      <c r="D166" s="38">
        <f>+D92-D160</f>
        <v>0</v>
      </c>
      <c r="E166" s="39">
        <f>+E92-E160</f>
        <v>0</v>
      </c>
    </row>
  </sheetData>
  <sheetProtection selectLockedCells="1" selectUnlockedCells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4444444444444" right="0.6694444444444444" top="0.8659722222222223" bottom="0.8659722222222223" header="0.5118055555555555" footer="0.5118055555555555"/>
  <pageSetup horizontalDpi="300" verticalDpi="300" orientation="portrait" paperSize="9" scale="72"/>
  <rowBreaks count="2" manualBreakCount="2">
    <brk id="68" max="255" man="1"/>
    <brk id="146" max="25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50"/>
  </sheetPr>
  <dimension ref="A1:E71"/>
  <sheetViews>
    <sheetView zoomScale="120" zoomScaleNormal="120" zoomScaleSheetLayoutView="120" zoomScalePageLayoutView="0" workbookViewId="0" topLeftCell="A1">
      <selection activeCell="H16" sqref="H16"/>
    </sheetView>
  </sheetViews>
  <sheetFormatPr defaultColWidth="12.00390625" defaultRowHeight="12.75"/>
  <cols>
    <col min="1" max="1" width="67.125" style="651" customWidth="1"/>
    <col min="2" max="2" width="6.125" style="652" customWidth="1"/>
    <col min="3" max="4" width="12.125" style="651" customWidth="1"/>
    <col min="5" max="5" width="12.125" style="653" customWidth="1"/>
    <col min="6" max="16384" width="12.00390625" style="651" customWidth="1"/>
  </cols>
  <sheetData>
    <row r="1" spans="1:5" ht="15.75">
      <c r="A1" s="892" t="str">
        <f>CONCATENATE("7.1. tájékoztató tábla ",Z_ALAPADATOK!A7," ",Z_ALAPADATOK!B7," ",Z_ALAPADATOK!C7," ",Z_ALAPADATOK!D7," ",Z_ALAPADATOK!E7," ",Z_ALAPADATOK!F7," ",Z_ALAPADATOK!G7," ",Z_ALAPADATOK!H7)</f>
        <v>7.1. tájékoztató tábla a … / 2019. ( … ) önkormányzati rendelethez</v>
      </c>
      <c r="B1" s="892"/>
      <c r="C1" s="892"/>
      <c r="D1" s="892"/>
      <c r="E1" s="892"/>
    </row>
    <row r="2" spans="1:5" ht="15.75" customHeight="1">
      <c r="A2" s="893" t="s">
        <v>786</v>
      </c>
      <c r="B2" s="893"/>
      <c r="C2" s="893"/>
      <c r="D2" s="893"/>
      <c r="E2" s="893"/>
    </row>
    <row r="3" spans="1:5" ht="16.5" customHeight="1">
      <c r="A3" s="893" t="s">
        <v>787</v>
      </c>
      <c r="B3" s="893"/>
      <c r="C3" s="893"/>
      <c r="D3" s="893"/>
      <c r="E3" s="893"/>
    </row>
    <row r="4" spans="1:5" ht="16.5" customHeight="1">
      <c r="A4" s="894" t="s">
        <v>788</v>
      </c>
      <c r="B4" s="894"/>
      <c r="C4" s="894"/>
      <c r="D4" s="894"/>
      <c r="E4" s="894"/>
    </row>
    <row r="5" spans="1:5" ht="16.5" customHeight="1">
      <c r="A5" s="654"/>
      <c r="B5" s="655"/>
      <c r="C5" s="895" t="str">
        <f>'Z_6.tájékoztató_t.'!E6</f>
        <v>E</v>
      </c>
      <c r="D5" s="895"/>
      <c r="E5" s="895"/>
    </row>
    <row r="6" spans="1:5" ht="15.75" customHeight="1">
      <c r="A6" s="896" t="s">
        <v>789</v>
      </c>
      <c r="B6" s="897" t="s">
        <v>790</v>
      </c>
      <c r="C6" s="898" t="s">
        <v>791</v>
      </c>
      <c r="D6" s="898" t="s">
        <v>792</v>
      </c>
      <c r="E6" s="890" t="s">
        <v>793</v>
      </c>
    </row>
    <row r="7" spans="1:5" ht="11.25" customHeight="1">
      <c r="A7" s="896"/>
      <c r="B7" s="897"/>
      <c r="C7" s="898"/>
      <c r="D7" s="898"/>
      <c r="E7" s="890"/>
    </row>
    <row r="8" spans="1:5" ht="15.75" customHeight="1">
      <c r="A8" s="896"/>
      <c r="B8" s="897"/>
      <c r="C8" s="891" t="s">
        <v>794</v>
      </c>
      <c r="D8" s="891"/>
      <c r="E8" s="891"/>
    </row>
    <row r="9" spans="1:5" s="659" customFormat="1" ht="15.75">
      <c r="A9" s="656" t="s">
        <v>795</v>
      </c>
      <c r="B9" s="657" t="s">
        <v>110</v>
      </c>
      <c r="C9" s="657" t="s">
        <v>111</v>
      </c>
      <c r="D9" s="657" t="s">
        <v>112</v>
      </c>
      <c r="E9" s="658" t="s">
        <v>113</v>
      </c>
    </row>
    <row r="10" spans="1:5" s="664" customFormat="1" ht="15.75">
      <c r="A10" s="660" t="s">
        <v>796</v>
      </c>
      <c r="B10" s="661" t="s">
        <v>797</v>
      </c>
      <c r="C10" s="662"/>
      <c r="D10" s="662"/>
      <c r="E10" s="663"/>
    </row>
    <row r="11" spans="1:5" s="664" customFormat="1" ht="15.75">
      <c r="A11" s="665" t="s">
        <v>798</v>
      </c>
      <c r="B11" s="666" t="s">
        <v>799</v>
      </c>
      <c r="C11" s="667">
        <f>+C12+C17+C22+C27+C32</f>
        <v>0</v>
      </c>
      <c r="D11" s="667">
        <f>+D12+D17+D22+D27+D32</f>
        <v>0</v>
      </c>
      <c r="E11" s="668">
        <f>+E12+E17+E22+E27+E32</f>
        <v>0</v>
      </c>
    </row>
    <row r="12" spans="1:5" s="664" customFormat="1" ht="15.75">
      <c r="A12" s="665" t="s">
        <v>800</v>
      </c>
      <c r="B12" s="666" t="s">
        <v>801</v>
      </c>
      <c r="C12" s="667">
        <f>+C13+C14+C15+C16</f>
        <v>0</v>
      </c>
      <c r="D12" s="667">
        <f>+D13+D14+D15+D16</f>
        <v>0</v>
      </c>
      <c r="E12" s="668">
        <f>+E13+E14+E15+E16</f>
        <v>0</v>
      </c>
    </row>
    <row r="13" spans="1:5" s="664" customFormat="1" ht="15.75">
      <c r="A13" s="669" t="s">
        <v>802</v>
      </c>
      <c r="B13" s="666" t="s">
        <v>803</v>
      </c>
      <c r="C13" s="670"/>
      <c r="D13" s="670"/>
      <c r="E13" s="671"/>
    </row>
    <row r="14" spans="1:5" s="664" customFormat="1" ht="26.25" customHeight="1">
      <c r="A14" s="669" t="s">
        <v>804</v>
      </c>
      <c r="B14" s="666" t="s">
        <v>805</v>
      </c>
      <c r="C14" s="672"/>
      <c r="D14" s="672"/>
      <c r="E14" s="673"/>
    </row>
    <row r="15" spans="1:5" s="664" customFormat="1" ht="15.75">
      <c r="A15" s="669" t="s">
        <v>806</v>
      </c>
      <c r="B15" s="666" t="s">
        <v>807</v>
      </c>
      <c r="C15" s="672"/>
      <c r="D15" s="672"/>
      <c r="E15" s="673"/>
    </row>
    <row r="16" spans="1:5" s="664" customFormat="1" ht="15.75">
      <c r="A16" s="669" t="s">
        <v>808</v>
      </c>
      <c r="B16" s="666" t="s">
        <v>809</v>
      </c>
      <c r="C16" s="672"/>
      <c r="D16" s="672"/>
      <c r="E16" s="673"/>
    </row>
    <row r="17" spans="1:5" s="664" customFormat="1" ht="15.75">
      <c r="A17" s="665" t="s">
        <v>810</v>
      </c>
      <c r="B17" s="666" t="s">
        <v>811</v>
      </c>
      <c r="C17" s="674">
        <f>+C18+C19+C20+C21</f>
        <v>0</v>
      </c>
      <c r="D17" s="674">
        <f>+D18+D19+D20+D21</f>
        <v>0</v>
      </c>
      <c r="E17" s="675">
        <f>+E18+E19+E20+E21</f>
        <v>0</v>
      </c>
    </row>
    <row r="18" spans="1:5" s="664" customFormat="1" ht="15.75">
      <c r="A18" s="669" t="s">
        <v>812</v>
      </c>
      <c r="B18" s="666" t="s">
        <v>813</v>
      </c>
      <c r="C18" s="672"/>
      <c r="D18" s="672"/>
      <c r="E18" s="673"/>
    </row>
    <row r="19" spans="1:5" s="664" customFormat="1" ht="22.5">
      <c r="A19" s="669" t="s">
        <v>814</v>
      </c>
      <c r="B19" s="666" t="s">
        <v>367</v>
      </c>
      <c r="C19" s="672"/>
      <c r="D19" s="672"/>
      <c r="E19" s="673"/>
    </row>
    <row r="20" spans="1:5" s="664" customFormat="1" ht="15.75">
      <c r="A20" s="669" t="s">
        <v>815</v>
      </c>
      <c r="B20" s="666" t="s">
        <v>369</v>
      </c>
      <c r="C20" s="672"/>
      <c r="D20" s="672"/>
      <c r="E20" s="673"/>
    </row>
    <row r="21" spans="1:5" s="664" customFormat="1" ht="15.75">
      <c r="A21" s="669" t="s">
        <v>816</v>
      </c>
      <c r="B21" s="666" t="s">
        <v>396</v>
      </c>
      <c r="C21" s="672"/>
      <c r="D21" s="672"/>
      <c r="E21" s="673"/>
    </row>
    <row r="22" spans="1:5" s="664" customFormat="1" ht="15.75">
      <c r="A22" s="665" t="s">
        <v>817</v>
      </c>
      <c r="B22" s="666" t="s">
        <v>397</v>
      </c>
      <c r="C22" s="674">
        <f>+C23+C24+C25+C26</f>
        <v>0</v>
      </c>
      <c r="D22" s="674">
        <f>+D23+D24+D25+D26</f>
        <v>0</v>
      </c>
      <c r="E22" s="675">
        <f>+E23+E24+E25+E26</f>
        <v>0</v>
      </c>
    </row>
    <row r="23" spans="1:5" s="664" customFormat="1" ht="15.75">
      <c r="A23" s="669" t="s">
        <v>818</v>
      </c>
      <c r="B23" s="666" t="s">
        <v>400</v>
      </c>
      <c r="C23" s="672"/>
      <c r="D23" s="672"/>
      <c r="E23" s="673"/>
    </row>
    <row r="24" spans="1:5" s="664" customFormat="1" ht="15.75">
      <c r="A24" s="669" t="s">
        <v>819</v>
      </c>
      <c r="B24" s="666" t="s">
        <v>403</v>
      </c>
      <c r="C24" s="672"/>
      <c r="D24" s="672"/>
      <c r="E24" s="673"/>
    </row>
    <row r="25" spans="1:5" s="664" customFormat="1" ht="15.75">
      <c r="A25" s="669" t="s">
        <v>820</v>
      </c>
      <c r="B25" s="666" t="s">
        <v>406</v>
      </c>
      <c r="C25" s="672"/>
      <c r="D25" s="672"/>
      <c r="E25" s="673"/>
    </row>
    <row r="26" spans="1:5" s="664" customFormat="1" ht="15.75">
      <c r="A26" s="669" t="s">
        <v>821</v>
      </c>
      <c r="B26" s="666" t="s">
        <v>409</v>
      </c>
      <c r="C26" s="672"/>
      <c r="D26" s="672"/>
      <c r="E26" s="673"/>
    </row>
    <row r="27" spans="1:5" s="664" customFormat="1" ht="15.75">
      <c r="A27" s="665" t="s">
        <v>822</v>
      </c>
      <c r="B27" s="666" t="s">
        <v>412</v>
      </c>
      <c r="C27" s="674">
        <f>+C28+C29+C30+C31</f>
        <v>0</v>
      </c>
      <c r="D27" s="674">
        <f>+D28+D29+D30+D31</f>
        <v>0</v>
      </c>
      <c r="E27" s="675">
        <f>+E28+E29+E30+E31</f>
        <v>0</v>
      </c>
    </row>
    <row r="28" spans="1:5" s="664" customFormat="1" ht="15.75">
      <c r="A28" s="669" t="s">
        <v>823</v>
      </c>
      <c r="B28" s="666" t="s">
        <v>415</v>
      </c>
      <c r="C28" s="672"/>
      <c r="D28" s="672"/>
      <c r="E28" s="673"/>
    </row>
    <row r="29" spans="1:5" s="664" customFormat="1" ht="15.75">
      <c r="A29" s="669" t="s">
        <v>824</v>
      </c>
      <c r="B29" s="666" t="s">
        <v>418</v>
      </c>
      <c r="C29" s="672"/>
      <c r="D29" s="672"/>
      <c r="E29" s="673"/>
    </row>
    <row r="30" spans="1:5" s="664" customFormat="1" ht="15.75">
      <c r="A30" s="669" t="s">
        <v>825</v>
      </c>
      <c r="B30" s="666" t="s">
        <v>420</v>
      </c>
      <c r="C30" s="672"/>
      <c r="D30" s="672"/>
      <c r="E30" s="673"/>
    </row>
    <row r="31" spans="1:5" s="664" customFormat="1" ht="15.75">
      <c r="A31" s="669" t="s">
        <v>826</v>
      </c>
      <c r="B31" s="666" t="s">
        <v>422</v>
      </c>
      <c r="C31" s="672"/>
      <c r="D31" s="672"/>
      <c r="E31" s="673"/>
    </row>
    <row r="32" spans="1:5" s="664" customFormat="1" ht="15.75">
      <c r="A32" s="665" t="s">
        <v>827</v>
      </c>
      <c r="B32" s="666" t="s">
        <v>423</v>
      </c>
      <c r="C32" s="674">
        <f>+C33+C34+C35+C36</f>
        <v>0</v>
      </c>
      <c r="D32" s="674">
        <f>+D33+D34+D35+D36</f>
        <v>0</v>
      </c>
      <c r="E32" s="675">
        <f>+E33+E34+E35+E36</f>
        <v>0</v>
      </c>
    </row>
    <row r="33" spans="1:5" s="664" customFormat="1" ht="15.75">
      <c r="A33" s="669" t="s">
        <v>828</v>
      </c>
      <c r="B33" s="666" t="s">
        <v>424</v>
      </c>
      <c r="C33" s="672"/>
      <c r="D33" s="672"/>
      <c r="E33" s="673"/>
    </row>
    <row r="34" spans="1:5" s="664" customFormat="1" ht="22.5">
      <c r="A34" s="669" t="s">
        <v>829</v>
      </c>
      <c r="B34" s="666" t="s">
        <v>427</v>
      </c>
      <c r="C34" s="672"/>
      <c r="D34" s="672"/>
      <c r="E34" s="673"/>
    </row>
    <row r="35" spans="1:5" s="664" customFormat="1" ht="15.75">
      <c r="A35" s="669" t="s">
        <v>830</v>
      </c>
      <c r="B35" s="666" t="s">
        <v>429</v>
      </c>
      <c r="C35" s="672"/>
      <c r="D35" s="672"/>
      <c r="E35" s="673"/>
    </row>
    <row r="36" spans="1:5" s="664" customFormat="1" ht="15.75">
      <c r="A36" s="669" t="s">
        <v>831</v>
      </c>
      <c r="B36" s="666" t="s">
        <v>432</v>
      </c>
      <c r="C36" s="672"/>
      <c r="D36" s="672"/>
      <c r="E36" s="673"/>
    </row>
    <row r="37" spans="1:5" s="664" customFormat="1" ht="15.75">
      <c r="A37" s="665" t="s">
        <v>832</v>
      </c>
      <c r="B37" s="666" t="s">
        <v>465</v>
      </c>
      <c r="C37" s="674">
        <f>+C38+C43+C48</f>
        <v>0</v>
      </c>
      <c r="D37" s="674">
        <f>+D38+D43+D48</f>
        <v>0</v>
      </c>
      <c r="E37" s="675">
        <f>+E38+E43+E48</f>
        <v>0</v>
      </c>
    </row>
    <row r="38" spans="1:5" s="664" customFormat="1" ht="15.75">
      <c r="A38" s="665" t="s">
        <v>833</v>
      </c>
      <c r="B38" s="666" t="s">
        <v>834</v>
      </c>
      <c r="C38" s="674">
        <f>+C39+C40+C41+C42</f>
        <v>0</v>
      </c>
      <c r="D38" s="674">
        <f>+D39+D40+D41+D42</f>
        <v>0</v>
      </c>
      <c r="E38" s="675">
        <f>+E39+E40+E41+E42</f>
        <v>0</v>
      </c>
    </row>
    <row r="39" spans="1:5" s="664" customFormat="1" ht="15.75">
      <c r="A39" s="669" t="s">
        <v>835</v>
      </c>
      <c r="B39" s="666" t="s">
        <v>836</v>
      </c>
      <c r="C39" s="672"/>
      <c r="D39" s="672"/>
      <c r="E39" s="673"/>
    </row>
    <row r="40" spans="1:5" s="664" customFormat="1" ht="15.75">
      <c r="A40" s="669" t="s">
        <v>837</v>
      </c>
      <c r="B40" s="666" t="s">
        <v>838</v>
      </c>
      <c r="C40" s="672"/>
      <c r="D40" s="672"/>
      <c r="E40" s="673"/>
    </row>
    <row r="41" spans="1:5" s="664" customFormat="1" ht="15.75">
      <c r="A41" s="669" t="s">
        <v>839</v>
      </c>
      <c r="B41" s="666" t="s">
        <v>840</v>
      </c>
      <c r="C41" s="672"/>
      <c r="D41" s="672"/>
      <c r="E41" s="673"/>
    </row>
    <row r="42" spans="1:5" s="664" customFormat="1" ht="15.75">
      <c r="A42" s="669" t="s">
        <v>841</v>
      </c>
      <c r="B42" s="666" t="s">
        <v>842</v>
      </c>
      <c r="C42" s="672"/>
      <c r="D42" s="672"/>
      <c r="E42" s="673"/>
    </row>
    <row r="43" spans="1:5" s="664" customFormat="1" ht="15.75">
      <c r="A43" s="665" t="s">
        <v>843</v>
      </c>
      <c r="B43" s="666" t="s">
        <v>844</v>
      </c>
      <c r="C43" s="674">
        <f>+C44+C45+C46+C47</f>
        <v>0</v>
      </c>
      <c r="D43" s="674">
        <f>+D44+D45+D46+D47</f>
        <v>0</v>
      </c>
      <c r="E43" s="675">
        <f>+E44+E45+E46+E47</f>
        <v>0</v>
      </c>
    </row>
    <row r="44" spans="1:5" s="664" customFormat="1" ht="15.75">
      <c r="A44" s="669" t="s">
        <v>845</v>
      </c>
      <c r="B44" s="666" t="s">
        <v>846</v>
      </c>
      <c r="C44" s="672"/>
      <c r="D44" s="672"/>
      <c r="E44" s="673"/>
    </row>
    <row r="45" spans="1:5" s="664" customFormat="1" ht="22.5">
      <c r="A45" s="669" t="s">
        <v>847</v>
      </c>
      <c r="B45" s="666" t="s">
        <v>848</v>
      </c>
      <c r="C45" s="672"/>
      <c r="D45" s="672"/>
      <c r="E45" s="673"/>
    </row>
    <row r="46" spans="1:5" s="664" customFormat="1" ht="15.75">
      <c r="A46" s="669" t="s">
        <v>849</v>
      </c>
      <c r="B46" s="666" t="s">
        <v>850</v>
      </c>
      <c r="C46" s="672"/>
      <c r="D46" s="672"/>
      <c r="E46" s="673"/>
    </row>
    <row r="47" spans="1:5" s="664" customFormat="1" ht="15.75">
      <c r="A47" s="669" t="s">
        <v>851</v>
      </c>
      <c r="B47" s="666" t="s">
        <v>852</v>
      </c>
      <c r="C47" s="672"/>
      <c r="D47" s="672"/>
      <c r="E47" s="673"/>
    </row>
    <row r="48" spans="1:5" s="664" customFormat="1" ht="15.75">
      <c r="A48" s="665" t="s">
        <v>853</v>
      </c>
      <c r="B48" s="666" t="s">
        <v>854</v>
      </c>
      <c r="C48" s="674">
        <f>+C49+C50+C51+C52</f>
        <v>0</v>
      </c>
      <c r="D48" s="674">
        <f>+D49+D50+D51+D52</f>
        <v>0</v>
      </c>
      <c r="E48" s="675">
        <f>+E49+E50+E51+E52</f>
        <v>0</v>
      </c>
    </row>
    <row r="49" spans="1:5" s="664" customFormat="1" ht="15.75">
      <c r="A49" s="669" t="s">
        <v>855</v>
      </c>
      <c r="B49" s="666" t="s">
        <v>856</v>
      </c>
      <c r="C49" s="672"/>
      <c r="D49" s="672"/>
      <c r="E49" s="673"/>
    </row>
    <row r="50" spans="1:5" s="664" customFormat="1" ht="22.5">
      <c r="A50" s="669" t="s">
        <v>857</v>
      </c>
      <c r="B50" s="666" t="s">
        <v>858</v>
      </c>
      <c r="C50" s="672"/>
      <c r="D50" s="672"/>
      <c r="E50" s="673"/>
    </row>
    <row r="51" spans="1:5" s="664" customFormat="1" ht="15.75">
      <c r="A51" s="669" t="s">
        <v>859</v>
      </c>
      <c r="B51" s="666" t="s">
        <v>860</v>
      </c>
      <c r="C51" s="672"/>
      <c r="D51" s="672"/>
      <c r="E51" s="673"/>
    </row>
    <row r="52" spans="1:5" s="664" customFormat="1" ht="15.75">
      <c r="A52" s="669" t="s">
        <v>861</v>
      </c>
      <c r="B52" s="666" t="s">
        <v>862</v>
      </c>
      <c r="C52" s="672"/>
      <c r="D52" s="672"/>
      <c r="E52" s="673"/>
    </row>
    <row r="53" spans="1:5" s="664" customFormat="1" ht="15.75">
      <c r="A53" s="665" t="s">
        <v>863</v>
      </c>
      <c r="B53" s="666" t="s">
        <v>864</v>
      </c>
      <c r="C53" s="672"/>
      <c r="D53" s="672"/>
      <c r="E53" s="673"/>
    </row>
    <row r="54" spans="1:5" s="664" customFormat="1" ht="21">
      <c r="A54" s="665" t="s">
        <v>865</v>
      </c>
      <c r="B54" s="666" t="s">
        <v>866</v>
      </c>
      <c r="C54" s="674">
        <f>+C10+C11+C37+C53</f>
        <v>0</v>
      </c>
      <c r="D54" s="674">
        <f>+D10+D11+D37+D53</f>
        <v>0</v>
      </c>
      <c r="E54" s="675">
        <f>+E10+E11+E37+E53</f>
        <v>0</v>
      </c>
    </row>
    <row r="55" spans="1:5" s="664" customFormat="1" ht="15.75">
      <c r="A55" s="665" t="s">
        <v>867</v>
      </c>
      <c r="B55" s="666" t="s">
        <v>868</v>
      </c>
      <c r="C55" s="672"/>
      <c r="D55" s="672"/>
      <c r="E55" s="673"/>
    </row>
    <row r="56" spans="1:5" s="664" customFormat="1" ht="15.75">
      <c r="A56" s="665" t="s">
        <v>869</v>
      </c>
      <c r="B56" s="666" t="s">
        <v>870</v>
      </c>
      <c r="C56" s="672"/>
      <c r="D56" s="672"/>
      <c r="E56" s="673"/>
    </row>
    <row r="57" spans="1:5" s="664" customFormat="1" ht="15.75">
      <c r="A57" s="665" t="s">
        <v>871</v>
      </c>
      <c r="B57" s="666" t="s">
        <v>872</v>
      </c>
      <c r="C57" s="674">
        <f>+C55+C56</f>
        <v>0</v>
      </c>
      <c r="D57" s="674">
        <f>+D55+D56</f>
        <v>0</v>
      </c>
      <c r="E57" s="675">
        <f>+E55+E56</f>
        <v>0</v>
      </c>
    </row>
    <row r="58" spans="1:5" s="664" customFormat="1" ht="15.75">
      <c r="A58" s="665" t="s">
        <v>873</v>
      </c>
      <c r="B58" s="666" t="s">
        <v>874</v>
      </c>
      <c r="C58" s="672"/>
      <c r="D58" s="672"/>
      <c r="E58" s="673"/>
    </row>
    <row r="59" spans="1:5" s="664" customFormat="1" ht="15.75">
      <c r="A59" s="665" t="s">
        <v>875</v>
      </c>
      <c r="B59" s="666" t="s">
        <v>876</v>
      </c>
      <c r="C59" s="672"/>
      <c r="D59" s="672"/>
      <c r="E59" s="673"/>
    </row>
    <row r="60" spans="1:5" s="664" customFormat="1" ht="15.75">
      <c r="A60" s="665" t="s">
        <v>877</v>
      </c>
      <c r="B60" s="666" t="s">
        <v>878</v>
      </c>
      <c r="C60" s="672"/>
      <c r="D60" s="672"/>
      <c r="E60" s="673"/>
    </row>
    <row r="61" spans="1:5" s="664" customFormat="1" ht="15.75">
      <c r="A61" s="665" t="s">
        <v>879</v>
      </c>
      <c r="B61" s="666" t="s">
        <v>880</v>
      </c>
      <c r="C61" s="672"/>
      <c r="D61" s="672"/>
      <c r="E61" s="673"/>
    </row>
    <row r="62" spans="1:5" s="664" customFormat="1" ht="15.75">
      <c r="A62" s="665" t="s">
        <v>881</v>
      </c>
      <c r="B62" s="666" t="s">
        <v>882</v>
      </c>
      <c r="C62" s="674">
        <f>+C58+C59+C60+C61</f>
        <v>0</v>
      </c>
      <c r="D62" s="674">
        <f>+D58+D59+D60+D61</f>
        <v>0</v>
      </c>
      <c r="E62" s="675">
        <f>+E58+E59+E60+E61</f>
        <v>0</v>
      </c>
    </row>
    <row r="63" spans="1:5" s="664" customFormat="1" ht="15.75">
      <c r="A63" s="665" t="s">
        <v>883</v>
      </c>
      <c r="B63" s="666" t="s">
        <v>884</v>
      </c>
      <c r="C63" s="672"/>
      <c r="D63" s="672"/>
      <c r="E63" s="673"/>
    </row>
    <row r="64" spans="1:5" s="664" customFormat="1" ht="15.75">
      <c r="A64" s="665" t="s">
        <v>885</v>
      </c>
      <c r="B64" s="666" t="s">
        <v>886</v>
      </c>
      <c r="C64" s="672"/>
      <c r="D64" s="672"/>
      <c r="E64" s="673"/>
    </row>
    <row r="65" spans="1:5" s="664" customFormat="1" ht="15.75">
      <c r="A65" s="665" t="s">
        <v>887</v>
      </c>
      <c r="B65" s="666" t="s">
        <v>888</v>
      </c>
      <c r="C65" s="672"/>
      <c r="D65" s="672"/>
      <c r="E65" s="673"/>
    </row>
    <row r="66" spans="1:5" s="664" customFormat="1" ht="15.75">
      <c r="A66" s="665" t="s">
        <v>889</v>
      </c>
      <c r="B66" s="666" t="s">
        <v>890</v>
      </c>
      <c r="C66" s="674">
        <f>+C63+C64+C65</f>
        <v>0</v>
      </c>
      <c r="D66" s="674">
        <f>+D63+D64+D65</f>
        <v>0</v>
      </c>
      <c r="E66" s="675">
        <f>+E63+E64+E65</f>
        <v>0</v>
      </c>
    </row>
    <row r="67" spans="1:5" s="664" customFormat="1" ht="15.75">
      <c r="A67" s="665" t="s">
        <v>891</v>
      </c>
      <c r="B67" s="666" t="s">
        <v>892</v>
      </c>
      <c r="C67" s="672"/>
      <c r="D67" s="672"/>
      <c r="E67" s="673"/>
    </row>
    <row r="68" spans="1:5" s="664" customFormat="1" ht="21">
      <c r="A68" s="665" t="s">
        <v>893</v>
      </c>
      <c r="B68" s="666" t="s">
        <v>894</v>
      </c>
      <c r="C68" s="672"/>
      <c r="D68" s="672"/>
      <c r="E68" s="673"/>
    </row>
    <row r="69" spans="1:5" s="664" customFormat="1" ht="15.75">
      <c r="A69" s="665" t="s">
        <v>895</v>
      </c>
      <c r="B69" s="666" t="s">
        <v>896</v>
      </c>
      <c r="C69" s="674">
        <f>+C67+C68</f>
        <v>0</v>
      </c>
      <c r="D69" s="674">
        <f>+D67+D68</f>
        <v>0</v>
      </c>
      <c r="E69" s="675">
        <f>+E67+E68</f>
        <v>0</v>
      </c>
    </row>
    <row r="70" spans="1:5" s="664" customFormat="1" ht="15.75">
      <c r="A70" s="665" t="s">
        <v>897</v>
      </c>
      <c r="B70" s="666" t="s">
        <v>898</v>
      </c>
      <c r="C70" s="672"/>
      <c r="D70" s="672"/>
      <c r="E70" s="673"/>
    </row>
    <row r="71" spans="1:5" s="664" customFormat="1" ht="15.75">
      <c r="A71" s="676" t="s">
        <v>899</v>
      </c>
      <c r="B71" s="677" t="s">
        <v>900</v>
      </c>
      <c r="C71" s="678">
        <f>+C54+C57+C62+C66+C69+C70</f>
        <v>0</v>
      </c>
      <c r="D71" s="678">
        <f>+D54+D57+D62+D66+D69+D70</f>
        <v>0</v>
      </c>
      <c r="E71" s="679">
        <f>+E54+E57+E62+E66+E69+E70</f>
        <v>0</v>
      </c>
    </row>
  </sheetData>
  <sheetProtection selectLockedCells="1" selectUnlockedCells="1"/>
  <mergeCells count="11">
    <mergeCell ref="D6:D7"/>
    <mergeCell ref="E6:E7"/>
    <mergeCell ref="C8:E8"/>
    <mergeCell ref="A1:E1"/>
    <mergeCell ref="A2:E2"/>
    <mergeCell ref="A3:E3"/>
    <mergeCell ref="A4:E4"/>
    <mergeCell ref="C5:E5"/>
    <mergeCell ref="A6:A8"/>
    <mergeCell ref="B6:B8"/>
    <mergeCell ref="C6:C7"/>
  </mergeCells>
  <printOptions horizontalCentered="1"/>
  <pageMargins left="0.7875" right="0.8270833333333333" top="0.9055555555555556" bottom="0.9840277777777777" header="0.5118055555555555" footer="0.7875"/>
  <pageSetup horizontalDpi="300" verticalDpi="300" orientation="portrait" paperSize="9" scale="85"/>
  <headerFooter alignWithMargins="0">
    <oddFooter>&amp;C&amp;P</oddFooter>
  </headerFooter>
  <rowBreaks count="1" manualBreakCount="1">
    <brk id="47" max="255" man="1"/>
  </rowBreaks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50"/>
  </sheetPr>
  <dimension ref="A1:C23"/>
  <sheetViews>
    <sheetView zoomScale="120" zoomScaleNormal="120" zoomScalePageLayoutView="0" workbookViewId="0" topLeftCell="A1">
      <selection activeCell="H15" sqref="H15"/>
    </sheetView>
  </sheetViews>
  <sheetFormatPr defaultColWidth="9.00390625" defaultRowHeight="12.75"/>
  <cols>
    <col min="1" max="1" width="71.125" style="680" customWidth="1"/>
    <col min="2" max="2" width="6.125" style="681" customWidth="1"/>
    <col min="3" max="3" width="18.00390625" style="682" customWidth="1"/>
    <col min="4" max="16384" width="9.375" style="682" customWidth="1"/>
  </cols>
  <sheetData>
    <row r="1" spans="1:3" ht="16.5" customHeight="1">
      <c r="A1" s="899" t="str">
        <f>CONCATENATE("7.2. tájékoztató tábla ",Z_ALAPADATOK!A7," ",Z_ALAPADATOK!B7," ",Z_ALAPADATOK!C7," ",Z_ALAPADATOK!D7," ",Z_ALAPADATOK!E7," ",Z_ALAPADATOK!F7," ",Z_ALAPADATOK!G7," ",Z_ALAPADATOK!H7)</f>
        <v>7.2. tájékoztató tábla a … / 2019. ( … ) önkormányzati rendelethez</v>
      </c>
      <c r="B1" s="899"/>
      <c r="C1" s="899"/>
    </row>
    <row r="2" spans="1:3" ht="16.5" customHeight="1">
      <c r="A2" s="683"/>
      <c r="B2" s="684"/>
      <c r="C2" s="685"/>
    </row>
    <row r="3" spans="1:3" ht="16.5" customHeight="1">
      <c r="A3" s="900" t="s">
        <v>786</v>
      </c>
      <c r="B3" s="900"/>
      <c r="C3" s="900"/>
    </row>
    <row r="4" spans="1:3" ht="16.5" customHeight="1">
      <c r="A4" s="901" t="s">
        <v>901</v>
      </c>
      <c r="B4" s="901"/>
      <c r="C4" s="901"/>
    </row>
    <row r="5" spans="1:3" ht="16.5" customHeight="1">
      <c r="A5" s="901" t="s">
        <v>788</v>
      </c>
      <c r="B5" s="901"/>
      <c r="C5" s="901"/>
    </row>
    <row r="6" spans="1:3" ht="12.75">
      <c r="A6" s="683"/>
      <c r="B6" s="902" t="str">
        <f>'Z_6.tájékoztató_t.'!E6</f>
        <v>E</v>
      </c>
      <c r="C6" s="902"/>
    </row>
    <row r="7" spans="1:3" s="686" customFormat="1" ht="31.5" customHeight="1">
      <c r="A7" s="903" t="s">
        <v>902</v>
      </c>
      <c r="B7" s="897" t="s">
        <v>790</v>
      </c>
      <c r="C7" s="904" t="s">
        <v>903</v>
      </c>
    </row>
    <row r="8" spans="1:3" s="686" customFormat="1" ht="12.75">
      <c r="A8" s="903"/>
      <c r="B8" s="897"/>
      <c r="C8" s="904"/>
    </row>
    <row r="9" spans="1:3" s="690" customFormat="1" ht="12.75">
      <c r="A9" s="687" t="s">
        <v>109</v>
      </c>
      <c r="B9" s="688" t="s">
        <v>110</v>
      </c>
      <c r="C9" s="689" t="s">
        <v>111</v>
      </c>
    </row>
    <row r="10" spans="1:3" ht="15.75" customHeight="1">
      <c r="A10" s="665" t="s">
        <v>904</v>
      </c>
      <c r="B10" s="691" t="s">
        <v>797</v>
      </c>
      <c r="C10" s="692"/>
    </row>
    <row r="11" spans="1:3" ht="15.75" customHeight="1">
      <c r="A11" s="665" t="s">
        <v>905</v>
      </c>
      <c r="B11" s="666" t="s">
        <v>799</v>
      </c>
      <c r="C11" s="692"/>
    </row>
    <row r="12" spans="1:3" ht="15.75" customHeight="1">
      <c r="A12" s="665" t="s">
        <v>906</v>
      </c>
      <c r="B12" s="666" t="s">
        <v>801</v>
      </c>
      <c r="C12" s="692"/>
    </row>
    <row r="13" spans="1:3" ht="15.75" customHeight="1">
      <c r="A13" s="665" t="s">
        <v>907</v>
      </c>
      <c r="B13" s="666" t="s">
        <v>803</v>
      </c>
      <c r="C13" s="693"/>
    </row>
    <row r="14" spans="1:3" ht="15.75" customHeight="1">
      <c r="A14" s="665" t="s">
        <v>908</v>
      </c>
      <c r="B14" s="666" t="s">
        <v>805</v>
      </c>
      <c r="C14" s="693"/>
    </row>
    <row r="15" spans="1:3" ht="15.75" customHeight="1">
      <c r="A15" s="665" t="s">
        <v>909</v>
      </c>
      <c r="B15" s="666" t="s">
        <v>807</v>
      </c>
      <c r="C15" s="693"/>
    </row>
    <row r="16" spans="1:3" ht="15.75" customHeight="1">
      <c r="A16" s="665" t="s">
        <v>910</v>
      </c>
      <c r="B16" s="666" t="s">
        <v>809</v>
      </c>
      <c r="C16" s="694">
        <f>+C10+C11+C12+C13+C14+C15</f>
        <v>0</v>
      </c>
    </row>
    <row r="17" spans="1:3" ht="15.75" customHeight="1">
      <c r="A17" s="665" t="s">
        <v>911</v>
      </c>
      <c r="B17" s="666" t="s">
        <v>811</v>
      </c>
      <c r="C17" s="695"/>
    </row>
    <row r="18" spans="1:3" ht="15.75" customHeight="1">
      <c r="A18" s="665" t="s">
        <v>912</v>
      </c>
      <c r="B18" s="666" t="s">
        <v>813</v>
      </c>
      <c r="C18" s="693"/>
    </row>
    <row r="19" spans="1:3" ht="15.75" customHeight="1">
      <c r="A19" s="665" t="s">
        <v>913</v>
      </c>
      <c r="B19" s="666" t="s">
        <v>367</v>
      </c>
      <c r="C19" s="693"/>
    </row>
    <row r="20" spans="1:3" ht="15.75" customHeight="1">
      <c r="A20" s="665" t="s">
        <v>914</v>
      </c>
      <c r="B20" s="666" t="s">
        <v>369</v>
      </c>
      <c r="C20" s="694">
        <f>+C17+C18+C19</f>
        <v>0</v>
      </c>
    </row>
    <row r="21" spans="1:3" s="696" customFormat="1" ht="15.75" customHeight="1">
      <c r="A21" s="665" t="s">
        <v>915</v>
      </c>
      <c r="B21" s="666" t="s">
        <v>396</v>
      </c>
      <c r="C21" s="693"/>
    </row>
    <row r="22" spans="1:3" ht="15.75" customHeight="1">
      <c r="A22" s="665" t="s">
        <v>916</v>
      </c>
      <c r="B22" s="666" t="s">
        <v>397</v>
      </c>
      <c r="C22" s="693"/>
    </row>
    <row r="23" spans="1:3" ht="15.75" customHeight="1">
      <c r="A23" s="697" t="s">
        <v>917</v>
      </c>
      <c r="B23" s="677" t="s">
        <v>400</v>
      </c>
      <c r="C23" s="698">
        <f>+C16+C20+C21+C22</f>
        <v>0</v>
      </c>
    </row>
  </sheetData>
  <sheetProtection selectLockedCells="1" selectUnlockedCells="1"/>
  <mergeCells count="8">
    <mergeCell ref="A1:C1"/>
    <mergeCell ref="A3:C3"/>
    <mergeCell ref="A4:C4"/>
    <mergeCell ref="A5:C5"/>
    <mergeCell ref="B6:C6"/>
    <mergeCell ref="A7:A8"/>
    <mergeCell ref="B7:B8"/>
    <mergeCell ref="C7:C8"/>
  </mergeCells>
  <printOptions horizontalCentered="1"/>
  <pageMargins left="0.7875" right="0.7875" top="1.0631944444444446" bottom="0.9840277777777777" header="0.7875" footer="0.5118055555555555"/>
  <pageSetup horizontalDpi="300" verticalDpi="300" orientation="portrait" paperSize="9" scale="95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50"/>
  </sheetPr>
  <dimension ref="A1:F43"/>
  <sheetViews>
    <sheetView zoomScale="120" zoomScaleNormal="120" zoomScalePageLayoutView="0" workbookViewId="0" topLeftCell="A1">
      <selection activeCell="G13" sqref="G13"/>
    </sheetView>
  </sheetViews>
  <sheetFormatPr defaultColWidth="12.00390625" defaultRowHeight="12.75"/>
  <cols>
    <col min="1" max="1" width="58.875" style="699" customWidth="1"/>
    <col min="2" max="2" width="6.875" style="699" customWidth="1"/>
    <col min="3" max="3" width="17.125" style="699" customWidth="1"/>
    <col min="4" max="4" width="19.125" style="699" customWidth="1"/>
    <col min="5" max="16384" width="12.00390625" style="699" customWidth="1"/>
  </cols>
  <sheetData>
    <row r="1" spans="1:4" ht="16.5" customHeight="1">
      <c r="A1" s="905" t="str">
        <f>CONCATENATE("7.3. tájékoztató tábla ",Z_ALAPADATOK!A7," ",Z_ALAPADATOK!B7," ",Z_ALAPADATOK!C7," ",Z_ALAPADATOK!D7," ",Z_ALAPADATOK!E7," ",Z_ALAPADATOK!F7," ",Z_ALAPADATOK!G7," ",Z_ALAPADATOK!H7)</f>
        <v>7.3. tájékoztató tábla a … / 2019. ( … ) önkormányzati rendelethez</v>
      </c>
      <c r="B1" s="905"/>
      <c r="C1" s="905"/>
      <c r="D1" s="905"/>
    </row>
    <row r="2" s="700" customFormat="1" ht="16.5" customHeight="1"/>
    <row r="3" spans="1:4" s="701" customFormat="1" ht="16.5" customHeight="1">
      <c r="A3" s="906" t="s">
        <v>786</v>
      </c>
      <c r="B3" s="906"/>
      <c r="C3" s="906"/>
      <c r="D3" s="906"/>
    </row>
    <row r="4" spans="1:4" s="701" customFormat="1" ht="16.5" customHeight="1">
      <c r="A4" s="906" t="s">
        <v>918</v>
      </c>
      <c r="B4" s="906"/>
      <c r="C4" s="906"/>
      <c r="D4" s="906"/>
    </row>
    <row r="5" spans="1:4" s="701" customFormat="1" ht="16.5" customHeight="1">
      <c r="A5" s="907" t="s">
        <v>788</v>
      </c>
      <c r="B5" s="907"/>
      <c r="C5" s="907"/>
      <c r="D5" s="907"/>
    </row>
    <row r="6" ht="16.5" customHeight="1"/>
    <row r="7" spans="1:4" ht="43.5" customHeight="1">
      <c r="A7" s="702" t="s">
        <v>382</v>
      </c>
      <c r="B7" s="703" t="s">
        <v>790</v>
      </c>
      <c r="C7" s="704" t="s">
        <v>919</v>
      </c>
      <c r="D7" s="705" t="s">
        <v>920</v>
      </c>
    </row>
    <row r="8" spans="1:4" ht="15.75">
      <c r="A8" s="706" t="s">
        <v>109</v>
      </c>
      <c r="B8" s="707" t="s">
        <v>110</v>
      </c>
      <c r="C8" s="707" t="s">
        <v>111</v>
      </c>
      <c r="D8" s="708" t="s">
        <v>112</v>
      </c>
    </row>
    <row r="9" spans="1:4" ht="15.75" customHeight="1">
      <c r="A9" s="709" t="s">
        <v>921</v>
      </c>
      <c r="B9" s="710" t="s">
        <v>114</v>
      </c>
      <c r="C9" s="711"/>
      <c r="D9" s="712"/>
    </row>
    <row r="10" spans="1:4" ht="15.75" customHeight="1">
      <c r="A10" s="709" t="s">
        <v>922</v>
      </c>
      <c r="B10" s="713" t="s">
        <v>128</v>
      </c>
      <c r="C10" s="714"/>
      <c r="D10" s="715"/>
    </row>
    <row r="11" spans="1:4" ht="15.75" customHeight="1">
      <c r="A11" s="709" t="s">
        <v>923</v>
      </c>
      <c r="B11" s="713" t="s">
        <v>142</v>
      </c>
      <c r="C11" s="714"/>
      <c r="D11" s="715"/>
    </row>
    <row r="12" spans="1:4" ht="15.75" customHeight="1">
      <c r="A12" s="716" t="s">
        <v>924</v>
      </c>
      <c r="B12" s="717" t="s">
        <v>339</v>
      </c>
      <c r="C12" s="718"/>
      <c r="D12" s="719"/>
    </row>
    <row r="13" spans="1:4" ht="15.75" customHeight="1">
      <c r="A13" s="720" t="s">
        <v>925</v>
      </c>
      <c r="B13" s="721" t="s">
        <v>172</v>
      </c>
      <c r="C13" s="722"/>
      <c r="D13" s="723">
        <f>+D14+D15+D16+D17</f>
        <v>0</v>
      </c>
    </row>
    <row r="14" spans="1:4" ht="15.75" customHeight="1">
      <c r="A14" s="724" t="s">
        <v>926</v>
      </c>
      <c r="B14" s="710" t="s">
        <v>196</v>
      </c>
      <c r="C14" s="711"/>
      <c r="D14" s="712"/>
    </row>
    <row r="15" spans="1:4" ht="15.75" customHeight="1">
      <c r="A15" s="709" t="s">
        <v>927</v>
      </c>
      <c r="B15" s="713" t="s">
        <v>356</v>
      </c>
      <c r="C15" s="714"/>
      <c r="D15" s="715"/>
    </row>
    <row r="16" spans="1:4" ht="15.75" customHeight="1">
      <c r="A16" s="709" t="s">
        <v>928</v>
      </c>
      <c r="B16" s="713" t="s">
        <v>218</v>
      </c>
      <c r="C16" s="714"/>
      <c r="D16" s="715"/>
    </row>
    <row r="17" spans="1:4" ht="15.75" customHeight="1">
      <c r="A17" s="716" t="s">
        <v>929</v>
      </c>
      <c r="B17" s="717" t="s">
        <v>365</v>
      </c>
      <c r="C17" s="718"/>
      <c r="D17" s="719"/>
    </row>
    <row r="18" spans="1:4" ht="15.75" customHeight="1">
      <c r="A18" s="720" t="s">
        <v>930</v>
      </c>
      <c r="B18" s="721" t="s">
        <v>367</v>
      </c>
      <c r="C18" s="722"/>
      <c r="D18" s="723">
        <f>+D19+D20+D21</f>
        <v>0</v>
      </c>
    </row>
    <row r="19" spans="1:4" ht="15.75" customHeight="1">
      <c r="A19" s="724" t="s">
        <v>931</v>
      </c>
      <c r="B19" s="710" t="s">
        <v>369</v>
      </c>
      <c r="C19" s="711"/>
      <c r="D19" s="712"/>
    </row>
    <row r="20" spans="1:4" ht="15.75" customHeight="1">
      <c r="A20" s="709" t="s">
        <v>932</v>
      </c>
      <c r="B20" s="713" t="s">
        <v>396</v>
      </c>
      <c r="C20" s="714"/>
      <c r="D20" s="715"/>
    </row>
    <row r="21" spans="1:4" ht="15.75" customHeight="1">
      <c r="A21" s="716" t="s">
        <v>933</v>
      </c>
      <c r="B21" s="717" t="s">
        <v>397</v>
      </c>
      <c r="C21" s="718"/>
      <c r="D21" s="719"/>
    </row>
    <row r="22" spans="1:4" ht="15.75" customHeight="1">
      <c r="A22" s="720" t="s">
        <v>934</v>
      </c>
      <c r="B22" s="721" t="s">
        <v>400</v>
      </c>
      <c r="C22" s="722"/>
      <c r="D22" s="723">
        <f>+D23+D24+D25</f>
        <v>0</v>
      </c>
    </row>
    <row r="23" spans="1:4" ht="15.75" customHeight="1">
      <c r="A23" s="724" t="s">
        <v>935</v>
      </c>
      <c r="B23" s="710" t="s">
        <v>403</v>
      </c>
      <c r="C23" s="711"/>
      <c r="D23" s="712"/>
    </row>
    <row r="24" spans="1:4" ht="15.75" customHeight="1">
      <c r="A24" s="709" t="s">
        <v>936</v>
      </c>
      <c r="B24" s="713" t="s">
        <v>406</v>
      </c>
      <c r="C24" s="714"/>
      <c r="D24" s="715"/>
    </row>
    <row r="25" spans="1:4" ht="15.75" customHeight="1">
      <c r="A25" s="709" t="s">
        <v>937</v>
      </c>
      <c r="B25" s="713" t="s">
        <v>409</v>
      </c>
      <c r="C25" s="714"/>
      <c r="D25" s="715"/>
    </row>
    <row r="26" spans="1:4" ht="15.75" customHeight="1">
      <c r="A26" s="709" t="s">
        <v>938</v>
      </c>
      <c r="B26" s="713" t="s">
        <v>412</v>
      </c>
      <c r="C26" s="714"/>
      <c r="D26" s="715"/>
    </row>
    <row r="27" spans="1:4" ht="15.75" customHeight="1">
      <c r="A27" s="709"/>
      <c r="B27" s="713" t="s">
        <v>415</v>
      </c>
      <c r="C27" s="714"/>
      <c r="D27" s="715"/>
    </row>
    <row r="28" spans="1:4" ht="15.75" customHeight="1">
      <c r="A28" s="709"/>
      <c r="B28" s="713" t="s">
        <v>418</v>
      </c>
      <c r="C28" s="714"/>
      <c r="D28" s="715"/>
    </row>
    <row r="29" spans="1:4" ht="15.75" customHeight="1">
      <c r="A29" s="709"/>
      <c r="B29" s="713" t="s">
        <v>420</v>
      </c>
      <c r="C29" s="714"/>
      <c r="D29" s="715"/>
    </row>
    <row r="30" spans="1:4" ht="15.75" customHeight="1">
      <c r="A30" s="709"/>
      <c r="B30" s="713" t="s">
        <v>422</v>
      </c>
      <c r="C30" s="714"/>
      <c r="D30" s="715"/>
    </row>
    <row r="31" spans="1:4" ht="15.75" customHeight="1">
      <c r="A31" s="709"/>
      <c r="B31" s="713" t="s">
        <v>423</v>
      </c>
      <c r="C31" s="714"/>
      <c r="D31" s="715"/>
    </row>
    <row r="32" spans="1:4" ht="15.75" customHeight="1">
      <c r="A32" s="709"/>
      <c r="B32" s="713" t="s">
        <v>424</v>
      </c>
      <c r="C32" s="714"/>
      <c r="D32" s="715"/>
    </row>
    <row r="33" spans="1:4" ht="15.75" customHeight="1">
      <c r="A33" s="709"/>
      <c r="B33" s="713" t="s">
        <v>427</v>
      </c>
      <c r="C33" s="714"/>
      <c r="D33" s="715"/>
    </row>
    <row r="34" spans="1:4" ht="15.75" customHeight="1">
      <c r="A34" s="709"/>
      <c r="B34" s="713" t="s">
        <v>429</v>
      </c>
      <c r="C34" s="714"/>
      <c r="D34" s="715"/>
    </row>
    <row r="35" spans="1:4" ht="15.75" customHeight="1">
      <c r="A35" s="709"/>
      <c r="B35" s="713" t="s">
        <v>432</v>
      </c>
      <c r="C35" s="714"/>
      <c r="D35" s="715"/>
    </row>
    <row r="36" spans="1:4" ht="15.75" customHeight="1">
      <c r="A36" s="709"/>
      <c r="B36" s="713" t="s">
        <v>465</v>
      </c>
      <c r="C36" s="714"/>
      <c r="D36" s="715"/>
    </row>
    <row r="37" spans="1:4" ht="15.75" customHeight="1">
      <c r="A37" s="709"/>
      <c r="B37" s="713" t="s">
        <v>834</v>
      </c>
      <c r="C37" s="714"/>
      <c r="D37" s="715"/>
    </row>
    <row r="38" spans="1:4" ht="15.75" customHeight="1">
      <c r="A38" s="709"/>
      <c r="B38" s="713" t="s">
        <v>836</v>
      </c>
      <c r="C38" s="714"/>
      <c r="D38" s="715"/>
    </row>
    <row r="39" spans="1:4" ht="15.75" customHeight="1">
      <c r="A39" s="709"/>
      <c r="B39" s="713" t="s">
        <v>838</v>
      </c>
      <c r="C39" s="714"/>
      <c r="D39" s="715"/>
    </row>
    <row r="40" spans="1:4" ht="15.75" customHeight="1">
      <c r="A40" s="709"/>
      <c r="B40" s="713" t="s">
        <v>840</v>
      </c>
      <c r="C40" s="714"/>
      <c r="D40" s="715"/>
    </row>
    <row r="41" spans="1:4" ht="15.75" customHeight="1">
      <c r="A41" s="716"/>
      <c r="B41" s="717" t="s">
        <v>842</v>
      </c>
      <c r="C41" s="718"/>
      <c r="D41" s="719"/>
    </row>
    <row r="42" spans="1:6" ht="15.75" customHeight="1">
      <c r="A42" s="908" t="s">
        <v>939</v>
      </c>
      <c r="B42" s="908"/>
      <c r="C42" s="725"/>
      <c r="D42" s="723">
        <f>+D9+D10+D11+D12+D13+D18+D22+D26+D27+D28+D29+D30+D31+D32+D33+D34+D35+D36+D37+D38+D39+D40+D41</f>
        <v>0</v>
      </c>
      <c r="F42" s="726"/>
    </row>
    <row r="43" ht="15.75">
      <c r="A43" s="727" t="s">
        <v>940</v>
      </c>
    </row>
  </sheetData>
  <sheetProtection selectLockedCells="1" selectUnlockedCells="1"/>
  <mergeCells count="5">
    <mergeCell ref="A1:D1"/>
    <mergeCell ref="A3:D3"/>
    <mergeCell ref="A4:D4"/>
    <mergeCell ref="A5:D5"/>
    <mergeCell ref="A42:B42"/>
  </mergeCells>
  <printOptions horizontalCentered="1"/>
  <pageMargins left="0.7875" right="0.7875" top="0.9451388888888889" bottom="0.9840277777777777" header="0.5118055555555555" footer="0.5118055555555555"/>
  <pageSetup horizontalDpi="300" verticalDpi="300" orientation="portrait" paperSize="9" scale="93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="120" zoomScaleNormal="120" zoomScalePageLayoutView="0" workbookViewId="0" topLeftCell="A1">
      <selection activeCell="I15" sqref="I15"/>
    </sheetView>
  </sheetViews>
  <sheetFormatPr defaultColWidth="9.00390625" defaultRowHeight="12.75"/>
  <cols>
    <col min="1" max="1" width="9.375" style="15" customWidth="1"/>
    <col min="2" max="2" width="51.875" style="15" customWidth="1"/>
    <col min="3" max="3" width="25.00390625" style="15" customWidth="1"/>
    <col min="4" max="4" width="22.875" style="15" customWidth="1"/>
    <col min="5" max="5" width="25.00390625" style="15" customWidth="1"/>
    <col min="6" max="6" width="5.50390625" style="15" customWidth="1"/>
    <col min="7" max="16384" width="9.375" style="15" customWidth="1"/>
  </cols>
  <sheetData>
    <row r="1" spans="1:5" ht="12.75">
      <c r="A1" s="13"/>
      <c r="B1" s="13"/>
      <c r="C1" s="13"/>
      <c r="D1" s="13"/>
      <c r="E1" s="13"/>
    </row>
    <row r="2" spans="1:5" ht="15.75" customHeight="1">
      <c r="A2" s="817" t="str">
        <f>CONCATENATE(PROPER(Z_ALAPADATOK!A3)," tulajdonában álló gazdálkodó szervezetek működéséből származó")</f>
        <v>Balatonvilágos Község Önkormányzata tulajdonában álló gazdálkodó szervezetek működéséből származó</v>
      </c>
      <c r="B2" s="817"/>
      <c r="C2" s="817"/>
      <c r="D2" s="817"/>
      <c r="E2" s="817"/>
    </row>
    <row r="3" spans="1:6" ht="15.75">
      <c r="A3" s="909" t="s">
        <v>941</v>
      </c>
      <c r="B3" s="909"/>
      <c r="C3" s="909"/>
      <c r="D3" s="909"/>
      <c r="E3" s="909"/>
      <c r="F3" s="910" t="str">
        <f>CONCATENATE("8. tájékoztató tábla ",Z_ALAPADATOK!A7," ",Z_ALAPADATOK!B7," ",Z_ALAPADATOK!C7," ",Z_ALAPADATOK!D7," ",Z_ALAPADATOK!E7," ",Z_ALAPADATOK!F7," ",Z_ALAPADATOK!G7," ",Z_ALAPADATOK!H7)</f>
        <v>8. tájékoztató tábla a … / 2019. ( … ) önkormányzati rendelethez</v>
      </c>
    </row>
    <row r="4" spans="1:6" ht="15.75">
      <c r="A4" s="728"/>
      <c r="B4" s="13"/>
      <c r="C4" s="13"/>
      <c r="D4" s="13"/>
      <c r="E4" s="13"/>
      <c r="F4" s="910"/>
    </row>
    <row r="5" spans="1:6" ht="78.75">
      <c r="A5" s="729" t="s">
        <v>790</v>
      </c>
      <c r="B5" s="730" t="s">
        <v>942</v>
      </c>
      <c r="C5" s="730" t="s">
        <v>943</v>
      </c>
      <c r="D5" s="730" t="s">
        <v>944</v>
      </c>
      <c r="E5" s="731" t="s">
        <v>945</v>
      </c>
      <c r="F5" s="910"/>
    </row>
    <row r="6" spans="1:6" ht="15.75">
      <c r="A6" s="732" t="s">
        <v>114</v>
      </c>
      <c r="B6" s="733"/>
      <c r="C6" s="734"/>
      <c r="D6" s="735"/>
      <c r="E6" s="736"/>
      <c r="F6" s="910"/>
    </row>
    <row r="7" spans="1:6" ht="15.75">
      <c r="A7" s="737" t="s">
        <v>128</v>
      </c>
      <c r="B7" s="738"/>
      <c r="C7" s="739"/>
      <c r="D7" s="740"/>
      <c r="E7" s="741"/>
      <c r="F7" s="910"/>
    </row>
    <row r="8" spans="1:6" ht="15.75">
      <c r="A8" s="737" t="s">
        <v>142</v>
      </c>
      <c r="B8" s="738"/>
      <c r="C8" s="739"/>
      <c r="D8" s="740"/>
      <c r="E8" s="741"/>
      <c r="F8" s="910"/>
    </row>
    <row r="9" spans="1:6" ht="15.75">
      <c r="A9" s="737" t="s">
        <v>339</v>
      </c>
      <c r="B9" s="738"/>
      <c r="C9" s="739"/>
      <c r="D9" s="740"/>
      <c r="E9" s="741"/>
      <c r="F9" s="910"/>
    </row>
    <row r="10" spans="1:6" ht="15.75">
      <c r="A10" s="737" t="s">
        <v>172</v>
      </c>
      <c r="B10" s="738"/>
      <c r="C10" s="739"/>
      <c r="D10" s="740"/>
      <c r="E10" s="741"/>
      <c r="F10" s="910"/>
    </row>
    <row r="11" spans="1:6" ht="15.75">
      <c r="A11" s="737" t="s">
        <v>196</v>
      </c>
      <c r="B11" s="738"/>
      <c r="C11" s="739"/>
      <c r="D11" s="740"/>
      <c r="E11" s="741"/>
      <c r="F11" s="910"/>
    </row>
    <row r="12" spans="1:6" ht="15.75">
      <c r="A12" s="737" t="s">
        <v>356</v>
      </c>
      <c r="B12" s="738"/>
      <c r="C12" s="739"/>
      <c r="D12" s="740"/>
      <c r="E12" s="741"/>
      <c r="F12" s="910"/>
    </row>
    <row r="13" spans="1:6" ht="15.75">
      <c r="A13" s="737" t="s">
        <v>218</v>
      </c>
      <c r="B13" s="738"/>
      <c r="C13" s="739"/>
      <c r="D13" s="740"/>
      <c r="E13" s="741"/>
      <c r="F13" s="910"/>
    </row>
    <row r="14" spans="1:6" ht="15.75">
      <c r="A14" s="737" t="s">
        <v>365</v>
      </c>
      <c r="B14" s="738"/>
      <c r="C14" s="739"/>
      <c r="D14" s="740"/>
      <c r="E14" s="741"/>
      <c r="F14" s="910"/>
    </row>
    <row r="15" spans="1:6" ht="15.75">
      <c r="A15" s="737" t="s">
        <v>367</v>
      </c>
      <c r="B15" s="738"/>
      <c r="C15" s="739"/>
      <c r="D15" s="740"/>
      <c r="E15" s="741"/>
      <c r="F15" s="910"/>
    </row>
    <row r="16" spans="1:6" ht="15.75">
      <c r="A16" s="737" t="s">
        <v>369</v>
      </c>
      <c r="B16" s="738"/>
      <c r="C16" s="739"/>
      <c r="D16" s="740"/>
      <c r="E16" s="741"/>
      <c r="F16" s="910"/>
    </row>
    <row r="17" spans="1:6" ht="15.75">
      <c r="A17" s="737" t="s">
        <v>396</v>
      </c>
      <c r="B17" s="738"/>
      <c r="C17" s="739"/>
      <c r="D17" s="740"/>
      <c r="E17" s="741"/>
      <c r="F17" s="910"/>
    </row>
    <row r="18" spans="1:6" ht="15.75">
      <c r="A18" s="737" t="s">
        <v>397</v>
      </c>
      <c r="B18" s="738"/>
      <c r="C18" s="739"/>
      <c r="D18" s="740"/>
      <c r="E18" s="741"/>
      <c r="F18" s="910"/>
    </row>
    <row r="19" spans="1:6" ht="15.75">
      <c r="A19" s="737" t="s">
        <v>400</v>
      </c>
      <c r="B19" s="738"/>
      <c r="C19" s="739"/>
      <c r="D19" s="740"/>
      <c r="E19" s="741"/>
      <c r="F19" s="910"/>
    </row>
    <row r="20" spans="1:6" ht="15.75">
      <c r="A20" s="737" t="s">
        <v>403</v>
      </c>
      <c r="B20" s="738"/>
      <c r="C20" s="739"/>
      <c r="D20" s="740"/>
      <c r="E20" s="741"/>
      <c r="F20" s="910"/>
    </row>
    <row r="21" spans="1:6" ht="15.75">
      <c r="A21" s="737" t="s">
        <v>406</v>
      </c>
      <c r="B21" s="738"/>
      <c r="C21" s="739"/>
      <c r="D21" s="740"/>
      <c r="E21" s="741"/>
      <c r="F21" s="910"/>
    </row>
    <row r="22" spans="1:6" ht="15.75">
      <c r="A22" s="742" t="s">
        <v>409</v>
      </c>
      <c r="B22" s="743"/>
      <c r="C22" s="744"/>
      <c r="D22" s="745"/>
      <c r="E22" s="746"/>
      <c r="F22" s="910"/>
    </row>
    <row r="23" spans="1:6" ht="16.5" customHeight="1">
      <c r="A23" s="911" t="s">
        <v>946</v>
      </c>
      <c r="B23" s="911"/>
      <c r="C23" s="747"/>
      <c r="D23" s="748">
        <f>IF(SUM(D6:D22)=0,"",SUM(D6:D22))</f>
      </c>
      <c r="E23" s="749">
        <f>IF(SUM(E6:E22)=0,"",SUM(E6:E22))</f>
      </c>
      <c r="F23" s="910"/>
    </row>
  </sheetData>
  <sheetProtection selectLockedCells="1" selectUnlockedCells="1"/>
  <mergeCells count="4">
    <mergeCell ref="A2:E2"/>
    <mergeCell ref="A3:E3"/>
    <mergeCell ref="F3:F23"/>
    <mergeCell ref="A23:B23"/>
  </mergeCells>
  <printOptions/>
  <pageMargins left="0.7083333333333334" right="0.7083333333333334" top="0.9451388888888889" bottom="0.7479166666666667" header="0.5118055555555555" footer="0.5118055555555555"/>
  <pageSetup horizontalDpi="300" verticalDpi="300" orientation="landscape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50"/>
  </sheetPr>
  <dimension ref="A2:C15"/>
  <sheetViews>
    <sheetView zoomScale="120" zoomScaleNormal="120" zoomScalePageLayoutView="0" workbookViewId="0" topLeftCell="A1">
      <selection activeCell="H13" sqref="H13"/>
    </sheetView>
  </sheetViews>
  <sheetFormatPr defaultColWidth="9.00390625" defaultRowHeight="12.75"/>
  <cols>
    <col min="1" max="1" width="7.625" style="270" customWidth="1"/>
    <col min="2" max="2" width="60.875" style="270" customWidth="1"/>
    <col min="3" max="3" width="25.625" style="270" customWidth="1"/>
    <col min="4" max="16384" width="9.375" style="270" customWidth="1"/>
  </cols>
  <sheetData>
    <row r="2" spans="1:3" ht="15" customHeight="1">
      <c r="A2" s="888" t="str">
        <f>CONCATENATE("9. tájékoztató tábla ",Z_ALAPADATOK!A7," ",Z_ALAPADATOK!B7," ",Z_ALAPADATOK!C7," ",Z_ALAPADATOK!D7," ",Z_ALAPADATOK!E7," ",Z_ALAPADATOK!F7," ",Z_ALAPADATOK!G7," ",Z_ALAPADATOK!H7)</f>
        <v>9. tájékoztató tábla a … / 2019. ( … ) önkormányzati rendelethez</v>
      </c>
      <c r="B2" s="888"/>
      <c r="C2" s="888"/>
    </row>
    <row r="3" spans="1:3" ht="14.25">
      <c r="A3" s="750"/>
      <c r="B3" s="750"/>
      <c r="C3" s="750"/>
    </row>
    <row r="4" spans="1:3" ht="33.75" customHeight="1">
      <c r="A4" s="912" t="s">
        <v>947</v>
      </c>
      <c r="B4" s="912"/>
      <c r="C4" s="912"/>
    </row>
    <row r="5" ht="12.75">
      <c r="C5" s="751"/>
    </row>
    <row r="6" spans="1:3" s="755" customFormat="1" ht="43.5" customHeight="1">
      <c r="A6" s="752" t="s">
        <v>640</v>
      </c>
      <c r="B6" s="753" t="s">
        <v>382</v>
      </c>
      <c r="C6" s="754" t="s">
        <v>948</v>
      </c>
    </row>
    <row r="7" spans="1:3" ht="28.5" customHeight="1">
      <c r="A7" s="756" t="s">
        <v>114</v>
      </c>
      <c r="B7" s="757" t="s">
        <v>949</v>
      </c>
      <c r="C7" s="758"/>
    </row>
    <row r="8" spans="1:3" ht="18" customHeight="1">
      <c r="A8" s="759" t="s">
        <v>128</v>
      </c>
      <c r="B8" s="760" t="s">
        <v>950</v>
      </c>
      <c r="C8" s="761"/>
    </row>
    <row r="9" spans="1:3" ht="18" customHeight="1">
      <c r="A9" s="759" t="s">
        <v>142</v>
      </c>
      <c r="B9" s="760" t="s">
        <v>951</v>
      </c>
      <c r="C9" s="761"/>
    </row>
    <row r="10" spans="1:3" ht="18" customHeight="1">
      <c r="A10" s="759" t="s">
        <v>339</v>
      </c>
      <c r="B10" s="762" t="s">
        <v>952</v>
      </c>
      <c r="C10" s="761"/>
    </row>
    <row r="11" spans="1:3" ht="18" customHeight="1">
      <c r="A11" s="763" t="s">
        <v>172</v>
      </c>
      <c r="B11" s="764" t="s">
        <v>953</v>
      </c>
      <c r="C11" s="765"/>
    </row>
    <row r="12" spans="1:3" ht="18" customHeight="1">
      <c r="A12" s="766" t="s">
        <v>196</v>
      </c>
      <c r="B12" s="767" t="s">
        <v>954</v>
      </c>
      <c r="C12" s="768"/>
    </row>
    <row r="13" spans="1:3" ht="25.5" customHeight="1">
      <c r="A13" s="769" t="s">
        <v>356</v>
      </c>
      <c r="B13" s="770" t="s">
        <v>955</v>
      </c>
      <c r="C13" s="771">
        <f>C7+C10-C11+C12</f>
        <v>0</v>
      </c>
    </row>
    <row r="14" spans="1:3" ht="18" customHeight="1">
      <c r="A14" s="759" t="s">
        <v>218</v>
      </c>
      <c r="B14" s="760" t="s">
        <v>950</v>
      </c>
      <c r="C14" s="761"/>
    </row>
    <row r="15" spans="1:3" ht="18" customHeight="1">
      <c r="A15" s="766" t="s">
        <v>365</v>
      </c>
      <c r="B15" s="772" t="s">
        <v>951</v>
      </c>
      <c r="C15" s="768"/>
    </row>
  </sheetData>
  <sheetProtection selectLockedCells="1" selectUnlockedCells="1"/>
  <mergeCells count="2">
    <mergeCell ref="A2:C2"/>
    <mergeCell ref="A4:C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20" zoomScaleNormal="120" zoomScaleSheetLayoutView="130" zoomScalePageLayoutView="0" workbookViewId="0" topLeftCell="C4">
      <selection activeCell="I11" sqref="I11"/>
    </sheetView>
  </sheetViews>
  <sheetFormatPr defaultColWidth="9.00390625" defaultRowHeight="12.75"/>
  <cols>
    <col min="1" max="1" width="6.875" style="150" customWidth="1"/>
    <col min="2" max="2" width="48.00390625" style="151" customWidth="1"/>
    <col min="3" max="5" width="15.50390625" style="150" customWidth="1"/>
    <col min="6" max="6" width="55.125" style="150" customWidth="1"/>
    <col min="7" max="9" width="15.50390625" style="150" customWidth="1"/>
    <col min="10" max="10" width="4.875" style="150" customWidth="1"/>
    <col min="11" max="16384" width="9.375" style="150" customWidth="1"/>
  </cols>
  <sheetData>
    <row r="1" spans="1:10" ht="39.75" customHeight="1">
      <c r="A1" s="152"/>
      <c r="B1" s="818" t="s">
        <v>379</v>
      </c>
      <c r="C1" s="818"/>
      <c r="D1" s="818"/>
      <c r="E1" s="818"/>
      <c r="F1" s="818"/>
      <c r="G1" s="818"/>
      <c r="H1" s="818"/>
      <c r="I1" s="818"/>
      <c r="J1" s="819" t="str">
        <f>CONCATENATE("2.1. melléklet ",Z_ALAPADATOK!A7," ",Z_ALAPADATOK!B7," ",Z_ALAPADATOK!C7," ",Z_ALAPADATOK!D7," ",Z_ALAPADATOK!E7," ",Z_ALAPADATOK!F7," ",Z_ALAPADATOK!G7," ",Z_ALAPADATOK!H7)</f>
        <v>2.1. melléklet a … / 2019. ( … ) önkormányzati rendelethez</v>
      </c>
    </row>
    <row r="2" spans="1:10" ht="13.5">
      <c r="A2" s="152"/>
      <c r="B2" s="153"/>
      <c r="C2" s="152"/>
      <c r="D2" s="152"/>
      <c r="E2" s="152"/>
      <c r="F2" s="152"/>
      <c r="G2" s="154"/>
      <c r="H2" s="154"/>
      <c r="I2" s="154" t="str">
        <f>CONCATENATE('Z_1.4.sz.mell.'!E7)</f>
        <v> Forintban!</v>
      </c>
      <c r="J2" s="819"/>
    </row>
    <row r="3" spans="1:10" ht="18" customHeight="1">
      <c r="A3" s="820" t="s">
        <v>105</v>
      </c>
      <c r="B3" s="821" t="s">
        <v>380</v>
      </c>
      <c r="C3" s="821"/>
      <c r="D3" s="821"/>
      <c r="E3" s="821"/>
      <c r="F3" s="822" t="s">
        <v>381</v>
      </c>
      <c r="G3" s="822"/>
      <c r="H3" s="822"/>
      <c r="I3" s="822"/>
      <c r="J3" s="819"/>
    </row>
    <row r="4" spans="1:10" s="160" customFormat="1" ht="35.25" customHeight="1">
      <c r="A4" s="820"/>
      <c r="B4" s="155" t="s">
        <v>382</v>
      </c>
      <c r="C4" s="157" t="str">
        <f>+CONCATENATE('Z_1.1.sz.mell.'!C8," eredeti előirányzat")</f>
        <v>2018. évi eredeti előirányzat</v>
      </c>
      <c r="D4" s="158" t="str">
        <f>+CONCATENATE('Z_1.1.sz.mell.'!C8," módosított előirányzat")</f>
        <v>2018. évi módosított előirányzat</v>
      </c>
      <c r="E4" s="158" t="str">
        <f>CONCATENATE('Z_1.4.sz.mell.'!E9)</f>
        <v>2018. XII. 31.
teljesítés</v>
      </c>
      <c r="F4" s="155" t="s">
        <v>382</v>
      </c>
      <c r="G4" s="157" t="str">
        <f>+C4</f>
        <v>2018. évi eredeti előirányzat</v>
      </c>
      <c r="H4" s="157" t="str">
        <f>+D4</f>
        <v>2018. évi módosított előirányzat</v>
      </c>
      <c r="I4" s="159" t="str">
        <f>+E4</f>
        <v>2018. XII. 31.
teljesítés</v>
      </c>
      <c r="J4" s="819"/>
    </row>
    <row r="5" spans="1:10" s="166" customFormat="1" ht="12" customHeight="1">
      <c r="A5" s="161" t="s">
        <v>109</v>
      </c>
      <c r="B5" s="162" t="s">
        <v>110</v>
      </c>
      <c r="C5" s="163" t="s">
        <v>111</v>
      </c>
      <c r="D5" s="164" t="s">
        <v>112</v>
      </c>
      <c r="E5" s="164" t="s">
        <v>113</v>
      </c>
      <c r="F5" s="162" t="s">
        <v>383</v>
      </c>
      <c r="G5" s="163" t="s">
        <v>384</v>
      </c>
      <c r="H5" s="163" t="s">
        <v>385</v>
      </c>
      <c r="I5" s="165" t="s">
        <v>386</v>
      </c>
      <c r="J5" s="819"/>
    </row>
    <row r="6" spans="1:10" ht="12.75" customHeight="1">
      <c r="A6" s="167" t="s">
        <v>114</v>
      </c>
      <c r="B6" s="168" t="s">
        <v>387</v>
      </c>
      <c r="C6" s="169">
        <f>'Z_1.1.sz.mell.'!C11</f>
        <v>113142467</v>
      </c>
      <c r="D6" s="169">
        <f>'Z_1.1.sz.mell.'!D11</f>
        <v>128291755</v>
      </c>
      <c r="E6" s="169">
        <f>'Z_1.1.sz.mell.'!E11</f>
        <v>128291755</v>
      </c>
      <c r="F6" s="168" t="s">
        <v>388</v>
      </c>
      <c r="G6" s="170">
        <f>'Z_1.1.sz.mell.'!C101</f>
        <v>143310292</v>
      </c>
      <c r="H6" s="170">
        <f>'Z_1.1.sz.mell.'!D101</f>
        <v>148381719</v>
      </c>
      <c r="I6" s="170">
        <f>'Z_1.1.sz.mell.'!E101</f>
        <v>132239159</v>
      </c>
      <c r="J6" s="819"/>
    </row>
    <row r="7" spans="1:10" ht="12.75" customHeight="1">
      <c r="A7" s="171" t="s">
        <v>128</v>
      </c>
      <c r="B7" s="172" t="s">
        <v>389</v>
      </c>
      <c r="C7" s="173">
        <f>'Z_1.1.sz.mell.'!C18</f>
        <v>19598400</v>
      </c>
      <c r="D7" s="173">
        <f>'Z_1.1.sz.mell.'!D18</f>
        <v>21828900</v>
      </c>
      <c r="E7" s="173">
        <f>'Z_1.1.sz.mell.'!E18</f>
        <v>21742130</v>
      </c>
      <c r="F7" s="172" t="s">
        <v>285</v>
      </c>
      <c r="G7" s="174">
        <f>'Z_1.1.sz.mell.'!C102</f>
        <v>29039685</v>
      </c>
      <c r="H7" s="174">
        <f>'Z_1.1.sz.mell.'!D102</f>
        <v>30027348</v>
      </c>
      <c r="I7" s="174">
        <f>'Z_1.1.sz.mell.'!E102</f>
        <v>26862614</v>
      </c>
      <c r="J7" s="819"/>
    </row>
    <row r="8" spans="1:10" ht="12.75" customHeight="1">
      <c r="A8" s="171" t="s">
        <v>142</v>
      </c>
      <c r="B8" s="172" t="s">
        <v>390</v>
      </c>
      <c r="C8" s="173"/>
      <c r="D8" s="173"/>
      <c r="E8" s="173"/>
      <c r="F8" s="172" t="s">
        <v>391</v>
      </c>
      <c r="G8" s="174">
        <f>'Z_1.1.sz.mell.'!C103</f>
        <v>174058504</v>
      </c>
      <c r="H8" s="174">
        <f>'Z_1.1.sz.mell.'!D103</f>
        <v>193442539</v>
      </c>
      <c r="I8" s="174">
        <f>'Z_1.1.sz.mell.'!E103</f>
        <v>139898416</v>
      </c>
      <c r="J8" s="819"/>
    </row>
    <row r="9" spans="1:10" ht="12.75" customHeight="1">
      <c r="A9" s="171" t="s">
        <v>339</v>
      </c>
      <c r="B9" s="172" t="s">
        <v>392</v>
      </c>
      <c r="C9" s="173">
        <f>'Z_1.1.sz.mell.'!C32</f>
        <v>196229000</v>
      </c>
      <c r="D9" s="173">
        <f>'Z_1.1.sz.mell.'!D32</f>
        <v>196229000</v>
      </c>
      <c r="E9" s="173">
        <f>'Z_1.1.sz.mell.'!E32</f>
        <v>207402966</v>
      </c>
      <c r="F9" s="172" t="s">
        <v>287</v>
      </c>
      <c r="G9" s="174">
        <f>'Z_1.1.sz.mell.'!C104</f>
        <v>10646000</v>
      </c>
      <c r="H9" s="174">
        <f>'Z_1.1.sz.mell.'!D104</f>
        <v>12089760</v>
      </c>
      <c r="I9" s="174">
        <f>'Z_1.1.sz.mell.'!E104</f>
        <v>8152744</v>
      </c>
      <c r="J9" s="819"/>
    </row>
    <row r="10" spans="1:10" ht="12.75" customHeight="1">
      <c r="A10" s="171" t="s">
        <v>172</v>
      </c>
      <c r="B10" s="175" t="s">
        <v>393</v>
      </c>
      <c r="C10" s="173">
        <f>'Z_1.1.sz.mell.'!C40</f>
        <v>64648309</v>
      </c>
      <c r="D10" s="173">
        <f>'Z_1.1.sz.mell.'!D40</f>
        <v>69743389</v>
      </c>
      <c r="E10" s="173">
        <f>'Z_1.1.sz.mell.'!E40</f>
        <v>67563103</v>
      </c>
      <c r="F10" s="172" t="s">
        <v>289</v>
      </c>
      <c r="G10" s="174">
        <f>'Z_1.1.sz.mell.'!C105</f>
        <v>53073208</v>
      </c>
      <c r="H10" s="174">
        <f>'Z_1.1.sz.mell.'!D105</f>
        <v>68485310</v>
      </c>
      <c r="I10" s="174">
        <f>'Z_1.1.sz.mell.'!E105</f>
        <v>66774195</v>
      </c>
      <c r="J10" s="819"/>
    </row>
    <row r="11" spans="1:10" ht="12.75" customHeight="1">
      <c r="A11" s="171" t="s">
        <v>196</v>
      </c>
      <c r="B11" s="172" t="s">
        <v>394</v>
      </c>
      <c r="C11" s="176">
        <f>'Z_1.1.sz.mell.'!C58</f>
        <v>1500000</v>
      </c>
      <c r="D11" s="176">
        <f>'Z_1.1.sz.mell.'!D58</f>
        <v>1500000</v>
      </c>
      <c r="E11" s="176">
        <f>'Z_1.1.sz.mell.'!E58</f>
        <v>2125400</v>
      </c>
      <c r="F11" s="172" t="s">
        <v>314</v>
      </c>
      <c r="G11" s="174">
        <f>'Z_1.1.sz.mell.'!C119</f>
        <v>92872967</v>
      </c>
      <c r="H11" s="174">
        <f>'Z_1.1.sz.mell.'!D119</f>
        <v>59454825</v>
      </c>
      <c r="I11" s="174">
        <f>'Z_1.1.sz.mell.'!E119</f>
        <v>0</v>
      </c>
      <c r="J11" s="819"/>
    </row>
    <row r="12" spans="1:10" ht="12.75" customHeight="1">
      <c r="A12" s="171" t="s">
        <v>356</v>
      </c>
      <c r="B12" s="172" t="s">
        <v>395</v>
      </c>
      <c r="C12" s="173"/>
      <c r="D12" s="173"/>
      <c r="E12" s="173"/>
      <c r="F12" s="177"/>
      <c r="G12" s="174"/>
      <c r="H12" s="173"/>
      <c r="I12" s="178"/>
      <c r="J12" s="819"/>
    </row>
    <row r="13" spans="1:10" ht="12.75" customHeight="1">
      <c r="A13" s="171" t="s">
        <v>218</v>
      </c>
      <c r="B13" s="177"/>
      <c r="C13" s="173"/>
      <c r="D13" s="173"/>
      <c r="E13" s="173"/>
      <c r="F13" s="177"/>
      <c r="G13" s="173"/>
      <c r="H13" s="173"/>
      <c r="I13" s="178"/>
      <c r="J13" s="819"/>
    </row>
    <row r="14" spans="1:10" ht="12.75" customHeight="1">
      <c r="A14" s="171" t="s">
        <v>365</v>
      </c>
      <c r="B14" s="179"/>
      <c r="C14" s="176"/>
      <c r="D14" s="176"/>
      <c r="E14" s="176"/>
      <c r="F14" s="177"/>
      <c r="G14" s="173"/>
      <c r="H14" s="173"/>
      <c r="I14" s="178"/>
      <c r="J14" s="819"/>
    </row>
    <row r="15" spans="1:10" ht="12.75" customHeight="1">
      <c r="A15" s="171" t="s">
        <v>367</v>
      </c>
      <c r="B15" s="177"/>
      <c r="C15" s="173"/>
      <c r="D15" s="173"/>
      <c r="E15" s="173"/>
      <c r="F15" s="177"/>
      <c r="G15" s="173"/>
      <c r="H15" s="173"/>
      <c r="I15" s="178"/>
      <c r="J15" s="819"/>
    </row>
    <row r="16" spans="1:10" ht="12.75" customHeight="1">
      <c r="A16" s="171" t="s">
        <v>369</v>
      </c>
      <c r="B16" s="177"/>
      <c r="C16" s="173"/>
      <c r="D16" s="173"/>
      <c r="E16" s="173"/>
      <c r="F16" s="177"/>
      <c r="G16" s="173"/>
      <c r="H16" s="173"/>
      <c r="I16" s="178"/>
      <c r="J16" s="819"/>
    </row>
    <row r="17" spans="1:10" ht="12.75" customHeight="1">
      <c r="A17" s="171" t="s">
        <v>396</v>
      </c>
      <c r="B17" s="180"/>
      <c r="C17" s="181"/>
      <c r="D17" s="181"/>
      <c r="E17" s="181"/>
      <c r="F17" s="177"/>
      <c r="G17" s="181"/>
      <c r="H17" s="181"/>
      <c r="I17" s="182"/>
      <c r="J17" s="819"/>
    </row>
    <row r="18" spans="1:10" ht="21">
      <c r="A18" s="183" t="s">
        <v>397</v>
      </c>
      <c r="B18" s="184" t="s">
        <v>398</v>
      </c>
      <c r="C18" s="185">
        <f>C6+C7+C9+C10+C11+C13+C14+C15+C16+C17</f>
        <v>395118176</v>
      </c>
      <c r="D18" s="185">
        <f>D6+D7+D9+D10+D11+D13+D14+D15+D16+D17</f>
        <v>417593044</v>
      </c>
      <c r="E18" s="185">
        <f>E6+E7+E9+E10+E11+E13+E14+E15+E16+E17</f>
        <v>427125354</v>
      </c>
      <c r="F18" s="184" t="s">
        <v>399</v>
      </c>
      <c r="G18" s="185">
        <f>SUM(G6:G17)</f>
        <v>503000656</v>
      </c>
      <c r="H18" s="185">
        <f>SUM(H6:H17)</f>
        <v>511881501</v>
      </c>
      <c r="I18" s="186">
        <f>SUM(I6:I17)</f>
        <v>373927128</v>
      </c>
      <c r="J18" s="819"/>
    </row>
    <row r="19" spans="1:10" ht="12.75" customHeight="1">
      <c r="A19" s="187" t="s">
        <v>400</v>
      </c>
      <c r="B19" s="188" t="s">
        <v>401</v>
      </c>
      <c r="C19" s="189">
        <f>+C20+C21+C22+C23</f>
        <v>177572404</v>
      </c>
      <c r="D19" s="189">
        <f>+D20+D21+D22+D23</f>
        <v>181685031</v>
      </c>
      <c r="E19" s="189">
        <f>+E20+E21+E22+E23</f>
        <v>181624456</v>
      </c>
      <c r="F19" s="190" t="s">
        <v>402</v>
      </c>
      <c r="G19" s="191"/>
      <c r="H19" s="191"/>
      <c r="I19" s="192"/>
      <c r="J19" s="819"/>
    </row>
    <row r="20" spans="1:10" ht="12.75" customHeight="1">
      <c r="A20" s="171" t="s">
        <v>403</v>
      </c>
      <c r="B20" s="190" t="s">
        <v>404</v>
      </c>
      <c r="C20" s="193">
        <v>177572404</v>
      </c>
      <c r="D20" s="194">
        <v>177572404</v>
      </c>
      <c r="E20" s="193">
        <v>177511829</v>
      </c>
      <c r="F20" s="190" t="s">
        <v>405</v>
      </c>
      <c r="G20" s="193"/>
      <c r="H20" s="193"/>
      <c r="I20" s="195"/>
      <c r="J20" s="819"/>
    </row>
    <row r="21" spans="1:10" ht="12.75" customHeight="1">
      <c r="A21" s="171" t="s">
        <v>406</v>
      </c>
      <c r="B21" s="190" t="s">
        <v>407</v>
      </c>
      <c r="C21" s="193"/>
      <c r="D21" s="194"/>
      <c r="E21" s="193"/>
      <c r="F21" s="190" t="s">
        <v>408</v>
      </c>
      <c r="G21" s="193"/>
      <c r="H21" s="193"/>
      <c r="I21" s="195"/>
      <c r="J21" s="819"/>
    </row>
    <row r="22" spans="1:10" ht="12.75" customHeight="1">
      <c r="A22" s="171" t="s">
        <v>409</v>
      </c>
      <c r="B22" s="190" t="s">
        <v>410</v>
      </c>
      <c r="C22" s="193"/>
      <c r="D22" s="194"/>
      <c r="E22" s="193"/>
      <c r="F22" s="190" t="s">
        <v>411</v>
      </c>
      <c r="G22" s="193"/>
      <c r="H22" s="193"/>
      <c r="I22" s="195"/>
      <c r="J22" s="819"/>
    </row>
    <row r="23" spans="1:10" ht="12.75" customHeight="1">
      <c r="A23" s="171" t="s">
        <v>412</v>
      </c>
      <c r="B23" s="190" t="s">
        <v>413</v>
      </c>
      <c r="C23" s="193"/>
      <c r="D23" s="196">
        <v>4112627</v>
      </c>
      <c r="E23" s="193">
        <v>4112627</v>
      </c>
      <c r="F23" s="188" t="s">
        <v>414</v>
      </c>
      <c r="G23" s="193"/>
      <c r="H23" s="193"/>
      <c r="I23" s="195"/>
      <c r="J23" s="819"/>
    </row>
    <row r="24" spans="1:10" ht="12.75" customHeight="1">
      <c r="A24" s="171" t="s">
        <v>415</v>
      </c>
      <c r="B24" s="190" t="s">
        <v>416</v>
      </c>
      <c r="C24" s="193"/>
      <c r="D24" s="197"/>
      <c r="E24" s="193"/>
      <c r="F24" s="190" t="s">
        <v>417</v>
      </c>
      <c r="G24" s="193"/>
      <c r="H24" s="193"/>
      <c r="I24" s="195"/>
      <c r="J24" s="819"/>
    </row>
    <row r="25" spans="1:10" ht="12.75" customHeight="1">
      <c r="A25" s="171" t="s">
        <v>418</v>
      </c>
      <c r="B25" s="190" t="s">
        <v>419</v>
      </c>
      <c r="C25" s="197">
        <f>C26+C27+C28</f>
        <v>0</v>
      </c>
      <c r="D25" s="193"/>
      <c r="E25" s="197">
        <f>E26+E27+E28</f>
        <v>0</v>
      </c>
      <c r="F25" s="168" t="s">
        <v>354</v>
      </c>
      <c r="G25" s="193"/>
      <c r="H25" s="193"/>
      <c r="I25" s="195"/>
      <c r="J25" s="819"/>
    </row>
    <row r="26" spans="1:10" ht="12.75" customHeight="1">
      <c r="A26" s="187" t="s">
        <v>420</v>
      </c>
      <c r="B26" s="188" t="s">
        <v>421</v>
      </c>
      <c r="C26" s="193"/>
      <c r="D26" s="193"/>
      <c r="E26" s="191"/>
      <c r="F26" s="172" t="s">
        <v>364</v>
      </c>
      <c r="G26" s="191"/>
      <c r="H26" s="191"/>
      <c r="I26" s="192"/>
      <c r="J26" s="819"/>
    </row>
    <row r="27" spans="1:10" ht="12.75" customHeight="1">
      <c r="A27" s="171" t="s">
        <v>422</v>
      </c>
      <c r="B27" s="190" t="s">
        <v>273</v>
      </c>
      <c r="C27" s="193"/>
      <c r="D27" s="193"/>
      <c r="E27" s="193"/>
      <c r="F27" s="172" t="s">
        <v>366</v>
      </c>
      <c r="G27" s="193"/>
      <c r="H27" s="193"/>
      <c r="I27" s="195"/>
      <c r="J27" s="819"/>
    </row>
    <row r="28" spans="1:10" ht="12.75" customHeight="1">
      <c r="A28" s="187" t="s">
        <v>423</v>
      </c>
      <c r="B28" s="188" t="s">
        <v>275</v>
      </c>
      <c r="C28" s="191"/>
      <c r="D28" s="191"/>
      <c r="E28" s="191"/>
      <c r="F28" s="198" t="s">
        <v>353</v>
      </c>
      <c r="G28" s="199">
        <v>4052052</v>
      </c>
      <c r="H28" s="199">
        <v>4052052</v>
      </c>
      <c r="I28" s="192">
        <v>4052052</v>
      </c>
      <c r="J28" s="819"/>
    </row>
    <row r="29" spans="1:10" ht="24" customHeight="1">
      <c r="A29" s="183" t="s">
        <v>424</v>
      </c>
      <c r="B29" s="184" t="s">
        <v>425</v>
      </c>
      <c r="C29" s="185">
        <f>+C19+C25</f>
        <v>177572404</v>
      </c>
      <c r="D29" s="185">
        <f>+D19+D25</f>
        <v>181685031</v>
      </c>
      <c r="E29" s="200">
        <f>+E19+E25</f>
        <v>181624456</v>
      </c>
      <c r="F29" s="184" t="s">
        <v>426</v>
      </c>
      <c r="G29" s="185">
        <f>SUM(G19:G28)</f>
        <v>4052052</v>
      </c>
      <c r="H29" s="185">
        <f>SUM(H19:H28)</f>
        <v>4052052</v>
      </c>
      <c r="I29" s="186">
        <f>SUM(I19:I28)</f>
        <v>4052052</v>
      </c>
      <c r="J29" s="819"/>
    </row>
    <row r="30" spans="1:10" ht="12.75">
      <c r="A30" s="183" t="s">
        <v>427</v>
      </c>
      <c r="B30" s="201" t="s">
        <v>428</v>
      </c>
      <c r="C30" s="202">
        <f>+C18+C29</f>
        <v>572690580</v>
      </c>
      <c r="D30" s="202">
        <f>+D18+D29</f>
        <v>599278075</v>
      </c>
      <c r="E30" s="203">
        <f>+E18+E29</f>
        <v>608749810</v>
      </c>
      <c r="F30" s="201"/>
      <c r="G30" s="202">
        <f>+G18+G29</f>
        <v>507052708</v>
      </c>
      <c r="H30" s="202">
        <f>+H18+H29</f>
        <v>515933553</v>
      </c>
      <c r="I30" s="203">
        <f>+I18+I29</f>
        <v>377979180</v>
      </c>
      <c r="J30" s="819"/>
    </row>
    <row r="31" spans="1:10" ht="12.75">
      <c r="A31" s="183" t="s">
        <v>429</v>
      </c>
      <c r="B31" s="201" t="s">
        <v>430</v>
      </c>
      <c r="C31" s="202">
        <f>IF(C18-G18&lt;0,G18-C18,"-")</f>
        <v>107882480</v>
      </c>
      <c r="D31" s="202">
        <f>IF(D18-H18&lt;0,H18-D18,"-")</f>
        <v>94288457</v>
      </c>
      <c r="E31" s="203" t="str">
        <f>IF(E18-I18&lt;0,I18-E18,"-")</f>
        <v>-</v>
      </c>
      <c r="F31" s="201" t="s">
        <v>431</v>
      </c>
      <c r="G31" s="202" t="str">
        <f>IF(C18-G18&gt;0,C18-G18,"-")</f>
        <v>-</v>
      </c>
      <c r="H31" s="202" t="str">
        <f>IF(D18-H18&gt;0,D18-H18,"-")</f>
        <v>-</v>
      </c>
      <c r="I31" s="203">
        <f>IF(E18-I18&gt;0,E18-I18,"-")</f>
        <v>53198226</v>
      </c>
      <c r="J31" s="819"/>
    </row>
    <row r="32" spans="1:10" ht="12.75">
      <c r="A32" s="183" t="s">
        <v>432</v>
      </c>
      <c r="B32" s="201" t="s">
        <v>433</v>
      </c>
      <c r="C32" s="202" t="str">
        <f>IF(C30-G30&lt;0,G30-C30,"-")</f>
        <v>-</v>
      </c>
      <c r="D32" s="202" t="str">
        <f>IF(D30-H30&lt;0,H30-D30,"-")</f>
        <v>-</v>
      </c>
      <c r="E32" s="202" t="str">
        <f>IF(E30-I30&lt;0,I30-E30,"-")</f>
        <v>-</v>
      </c>
      <c r="F32" s="201" t="s">
        <v>434</v>
      </c>
      <c r="G32" s="202">
        <f>IF(C30-G30&gt;0,C30-G30,"-")</f>
        <v>65637872</v>
      </c>
      <c r="H32" s="202">
        <f>IF(D30-H30&gt;0,D30-H30,"-")</f>
        <v>83344522</v>
      </c>
      <c r="I32" s="202">
        <f>IF(E30-I30&gt;0,E30-I30,"-")</f>
        <v>230770630</v>
      </c>
      <c r="J32" s="819"/>
    </row>
    <row r="33" spans="2:10" ht="18.75">
      <c r="B33" s="823"/>
      <c r="C33" s="823"/>
      <c r="D33" s="823"/>
      <c r="E33" s="823"/>
      <c r="F33" s="823"/>
      <c r="J33" s="819"/>
    </row>
  </sheetData>
  <sheetProtection selectLockedCells="1" selectUnlockedCells="1"/>
  <mergeCells count="6">
    <mergeCell ref="B1:I1"/>
    <mergeCell ref="J1:J33"/>
    <mergeCell ref="A3:A4"/>
    <mergeCell ref="B3:E3"/>
    <mergeCell ref="F3:I3"/>
    <mergeCell ref="B33:F3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2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20" zoomScaleNormal="120" zoomScaleSheetLayoutView="115" zoomScalePageLayoutView="0" workbookViewId="0" topLeftCell="D7">
      <selection activeCell="I17" sqref="I17"/>
    </sheetView>
  </sheetViews>
  <sheetFormatPr defaultColWidth="9.00390625" defaultRowHeight="12.75"/>
  <cols>
    <col min="1" max="1" width="6.875" style="150" customWidth="1"/>
    <col min="2" max="2" width="49.875" style="151" customWidth="1"/>
    <col min="3" max="5" width="15.50390625" style="150" customWidth="1"/>
    <col min="6" max="6" width="49.875" style="150" customWidth="1"/>
    <col min="7" max="9" width="15.50390625" style="150" customWidth="1"/>
    <col min="10" max="10" width="4.875" style="150" customWidth="1"/>
    <col min="11" max="16384" width="9.375" style="150" customWidth="1"/>
  </cols>
  <sheetData>
    <row r="1" spans="1:10" ht="31.5" customHeight="1">
      <c r="A1" s="152"/>
      <c r="B1" s="818" t="s">
        <v>435</v>
      </c>
      <c r="C1" s="818"/>
      <c r="D1" s="818"/>
      <c r="E1" s="818"/>
      <c r="F1" s="818"/>
      <c r="G1" s="818"/>
      <c r="H1" s="818"/>
      <c r="I1" s="818"/>
      <c r="J1" s="819" t="str">
        <f>CONCATENATE("2.2. melléklet ",Z_ALAPADATOK!A7," ",Z_ALAPADATOK!B7," ",Z_ALAPADATOK!C7," ",Z_ALAPADATOK!D7," ",Z_ALAPADATOK!E7," ",Z_ALAPADATOK!F7," ",Z_ALAPADATOK!G7," ",Z_ALAPADATOK!H7)</f>
        <v>2.2. melléklet a … / 2019. ( … ) önkormányzati rendelethez</v>
      </c>
    </row>
    <row r="2" spans="1:10" ht="13.5">
      <c r="A2" s="152"/>
      <c r="B2" s="153"/>
      <c r="C2" s="152"/>
      <c r="D2" s="152"/>
      <c r="E2" s="152"/>
      <c r="F2" s="152"/>
      <c r="G2" s="154"/>
      <c r="H2" s="154"/>
      <c r="I2" s="154" t="str">
        <f>'Z_2.1.sz.mell'!I2</f>
        <v> Forintban!</v>
      </c>
      <c r="J2" s="819"/>
    </row>
    <row r="3" spans="1:10" ht="13.5" customHeight="1">
      <c r="A3" s="820" t="s">
        <v>105</v>
      </c>
      <c r="B3" s="821" t="s">
        <v>380</v>
      </c>
      <c r="C3" s="821"/>
      <c r="D3" s="821"/>
      <c r="E3" s="821"/>
      <c r="F3" s="822" t="s">
        <v>381</v>
      </c>
      <c r="G3" s="822"/>
      <c r="H3" s="822"/>
      <c r="I3" s="822"/>
      <c r="J3" s="819"/>
    </row>
    <row r="4" spans="1:10" s="160" customFormat="1" ht="27.75" customHeight="1">
      <c r="A4" s="820"/>
      <c r="B4" s="155" t="s">
        <v>382</v>
      </c>
      <c r="C4" s="157" t="str">
        <f>+CONCATENATE('Z_1.1.sz.mell.'!C8," eredeti előirányzat")</f>
        <v>2018. évi eredeti előirányzat</v>
      </c>
      <c r="D4" s="158" t="str">
        <f>+CONCATENATE('Z_1.1.sz.mell.'!C8," módosított előirányzat")</f>
        <v>2018. évi módosított előirányzat</v>
      </c>
      <c r="E4" s="158" t="str">
        <f>CONCATENATE('Z_2.1.sz.mell'!E4)</f>
        <v>2018. XII. 31.
teljesítés</v>
      </c>
      <c r="F4" s="155" t="s">
        <v>382</v>
      </c>
      <c r="G4" s="157" t="str">
        <f>+C4</f>
        <v>2018. évi eredeti előirányzat</v>
      </c>
      <c r="H4" s="157" t="str">
        <f>+D4</f>
        <v>2018. évi módosított előirányzat</v>
      </c>
      <c r="I4" s="159" t="str">
        <f>+E4</f>
        <v>2018. XII. 31.
teljesítés</v>
      </c>
      <c r="J4" s="819"/>
    </row>
    <row r="5" spans="1:10" s="160" customFormat="1" ht="12.75">
      <c r="A5" s="161" t="s">
        <v>109</v>
      </c>
      <c r="B5" s="162" t="s">
        <v>110</v>
      </c>
      <c r="C5" s="163" t="s">
        <v>111</v>
      </c>
      <c r="D5" s="163" t="s">
        <v>112</v>
      </c>
      <c r="E5" s="163" t="s">
        <v>113</v>
      </c>
      <c r="F5" s="162" t="s">
        <v>436</v>
      </c>
      <c r="G5" s="163" t="s">
        <v>384</v>
      </c>
      <c r="H5" s="204" t="s">
        <v>385</v>
      </c>
      <c r="I5" s="205" t="s">
        <v>386</v>
      </c>
      <c r="J5" s="819"/>
    </row>
    <row r="6" spans="1:10" ht="12.75" customHeight="1">
      <c r="A6" s="167" t="s">
        <v>114</v>
      </c>
      <c r="B6" s="168" t="s">
        <v>437</v>
      </c>
      <c r="C6" s="169">
        <f>'Z_1.1.sz.mell.'!C25</f>
        <v>143309282</v>
      </c>
      <c r="D6" s="169">
        <f>'Z_1.1.sz.mell.'!D25</f>
        <v>56669456</v>
      </c>
      <c r="E6" s="169">
        <f>'Z_1.1.sz.mell.'!E25</f>
        <v>36327320</v>
      </c>
      <c r="F6" s="168" t="s">
        <v>320</v>
      </c>
      <c r="G6" s="170">
        <f>'Z_1.1.sz.mell.'!C122</f>
        <v>180960083</v>
      </c>
      <c r="H6" s="170">
        <f>'Z_1.1.sz.mell.'!D122</f>
        <v>93260404</v>
      </c>
      <c r="I6" s="170">
        <f>'Z_1.1.sz.mell.'!E122</f>
        <v>76346316</v>
      </c>
      <c r="J6" s="819"/>
    </row>
    <row r="7" spans="1:10" ht="12.75">
      <c r="A7" s="171" t="s">
        <v>128</v>
      </c>
      <c r="B7" s="172" t="s">
        <v>438</v>
      </c>
      <c r="C7" s="173"/>
      <c r="D7" s="173"/>
      <c r="E7" s="173"/>
      <c r="F7" s="172" t="s">
        <v>439</v>
      </c>
      <c r="G7" s="174">
        <f>'Z_1.1.sz.mell.'!C123</f>
        <v>143309282</v>
      </c>
      <c r="H7" s="174">
        <f>'Z_1.1.sz.mell.'!D123</f>
        <v>46041365</v>
      </c>
      <c r="I7" s="174">
        <f>'Z_1.1.sz.mell.'!E123</f>
        <v>44342865</v>
      </c>
      <c r="J7" s="819"/>
    </row>
    <row r="8" spans="1:10" ht="12.75" customHeight="1">
      <c r="A8" s="171" t="s">
        <v>142</v>
      </c>
      <c r="B8" s="172" t="s">
        <v>440</v>
      </c>
      <c r="C8" s="173">
        <f>'Z_1.1.sz.mell.'!C52</f>
        <v>4588520</v>
      </c>
      <c r="D8" s="173">
        <f>'Z_1.1.sz.mell.'!D52</f>
        <v>16328080</v>
      </c>
      <c r="E8" s="173">
        <f>'Z_1.1.sz.mell.'!E52</f>
        <v>16524930</v>
      </c>
      <c r="F8" s="172" t="s">
        <v>322</v>
      </c>
      <c r="G8" s="174">
        <f>'Z_1.1.sz.mell.'!C124</f>
        <v>34139644</v>
      </c>
      <c r="H8" s="174">
        <f>'Z_1.1.sz.mell.'!D124</f>
        <v>66883907</v>
      </c>
      <c r="I8" s="174">
        <f>'Z_1.1.sz.mell.'!E124</f>
        <v>57866504</v>
      </c>
      <c r="J8" s="819"/>
    </row>
    <row r="9" spans="1:10" ht="12.75" customHeight="1">
      <c r="A9" s="171" t="s">
        <v>339</v>
      </c>
      <c r="B9" s="172" t="s">
        <v>441</v>
      </c>
      <c r="C9" s="173">
        <f>'Z_1.1.sz.mell.'!C63</f>
        <v>6064053</v>
      </c>
      <c r="D9" s="173">
        <f>'Z_1.1.sz.mell.'!D63</f>
        <v>8302253</v>
      </c>
      <c r="E9" s="173">
        <f>'Z_1.1.sz.mell.'!E63</f>
        <v>9212473</v>
      </c>
      <c r="F9" s="172" t="s">
        <v>442</v>
      </c>
      <c r="G9" s="174"/>
      <c r="H9" s="174"/>
      <c r="I9" s="174"/>
      <c r="J9" s="819"/>
    </row>
    <row r="10" spans="1:10" ht="12.75" customHeight="1">
      <c r="A10" s="171" t="s">
        <v>172</v>
      </c>
      <c r="B10" s="172" t="s">
        <v>443</v>
      </c>
      <c r="C10" s="173"/>
      <c r="D10" s="173"/>
      <c r="E10" s="173"/>
      <c r="F10" s="172" t="s">
        <v>324</v>
      </c>
      <c r="G10" s="174">
        <f>'Z_1.1.sz.mell.'!C126</f>
        <v>4500000</v>
      </c>
      <c r="H10" s="174">
        <f>'Z_1.1.sz.mell.'!D126</f>
        <v>4500000</v>
      </c>
      <c r="I10" s="174">
        <f>'Z_1.1.sz.mell.'!E126</f>
        <v>3077980</v>
      </c>
      <c r="J10" s="819"/>
    </row>
    <row r="11" spans="1:10" ht="12.75" customHeight="1">
      <c r="A11" s="171" t="s">
        <v>196</v>
      </c>
      <c r="B11" s="172" t="s">
        <v>444</v>
      </c>
      <c r="C11" s="176"/>
      <c r="D11" s="176"/>
      <c r="E11" s="176"/>
      <c r="F11" s="206"/>
      <c r="G11" s="174"/>
      <c r="H11" s="174"/>
      <c r="I11" s="174"/>
      <c r="J11" s="819"/>
    </row>
    <row r="12" spans="1:10" ht="12.75" customHeight="1">
      <c r="A12" s="171" t="s">
        <v>356</v>
      </c>
      <c r="B12" s="177"/>
      <c r="C12" s="173"/>
      <c r="D12" s="173"/>
      <c r="E12" s="173"/>
      <c r="F12" s="206"/>
      <c r="G12" s="174"/>
      <c r="H12" s="174"/>
      <c r="I12" s="178"/>
      <c r="J12" s="819"/>
    </row>
    <row r="13" spans="1:10" ht="12.75" customHeight="1">
      <c r="A13" s="171" t="s">
        <v>218</v>
      </c>
      <c r="B13" s="177"/>
      <c r="C13" s="173"/>
      <c r="D13" s="173"/>
      <c r="E13" s="173"/>
      <c r="F13" s="207"/>
      <c r="G13" s="174"/>
      <c r="H13" s="174"/>
      <c r="I13" s="178"/>
      <c r="J13" s="819"/>
    </row>
    <row r="14" spans="1:10" ht="12.75" customHeight="1">
      <c r="A14" s="171" t="s">
        <v>365</v>
      </c>
      <c r="B14" s="208"/>
      <c r="C14" s="176"/>
      <c r="D14" s="176"/>
      <c r="E14" s="176"/>
      <c r="F14" s="206"/>
      <c r="G14" s="174"/>
      <c r="H14" s="174"/>
      <c r="I14" s="178"/>
      <c r="J14" s="819"/>
    </row>
    <row r="15" spans="1:10" ht="12.75">
      <c r="A15" s="171" t="s">
        <v>367</v>
      </c>
      <c r="B15" s="177"/>
      <c r="C15" s="176"/>
      <c r="D15" s="176"/>
      <c r="E15" s="176"/>
      <c r="F15" s="206"/>
      <c r="G15" s="174"/>
      <c r="H15" s="174"/>
      <c r="I15" s="178"/>
      <c r="J15" s="819"/>
    </row>
    <row r="16" spans="1:10" ht="12.75" customHeight="1">
      <c r="A16" s="187" t="s">
        <v>369</v>
      </c>
      <c r="B16" s="198"/>
      <c r="C16" s="209"/>
      <c r="D16" s="209"/>
      <c r="E16" s="209"/>
      <c r="F16" s="210" t="s">
        <v>314</v>
      </c>
      <c r="G16" s="211">
        <v>6300185</v>
      </c>
      <c r="H16" s="211">
        <v>6300185</v>
      </c>
      <c r="I16" s="212"/>
      <c r="J16" s="819"/>
    </row>
    <row r="17" spans="1:10" ht="15.75" customHeight="1">
      <c r="A17" s="183" t="s">
        <v>396</v>
      </c>
      <c r="B17" s="184" t="s">
        <v>445</v>
      </c>
      <c r="C17" s="185">
        <f>+C6+C8+C9+C11+C12+C13+C14+C15+C16</f>
        <v>153961855</v>
      </c>
      <c r="D17" s="185">
        <f>+D6+D8+D9+D11+D12+D13+D14+D15+D16</f>
        <v>81299789</v>
      </c>
      <c r="E17" s="185">
        <f>+E6+E8+E9+E11+E12+E13+E14+E15+E16</f>
        <v>62064723</v>
      </c>
      <c r="F17" s="184" t="s">
        <v>446</v>
      </c>
      <c r="G17" s="185">
        <f>+G6+G8+G10+G11+G12+G13+G14+G15+G16</f>
        <v>225899912</v>
      </c>
      <c r="H17" s="185">
        <f>+H6+H8+H10+H11+H12+H13+H14+H15+H16</f>
        <v>170944496</v>
      </c>
      <c r="I17" s="186">
        <f>+I6+I8+I10+I11+I12+I13+I14+I15+I16</f>
        <v>137290800</v>
      </c>
      <c r="J17" s="819"/>
    </row>
    <row r="18" spans="1:10" ht="12.75" customHeight="1">
      <c r="A18" s="167" t="s">
        <v>397</v>
      </c>
      <c r="B18" s="213" t="s">
        <v>447</v>
      </c>
      <c r="C18" s="214">
        <f>SUM(C19:C23)</f>
        <v>6300185</v>
      </c>
      <c r="D18" s="214">
        <f>SUM(D19:D23)</f>
        <v>6300185</v>
      </c>
      <c r="E18" s="214">
        <f>+E19+E20+E21+E22+E23</f>
        <v>6300185</v>
      </c>
      <c r="F18" s="190" t="s">
        <v>402</v>
      </c>
      <c r="G18" s="215"/>
      <c r="H18" s="215"/>
      <c r="I18" s="216"/>
      <c r="J18" s="819"/>
    </row>
    <row r="19" spans="1:10" ht="12.75" customHeight="1">
      <c r="A19" s="171" t="s">
        <v>400</v>
      </c>
      <c r="B19" s="217" t="s">
        <v>448</v>
      </c>
      <c r="C19" s="193">
        <v>6300185</v>
      </c>
      <c r="D19" s="193">
        <v>6300185</v>
      </c>
      <c r="E19" s="193">
        <v>6300185</v>
      </c>
      <c r="F19" s="190" t="s">
        <v>449</v>
      </c>
      <c r="G19" s="193"/>
      <c r="H19" s="193"/>
      <c r="I19" s="195"/>
      <c r="J19" s="819"/>
    </row>
    <row r="20" spans="1:10" ht="12.75" customHeight="1">
      <c r="A20" s="167" t="s">
        <v>403</v>
      </c>
      <c r="B20" s="217" t="s">
        <v>450</v>
      </c>
      <c r="C20" s="193"/>
      <c r="D20" s="193"/>
      <c r="E20" s="193"/>
      <c r="F20" s="190" t="s">
        <v>408</v>
      </c>
      <c r="G20" s="193"/>
      <c r="H20" s="193"/>
      <c r="I20" s="195"/>
      <c r="J20" s="819"/>
    </row>
    <row r="21" spans="1:10" ht="12.75" customHeight="1">
      <c r="A21" s="171" t="s">
        <v>406</v>
      </c>
      <c r="B21" s="217" t="s">
        <v>451</v>
      </c>
      <c r="C21" s="193"/>
      <c r="D21" s="193"/>
      <c r="E21" s="193"/>
      <c r="F21" s="190" t="s">
        <v>411</v>
      </c>
      <c r="G21" s="193"/>
      <c r="H21" s="193"/>
      <c r="I21" s="195"/>
      <c r="J21" s="819"/>
    </row>
    <row r="22" spans="1:10" ht="12.75" customHeight="1">
      <c r="A22" s="167" t="s">
        <v>409</v>
      </c>
      <c r="B22" s="217" t="s">
        <v>452</v>
      </c>
      <c r="C22" s="193"/>
      <c r="D22" s="193"/>
      <c r="E22" s="193"/>
      <c r="F22" s="188" t="s">
        <v>414</v>
      </c>
      <c r="G22" s="193"/>
      <c r="H22" s="193"/>
      <c r="I22" s="195"/>
      <c r="J22" s="819"/>
    </row>
    <row r="23" spans="1:10" ht="12.75" customHeight="1">
      <c r="A23" s="171" t="s">
        <v>412</v>
      </c>
      <c r="B23" s="218" t="s">
        <v>453</v>
      </c>
      <c r="C23" s="193"/>
      <c r="D23" s="193"/>
      <c r="E23" s="193"/>
      <c r="F23" s="190" t="s">
        <v>454</v>
      </c>
      <c r="G23" s="193"/>
      <c r="H23" s="193"/>
      <c r="I23" s="195"/>
      <c r="J23" s="819"/>
    </row>
    <row r="24" spans="1:10" ht="12.75" customHeight="1">
      <c r="A24" s="167" t="s">
        <v>415</v>
      </c>
      <c r="B24" s="219" t="s">
        <v>455</v>
      </c>
      <c r="C24" s="197">
        <f>+C25+C26+C27+C28+C29</f>
        <v>0</v>
      </c>
      <c r="D24" s="197">
        <f>+D25+D26+D27+D28+D29</f>
        <v>0</v>
      </c>
      <c r="E24" s="197">
        <f>+E25+E26+E27+E28+E29</f>
        <v>0</v>
      </c>
      <c r="F24" s="220" t="s">
        <v>456</v>
      </c>
      <c r="G24" s="193"/>
      <c r="H24" s="193"/>
      <c r="I24" s="195"/>
      <c r="J24" s="819"/>
    </row>
    <row r="25" spans="1:10" ht="12.75" customHeight="1">
      <c r="A25" s="171" t="s">
        <v>418</v>
      </c>
      <c r="B25" s="218" t="s">
        <v>457</v>
      </c>
      <c r="C25" s="193"/>
      <c r="D25" s="193"/>
      <c r="E25" s="193"/>
      <c r="F25" s="220" t="s">
        <v>355</v>
      </c>
      <c r="G25" s="193"/>
      <c r="H25" s="193"/>
      <c r="I25" s="195"/>
      <c r="J25" s="819"/>
    </row>
    <row r="26" spans="1:10" ht="12.75" customHeight="1">
      <c r="A26" s="167" t="s">
        <v>420</v>
      </c>
      <c r="B26" s="218" t="s">
        <v>421</v>
      </c>
      <c r="C26" s="193"/>
      <c r="D26" s="193"/>
      <c r="E26" s="193"/>
      <c r="F26" s="221"/>
      <c r="G26" s="193"/>
      <c r="H26" s="193"/>
      <c r="I26" s="195"/>
      <c r="J26" s="819"/>
    </row>
    <row r="27" spans="1:10" ht="12.75" customHeight="1">
      <c r="A27" s="171" t="s">
        <v>422</v>
      </c>
      <c r="B27" s="217" t="s">
        <v>458</v>
      </c>
      <c r="C27" s="193"/>
      <c r="D27" s="193"/>
      <c r="E27" s="193"/>
      <c r="F27" s="222"/>
      <c r="G27" s="193"/>
      <c r="H27" s="193"/>
      <c r="I27" s="195"/>
      <c r="J27" s="819"/>
    </row>
    <row r="28" spans="1:10" ht="12.75" customHeight="1">
      <c r="A28" s="167" t="s">
        <v>423</v>
      </c>
      <c r="B28" s="223" t="s">
        <v>459</v>
      </c>
      <c r="C28" s="193"/>
      <c r="D28" s="193"/>
      <c r="E28" s="193"/>
      <c r="F28" s="177"/>
      <c r="G28" s="193"/>
      <c r="H28" s="193"/>
      <c r="I28" s="195"/>
      <c r="J28" s="819"/>
    </row>
    <row r="29" spans="1:10" ht="12.75" customHeight="1">
      <c r="A29" s="171" t="s">
        <v>424</v>
      </c>
      <c r="B29" s="224" t="s">
        <v>460</v>
      </c>
      <c r="C29" s="193"/>
      <c r="D29" s="193"/>
      <c r="E29" s="193"/>
      <c r="F29" s="222"/>
      <c r="G29" s="193"/>
      <c r="H29" s="193"/>
      <c r="I29" s="195"/>
      <c r="J29" s="819"/>
    </row>
    <row r="30" spans="1:10" ht="21.75" customHeight="1">
      <c r="A30" s="183" t="s">
        <v>427</v>
      </c>
      <c r="B30" s="184" t="s">
        <v>461</v>
      </c>
      <c r="C30" s="185">
        <f>+C18+C24</f>
        <v>6300185</v>
      </c>
      <c r="D30" s="185">
        <f>+D18+D24</f>
        <v>6300185</v>
      </c>
      <c r="E30" s="185">
        <f>+E18+E24</f>
        <v>6300185</v>
      </c>
      <c r="F30" s="184" t="s">
        <v>462</v>
      </c>
      <c r="G30" s="185">
        <f>SUM(G18:G29)</f>
        <v>0</v>
      </c>
      <c r="H30" s="185">
        <f>SUM(H18:H29)</f>
        <v>0</v>
      </c>
      <c r="I30" s="186">
        <f>SUM(I18:I29)</f>
        <v>0</v>
      </c>
      <c r="J30" s="819"/>
    </row>
    <row r="31" spans="1:10" ht="12.75">
      <c r="A31" s="183" t="s">
        <v>429</v>
      </c>
      <c r="B31" s="201" t="s">
        <v>463</v>
      </c>
      <c r="C31" s="202">
        <f>+C17+C30</f>
        <v>160262040</v>
      </c>
      <c r="D31" s="202">
        <f>+D17+D30</f>
        <v>87599974</v>
      </c>
      <c r="E31" s="203">
        <f>+E17+E30</f>
        <v>68364908</v>
      </c>
      <c r="F31" s="201" t="s">
        <v>464</v>
      </c>
      <c r="G31" s="202">
        <f>+G17+G30</f>
        <v>225899912</v>
      </c>
      <c r="H31" s="202">
        <f>+H17+H30</f>
        <v>170944496</v>
      </c>
      <c r="I31" s="203">
        <f>+I17+I30</f>
        <v>137290800</v>
      </c>
      <c r="J31" s="819"/>
    </row>
    <row r="32" spans="1:10" ht="12.75">
      <c r="A32" s="183" t="s">
        <v>432</v>
      </c>
      <c r="B32" s="201" t="s">
        <v>430</v>
      </c>
      <c r="C32" s="202">
        <f>IF(C17-G17&lt;0,G17-C17,"-")</f>
        <v>71938057</v>
      </c>
      <c r="D32" s="202">
        <f>IF(D17-H17&lt;0,H17-D17,"-")</f>
        <v>89644707</v>
      </c>
      <c r="E32" s="203">
        <f>IF(E17-I17&lt;0,I17-E17,"-")</f>
        <v>75226077</v>
      </c>
      <c r="F32" s="201" t="s">
        <v>431</v>
      </c>
      <c r="G32" s="202" t="str">
        <f>IF(C17-G17&gt;0,C17-G17,"-")</f>
        <v>-</v>
      </c>
      <c r="H32" s="202" t="str">
        <f>IF(D17-H17&gt;0,D17-H17,"-")</f>
        <v>-</v>
      </c>
      <c r="I32" s="203" t="str">
        <f>IF(E17-I17&gt;0,E17-I17,"-")</f>
        <v>-</v>
      </c>
      <c r="J32" s="819"/>
    </row>
    <row r="33" spans="1:10" ht="12.75">
      <c r="A33" s="183" t="s">
        <v>465</v>
      </c>
      <c r="B33" s="201" t="s">
        <v>433</v>
      </c>
      <c r="C33" s="202">
        <f>IF(C31-G31&lt;0,G31-C31,"-")</f>
        <v>65637872</v>
      </c>
      <c r="D33" s="202">
        <f>IF(D31-H31&lt;0,H31-D31,"-")</f>
        <v>83344522</v>
      </c>
      <c r="E33" s="202">
        <f>IF(E31-I31&lt;0,I31-E31,"-")</f>
        <v>68925892</v>
      </c>
      <c r="F33" s="201" t="s">
        <v>434</v>
      </c>
      <c r="G33" s="202" t="str">
        <f>IF(C31-G31&gt;0,C31-G31,"-")</f>
        <v>-</v>
      </c>
      <c r="H33" s="202" t="str">
        <f>IF(D31-H31&gt;0,D31-H31,"-")</f>
        <v>-</v>
      </c>
      <c r="I33" s="202" t="str">
        <f>IF(E31-I31&gt;0,E31-I31,"-")</f>
        <v>-</v>
      </c>
      <c r="J33" s="819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4722222222222222" bottom="0.7875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Némethné Szitár Ibolya</dc:creator>
  <cp:keywords/>
  <dc:description/>
  <cp:lastModifiedBy>Kovácsné Rack Mária</cp:lastModifiedBy>
  <cp:lastPrinted>2019-05-27T12:11:16Z</cp:lastPrinted>
  <dcterms:created xsi:type="dcterms:W3CDTF">2019-05-27T05:57:14Z</dcterms:created>
  <dcterms:modified xsi:type="dcterms:W3CDTF">2019-05-27T12:11:24Z</dcterms:modified>
  <cp:category/>
  <cp:version/>
  <cp:contentType/>
  <cp:contentStatus/>
</cp:coreProperties>
</file>