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545" windowHeight="5775" firstSheet="32" activeTab="33"/>
  </bookViews>
  <sheets>
    <sheet name="Szf.össz." sheetId="1" r:id="rId1"/>
    <sheet name="Alap" sheetId="2" r:id="rId2"/>
    <sheet name="05" sheetId="3" r:id="rId3"/>
    <sheet name="01" sheetId="4" r:id="rId4"/>
    <sheet name="851011" sheetId="5" r:id="rId5"/>
    <sheet name="851011_091110" sheetId="6" r:id="rId6"/>
    <sheet name="370000" sheetId="7" r:id="rId7"/>
    <sheet name="370000_052020" sheetId="8" r:id="rId8"/>
    <sheet name="381103" sheetId="9" r:id="rId9"/>
    <sheet name="381103_051030" sheetId="10" r:id="rId10"/>
    <sheet name="522000" sheetId="11" r:id="rId11"/>
    <sheet name="522000_045160" sheetId="12" r:id="rId12"/>
    <sheet name="562912" sheetId="13" r:id="rId13"/>
    <sheet name="562912_096010" sheetId="14" r:id="rId14"/>
    <sheet name="562913" sheetId="15" r:id="rId15"/>
    <sheet name="562913_096020" sheetId="16" r:id="rId16"/>
    <sheet name="562916" sheetId="17" r:id="rId17"/>
    <sheet name="562916_081071" sheetId="18" r:id="rId18"/>
    <sheet name="562917" sheetId="19" r:id="rId19"/>
    <sheet name="562917_999999" sheetId="20" r:id="rId20"/>
    <sheet name="680001" sheetId="21" r:id="rId21"/>
    <sheet name="680001_013350" sheetId="22" r:id="rId22"/>
    <sheet name="680002" sheetId="23" r:id="rId23"/>
    <sheet name="680002_013350" sheetId="24" r:id="rId24"/>
    <sheet name="750000" sheetId="25" r:id="rId25"/>
    <sheet name="750000_042180" sheetId="26" r:id="rId26"/>
    <sheet name="841358" sheetId="27" r:id="rId27"/>
    <sheet name="841358_047320" sheetId="28" r:id="rId28"/>
    <sheet name="811000" sheetId="29" r:id="rId29"/>
    <sheet name="811000_013350" sheetId="30" r:id="rId30"/>
    <sheet name="813000" sheetId="31" r:id="rId31"/>
    <sheet name="813000_066010" sheetId="32" r:id="rId32"/>
    <sheet name="841154" sheetId="33" r:id="rId33"/>
    <sheet name="841154_013350" sheetId="34" r:id="rId34"/>
    <sheet name="841402" sheetId="35" r:id="rId35"/>
    <sheet name="841402_064010" sheetId="36" r:id="rId36"/>
    <sheet name="841403" sheetId="37" r:id="rId37"/>
    <sheet name="841403_066020" sheetId="38" r:id="rId38"/>
    <sheet name="842155" sheetId="39" r:id="rId39"/>
    <sheet name="842155_086030" sheetId="40" r:id="rId40"/>
    <sheet name="852011" sheetId="41" r:id="rId41"/>
    <sheet name="852011_013350" sheetId="42" r:id="rId42"/>
    <sheet name="862101" sheetId="43" r:id="rId43"/>
    <sheet name="862101_072111" sheetId="44" r:id="rId44"/>
    <sheet name="862102" sheetId="45" r:id="rId45"/>
    <sheet name="862102_072112" sheetId="46" r:id="rId46"/>
    <sheet name="862231" sheetId="47" r:id="rId47"/>
    <sheet name="862231_074011" sheetId="48" r:id="rId48"/>
    <sheet name="862301" sheetId="49" r:id="rId49"/>
    <sheet name="862301_072311" sheetId="50" r:id="rId50"/>
    <sheet name="869041" sheetId="51" r:id="rId51"/>
    <sheet name="869041_074031" sheetId="52" r:id="rId52"/>
    <sheet name="889921" sheetId="53" r:id="rId53"/>
    <sheet name="889921_107051" sheetId="54" r:id="rId54"/>
    <sheet name="889924" sheetId="55" r:id="rId55"/>
    <sheet name="889924_107054" sheetId="56" r:id="rId56"/>
    <sheet name="889928" sheetId="57" r:id="rId57"/>
    <sheet name="889928_107055" sheetId="58" r:id="rId58"/>
    <sheet name="890301" sheetId="59" r:id="rId59"/>
    <sheet name="890301_084031" sheetId="60" r:id="rId60"/>
    <sheet name="támogatás" sheetId="61" r:id="rId61"/>
    <sheet name="890442" sheetId="62" r:id="rId62"/>
    <sheet name="889442_041231" sheetId="63" r:id="rId63"/>
    <sheet name="890444" sheetId="64" r:id="rId64"/>
    <sheet name="890444_041231" sheetId="65" r:id="rId65"/>
    <sheet name="910123" sheetId="66" r:id="rId66"/>
    <sheet name="910123_082092" sheetId="67" r:id="rId67"/>
    <sheet name="910502" sheetId="68" r:id="rId68"/>
    <sheet name="910502_082902" sheetId="69" r:id="rId69"/>
    <sheet name="932911" sheetId="70" r:id="rId70"/>
    <sheet name="932911_081061" sheetId="71" r:id="rId71"/>
    <sheet name="940000" sheetId="72" r:id="rId72"/>
    <sheet name="940000_013390" sheetId="73" r:id="rId73"/>
    <sheet name="960302" sheetId="74" r:id="rId74"/>
    <sheet name="960302_013320" sheetId="75" r:id="rId75"/>
    <sheet name="Fejlesztés" sheetId="76" r:id="rId76"/>
  </sheets>
  <externalReferences>
    <externalReference r:id="rId79"/>
    <externalReference r:id="rId80"/>
    <externalReference r:id="rId81"/>
    <externalReference r:id="rId82"/>
    <externalReference r:id="rId83"/>
    <externalReference r:id="rId84"/>
  </externalReferences>
  <definedNames>
    <definedName name="_xlnm.Print_Area" localSheetId="6">'370000'!$A$1:$G$13</definedName>
    <definedName name="_xlnm.Print_Area" localSheetId="8">'381103'!$A$1:$K$38</definedName>
    <definedName name="_xlnm.Print_Area" localSheetId="10">'522000'!$A$1:$L$40</definedName>
    <definedName name="_xlnm.Print_Area" localSheetId="12">'562912'!$A$1:$I$43</definedName>
    <definedName name="_xlnm.Print_Area" localSheetId="14">'562913'!$A$1:$K$181</definedName>
    <definedName name="_xlnm.Print_Area" localSheetId="18">'562917'!$A$1:$G$40</definedName>
    <definedName name="_xlnm.Print_Area" localSheetId="20">'680001'!$A$1:$I$25</definedName>
    <definedName name="_xlnm.Print_Area" localSheetId="24">'750000'!$A$1:$G$15</definedName>
    <definedName name="_xlnm.Print_Area" localSheetId="28">'811000'!$A$1:$K$43</definedName>
    <definedName name="_xlnm.Print_Area" localSheetId="30">'813000'!$A$1:$L$64</definedName>
    <definedName name="_xlnm.Print_Area" localSheetId="32">'841154'!$A$1:$H$86</definedName>
    <definedName name="_xlnm.Print_Area" localSheetId="26">'841358'!$A$1:$H$48</definedName>
    <definedName name="_xlnm.Print_Area" localSheetId="34">'841402'!$A$1:$G$22</definedName>
    <definedName name="_xlnm.Print_Area" localSheetId="36">'841403'!$A$1:$M$63</definedName>
    <definedName name="_xlnm.Print_Area" localSheetId="38">'842155'!$A$1:$G$14</definedName>
    <definedName name="_xlnm.Print_Area" localSheetId="4">'851011'!$A$1:$N$76</definedName>
    <definedName name="_xlnm.Print_Area" localSheetId="40">'852011'!$A$1:$H$78</definedName>
    <definedName name="_xlnm.Print_Area" localSheetId="42">'862101'!$A$1:$I$61</definedName>
    <definedName name="_xlnm.Print_Area" localSheetId="50">'869041'!$A$1:$H$61</definedName>
    <definedName name="_xlnm.Print_Area" localSheetId="52">'889921'!$A$1:$F$40</definedName>
    <definedName name="_xlnm.Print_Area" localSheetId="54">'889924'!$A$1:$I$14</definedName>
    <definedName name="_xlnm.Print_Area" localSheetId="56">'889928'!$A$1:$K$47</definedName>
    <definedName name="_xlnm.Print_Area" localSheetId="58">'890301'!$A$1:$H$12</definedName>
    <definedName name="_xlnm.Print_Area" localSheetId="61">'890442'!$A$1:$J$33</definedName>
    <definedName name="_xlnm.Print_Area" localSheetId="63">'890444'!$A$1:$I$33</definedName>
    <definedName name="_xlnm.Print_Area" localSheetId="65">'910123'!$A$1:$J$52</definedName>
    <definedName name="_xlnm.Print_Area" localSheetId="67">'910502'!$A$1:$K$59</definedName>
    <definedName name="_xlnm.Print_Area" localSheetId="69">'932911'!$A$1:$I$18</definedName>
    <definedName name="_xlnm.Print_Area" localSheetId="72">'940000_013390'!$A$1:$H$101</definedName>
    <definedName name="_xlnm.Print_Area" localSheetId="73">'960302'!$A$1:$J$38</definedName>
    <definedName name="_xlnm.Print_Area" localSheetId="0">'Szf.össz.'!$A$1:$D$52</definedName>
  </definedNames>
  <calcPr fullCalcOnLoad="1"/>
</workbook>
</file>

<file path=xl/sharedStrings.xml><?xml version="1.0" encoding="utf-8"?>
<sst xmlns="http://schemas.openxmlformats.org/spreadsheetml/2006/main" count="9799" uniqueCount="1591">
  <si>
    <t>Költségvetési kiadások összesen:</t>
  </si>
  <si>
    <t>Közlekedési költségtérítés</t>
  </si>
  <si>
    <t>Társadalombiztosítási járulék</t>
  </si>
  <si>
    <t>Munkaadói járulék</t>
  </si>
  <si>
    <t>Egészségügyi hozzájárulás</t>
  </si>
  <si>
    <t>Munkaadókat terhelő járulékok összesen</t>
  </si>
  <si>
    <t>Irodaszer,nyomtatvány beszerzés</t>
  </si>
  <si>
    <t>Készletbeszerzések összesen</t>
  </si>
  <si>
    <t>Nem adatátvitel célú távközlési díjak</t>
  </si>
  <si>
    <t>Szállítási szolgáltatások</t>
  </si>
  <si>
    <t>Gázenergia-szolgáltatás díjak</t>
  </si>
  <si>
    <t>Villamosenergia-szolgáltatás díjak</t>
  </si>
  <si>
    <t>Víz-és csatornadíjak</t>
  </si>
  <si>
    <t>Gépek,berendezések karbantartása</t>
  </si>
  <si>
    <t>Egyéb üzemeltetési,fenntartási szolgáltatás</t>
  </si>
  <si>
    <t>Postai levél, csomag, távirat</t>
  </si>
  <si>
    <t>Szolgáltatások összesen</t>
  </si>
  <si>
    <t>Vásárolt termékek és szolg.ÁFA.</t>
  </si>
  <si>
    <t>Belföldi kiküldetés</t>
  </si>
  <si>
    <t>Reprezentáció</t>
  </si>
  <si>
    <t>Különféle dologi kiadások</t>
  </si>
  <si>
    <t>OTP közreműködési költség</t>
  </si>
  <si>
    <t>Biztosítási díj</t>
  </si>
  <si>
    <t>Egyéb folyó kiadások összesen</t>
  </si>
  <si>
    <t>Tanfolyam díjak</t>
  </si>
  <si>
    <t>Külső személyi juttatások összesen</t>
  </si>
  <si>
    <t>Ingatlan karbantartás</t>
  </si>
  <si>
    <t>Üdülési hozzájárulás</t>
  </si>
  <si>
    <t>Munkaruha, védőruha</t>
  </si>
  <si>
    <t>Dologi kiadások összesen:</t>
  </si>
  <si>
    <t>Napidíj</t>
  </si>
  <si>
    <t>Könyv,folyóirat,egyéb inf.hord. Beszerzés</t>
  </si>
  <si>
    <t>Egyéb készlet beszerzés</t>
  </si>
  <si>
    <t>Nem adatátviteli célu távközlési díjak</t>
  </si>
  <si>
    <t>Egyéb kommunikációs szolgáltatások</t>
  </si>
  <si>
    <t>Villamosenergia- szolgáltatás díjak</t>
  </si>
  <si>
    <t>Gázenergia- szolgáltatás díjak</t>
  </si>
  <si>
    <t>Postai levél,csomag,távirat</t>
  </si>
  <si>
    <t>Vásárolt termékek és szolg. ÁFA</t>
  </si>
  <si>
    <t xml:space="preserve">Étkezési hozzájárulás </t>
  </si>
  <si>
    <t>Tanfolyam díjak(Felsőfokú,egyéb tanf.)</t>
  </si>
  <si>
    <t>Fejlesztési kiadások összesen</t>
  </si>
  <si>
    <t>Táppénz hozzájárulás</t>
  </si>
  <si>
    <t>Működési kiadások összesen:</t>
  </si>
  <si>
    <t>Személyi juttatások össszesen:</t>
  </si>
  <si>
    <t>Napidíj(költségtérítés)</t>
  </si>
  <si>
    <t xml:space="preserve">Állományba nem tart. juttatásai </t>
  </si>
  <si>
    <t>Egyéb készletbeszerzés(tisztítószer, karb.anyag)</t>
  </si>
  <si>
    <t>Jubileumi jutalom</t>
  </si>
  <si>
    <t>Szabadidő megváltás</t>
  </si>
  <si>
    <t>Rendszeres és nem rendsz.szem.jutt. összesen</t>
  </si>
  <si>
    <t>Szolgáltatások</t>
  </si>
  <si>
    <t>Vásárolt term.és szolg.ÁFA-ja</t>
  </si>
  <si>
    <t>Kül. dologi kiadások</t>
  </si>
  <si>
    <t>ÁFA</t>
  </si>
  <si>
    <t>Vásárolt termékek és szolg.ÁFA</t>
  </si>
  <si>
    <t>Különféle dologi kiadások összesen</t>
  </si>
  <si>
    <t>Város és községgazdálkodás</t>
  </si>
  <si>
    <t>Villamos-energia szolgáltatás díj</t>
  </si>
  <si>
    <t>Víz-csatorna díj</t>
  </si>
  <si>
    <t>Vásárolt termékek és szolgáltatások ÁFA.</t>
  </si>
  <si>
    <t>Ingatlan karbantartás (bérlemények)</t>
  </si>
  <si>
    <t>Összesen:</t>
  </si>
  <si>
    <t>Fejlesztési kiadás összesen:</t>
  </si>
  <si>
    <t>Szolgáltatások összesen:</t>
  </si>
  <si>
    <t>ÁFA befizetés</t>
  </si>
  <si>
    <t>Közalkalmazottak alapilletménye</t>
  </si>
  <si>
    <t>Helyettesítés</t>
  </si>
  <si>
    <t>Rendsz. és nem rendsz. szem.juttatás össz.:</t>
  </si>
  <si>
    <t>Munkaadókat terhelő járulékok</t>
  </si>
  <si>
    <t>Dologi kiadások összesen</t>
  </si>
  <si>
    <t>Munkaegészségügyi ellátás</t>
  </si>
  <si>
    <t>Polgármesteri Hivatal</t>
  </si>
  <si>
    <t xml:space="preserve"> </t>
  </si>
  <si>
    <t xml:space="preserve">Költségvetési kiadások összesen: </t>
  </si>
  <si>
    <t>Közalkalmazottak egyéb köt.ill.pótléka</t>
  </si>
  <si>
    <t>Rendszeres és nem rendsz.szem.jutt.összesen</t>
  </si>
  <si>
    <t>Munkaadókat terhelő járulék összesen</t>
  </si>
  <si>
    <t>Irodaszer, nyomtatvány beszerzés</t>
  </si>
  <si>
    <t>Szakmai anyag és kisért.tárgyi eszközök</t>
  </si>
  <si>
    <t>Munkaruha,védőruha,formaruha,egyenruha</t>
  </si>
  <si>
    <t>Nem adatátvitelű célú távközlési díjak</t>
  </si>
  <si>
    <t>Egyéb folyó kiadások</t>
  </si>
  <si>
    <t>Víz és csatorna szolg.dija</t>
  </si>
  <si>
    <t>Egyéb üzemeltetési és fenntartási szolg.</t>
  </si>
  <si>
    <t>Gép,berendezés karbant.</t>
  </si>
  <si>
    <t>Egyéb üzemeltetési fenntart. szolg.</t>
  </si>
  <si>
    <t>Szakmai tev. igénybevett szolgáltatás</t>
  </si>
  <si>
    <t>Hajtó és kenőanyag</t>
  </si>
  <si>
    <t>Szakmai anyagok</t>
  </si>
  <si>
    <t>Egyéb készlet</t>
  </si>
  <si>
    <t>Rendszeres és nem rendszeres szem.jutt. össz.</t>
  </si>
  <si>
    <t>Készletbeszerzések</t>
  </si>
  <si>
    <t>Járművek karbantartási költsége</t>
  </si>
  <si>
    <t>Szolgáltatás összesen</t>
  </si>
  <si>
    <t>Nem adatátvitel célú távközlési díjak(mobil telefon)</t>
  </si>
  <si>
    <t>Biztosítási díj  (vagyon, cascó, kötelező)</t>
  </si>
  <si>
    <t>Egyéb készletbeszerzés</t>
  </si>
  <si>
    <t>Működési kiadás összesen:</t>
  </si>
  <si>
    <t>Összesen</t>
  </si>
  <si>
    <t>Gáz-energia szolgáltatás díja</t>
  </si>
  <si>
    <t>Villamos-energia szolgáltatás díja</t>
  </si>
  <si>
    <t>Víz- csatorna díj</t>
  </si>
  <si>
    <t>Vásárolt termékek és szolgáltatások ÁFA</t>
  </si>
  <si>
    <t>Nem adatatv. célú távk. díjak</t>
  </si>
  <si>
    <t>Személyi juttatás összesen:</t>
  </si>
  <si>
    <t>Könyv, folyóirat</t>
  </si>
  <si>
    <t>Műk.célú pe.átadás non-profit szervnek</t>
  </si>
  <si>
    <t>Kiadások összesen:</t>
  </si>
  <si>
    <t>Fejlesztési kiadások</t>
  </si>
  <si>
    <t>Működési kiadások</t>
  </si>
  <si>
    <t>Működési kadások összesen:</t>
  </si>
  <si>
    <t>kisértékű tárgyi eszközök</t>
  </si>
  <si>
    <t>Reklám és propaganda</t>
  </si>
  <si>
    <t>Karbantartási költség</t>
  </si>
  <si>
    <t>Szakmai anyag és kisértékű te.besz.</t>
  </si>
  <si>
    <t>Turisztikai alapból Támogatás</t>
  </si>
  <si>
    <t xml:space="preserve">Közalkalmazottak alapilletménye </t>
  </si>
  <si>
    <t>Költségvetési kiadások összesen</t>
  </si>
  <si>
    <t>Működésre átadott pénzeszköz</t>
  </si>
  <si>
    <t>Fejlesztési kiadások:</t>
  </si>
  <si>
    <t>Részfoglalkozású közalk. Alapilletmény</t>
  </si>
  <si>
    <t>Egyéb kommunikációs szolgáltatások, internet</t>
  </si>
  <si>
    <t>Készletek összesen:</t>
  </si>
  <si>
    <t>Egyéb információhordozó</t>
  </si>
  <si>
    <t>Gázenergia szolgáltatás díja</t>
  </si>
  <si>
    <t>Munkaruha,védőruha</t>
  </si>
  <si>
    <t>Egyéb készlet beszerzés (tisztitószer, kézművesműhely)</t>
  </si>
  <si>
    <t>Munkaruha</t>
  </si>
  <si>
    <t>Áll. nem tartozók juttatása( helyettesítés)</t>
  </si>
  <si>
    <t>Túlóra</t>
  </si>
  <si>
    <t>Irodaszer</t>
  </si>
  <si>
    <t xml:space="preserve">Szakmai anyag </t>
  </si>
  <si>
    <t>Adatátvitel</t>
  </si>
  <si>
    <t>Rendszeres személyi jut össz</t>
  </si>
  <si>
    <t>MT. foglalk./takarító/</t>
  </si>
  <si>
    <t xml:space="preserve">Nyomtatvány </t>
  </si>
  <si>
    <t>Kurtaxa</t>
  </si>
  <si>
    <t xml:space="preserve">Foglalkozásegészségügyi tevékenység </t>
  </si>
  <si>
    <t>Közvilágítási feladatok .</t>
  </si>
  <si>
    <t>13.havi illetmény</t>
  </si>
  <si>
    <t>Reklám és propaganda kiadások (szorólap)</t>
  </si>
  <si>
    <t>Részmunkaidős egyéb jutt.</t>
  </si>
  <si>
    <t>Átadott pézeszk. Összesen</t>
  </si>
  <si>
    <t>Vásárolt közszolg.(Utazás kiállítás)</t>
  </si>
  <si>
    <t>Ingatlan karbantartás (festés, ,javítás)</t>
  </si>
  <si>
    <t>Kisértékű tárgyi eszközök beszerzése(asztalok)</t>
  </si>
  <si>
    <t>Betegszabadság</t>
  </si>
  <si>
    <r>
      <t>Továbbszámlázott szolgáltatás</t>
    </r>
    <r>
      <rPr>
        <sz val="12"/>
        <rFont val="Times New Roman CE"/>
        <family val="0"/>
      </rPr>
      <t xml:space="preserve"> ,</t>
    </r>
    <r>
      <rPr>
        <sz val="12"/>
        <rFont val="Arial"/>
        <family val="2"/>
      </rPr>
      <t xml:space="preserve"> Gagarin,víz,szennyviz</t>
    </r>
  </si>
  <si>
    <t>Személyi juttatások összesen:</t>
  </si>
  <si>
    <t>Kisértékű tárgyi eszköz beszerzés</t>
  </si>
  <si>
    <t>Szakmai ig. szolg.</t>
  </si>
  <si>
    <t xml:space="preserve">Vásárolt termékek és szolgáltatások ÁFA. </t>
  </si>
  <si>
    <t>Reklám és propaganda kiadások (hírdetési díj)</t>
  </si>
  <si>
    <t>Bérleti díj (világítás korsz.)</t>
  </si>
  <si>
    <r>
      <t>Egyéb kommunikációs szolg.(</t>
    </r>
    <r>
      <rPr>
        <sz val="10"/>
        <rFont val="Times New Roman CE"/>
        <family val="0"/>
      </rPr>
      <t>programfelügy.díjak, CD jogtár, adó, főkönyvi, népesség, szoc.)</t>
    </r>
  </si>
  <si>
    <t>Fejlesztés</t>
  </si>
  <si>
    <t>Fejlsztési kiadások</t>
  </si>
  <si>
    <t>Szervezetek</t>
  </si>
  <si>
    <t>Megyei Könyvtár</t>
  </si>
  <si>
    <t>Nyugdíjasklub</t>
  </si>
  <si>
    <t>Polgárőrség</t>
  </si>
  <si>
    <t>Nők szervezete</t>
  </si>
  <si>
    <t>Dalkör</t>
  </si>
  <si>
    <t>Megnevezés</t>
  </si>
  <si>
    <t>napidíj</t>
  </si>
  <si>
    <t>egyéb készlet</t>
  </si>
  <si>
    <t>Készletbeszerzés</t>
  </si>
  <si>
    <t>Vásárolt élelmezés</t>
  </si>
  <si>
    <t>Felújítás összesen:</t>
  </si>
  <si>
    <t>Beruházás nettó</t>
  </si>
  <si>
    <t>beruházás áfa</t>
  </si>
  <si>
    <t>Beruházás összesen</t>
  </si>
  <si>
    <t>Közalk.egyéb jutt.</t>
  </si>
  <si>
    <t>Egyéb bérrendszer alá tart.jutt.</t>
  </si>
  <si>
    <t>Készlet beszerzés</t>
  </si>
  <si>
    <t>Mozdulj Világos Sportegyesület</t>
  </si>
  <si>
    <t>Cafetéria (Étkezési hozzájárulás, beisk.,stb)</t>
  </si>
  <si>
    <t xml:space="preserve">Megbízási díj </t>
  </si>
  <si>
    <t>Balatoni futár</t>
  </si>
  <si>
    <t>Szállítási szolg.</t>
  </si>
  <si>
    <t>Cafeteria</t>
  </si>
  <si>
    <t>Étkezési hozzájárulás+cafeteria</t>
  </si>
  <si>
    <t>Általános Rendezési Terv</t>
  </si>
  <si>
    <t xml:space="preserve">Kiadások összesen: </t>
  </si>
  <si>
    <t>Kiadványra átadott pénzeszköz</t>
  </si>
  <si>
    <t>Átadott pémzeszköz összesen:</t>
  </si>
  <si>
    <t xml:space="preserve">841402 1 </t>
  </si>
  <si>
    <t>841403 1</t>
  </si>
  <si>
    <t>Máshová nem sorolt egyéb közösségi tevékenység</t>
  </si>
  <si>
    <t>Mozdulj Balaton</t>
  </si>
  <si>
    <t xml:space="preserve">Állategészségügyi ellátás </t>
  </si>
  <si>
    <t>862101 1</t>
  </si>
  <si>
    <t>Család és nővédelmi egészs.gondozás</t>
  </si>
  <si>
    <t>869041 1</t>
  </si>
  <si>
    <t xml:space="preserve">Háziorvosi alapellátás </t>
  </si>
  <si>
    <t>megbízási díj (mosásért)</t>
  </si>
  <si>
    <t>Könyvtáros megbízási díja</t>
  </si>
  <si>
    <t>Adatátvételi távközlési díjak (internet)</t>
  </si>
  <si>
    <t>*</t>
  </si>
  <si>
    <t>Szakmai anyag besz.</t>
  </si>
  <si>
    <t>Könyv beszerzés</t>
  </si>
  <si>
    <t>folyóirat(közlönyök,szakkönyvek,újság) beszerzés</t>
  </si>
  <si>
    <t xml:space="preserve">
 910123 könyvtári szolgáltatások </t>
  </si>
  <si>
    <t xml:space="preserve">  Családsegítés</t>
  </si>
  <si>
    <t xml:space="preserve"> Tanyagondnoki Szolgálat  </t>
  </si>
  <si>
    <t>Fogorvosi alapellátás</t>
  </si>
  <si>
    <t>Szakmai igénybe vett szolgáltatás</t>
  </si>
  <si>
    <t>Háziorvosi ügyeleti ellátás</t>
  </si>
  <si>
    <t>Civil szervezetek támogatása</t>
  </si>
  <si>
    <t xml:space="preserve">BAHART tőkeemlés </t>
  </si>
  <si>
    <t xml:space="preserve">910502 Közművelődési színterek műk.
</t>
  </si>
  <si>
    <t>Munkáltató álral fizetett SZJA</t>
  </si>
  <si>
    <t>Munk.által fiz.SZJA</t>
  </si>
  <si>
    <t>Munk.áltak fiz. SZJA</t>
  </si>
  <si>
    <t>jutalom</t>
  </si>
  <si>
    <t>Munkáltató által fizetett szja</t>
  </si>
  <si>
    <t xml:space="preserve">Rehab.hozzájár. </t>
  </si>
  <si>
    <t>Szakmai tev.igénybevett szolgáltatás (takarnet,) (könyvvizsg.díj,audit, besz.közzététel, térinf., irat archiválás, SALDÓ tagdíj)</t>
  </si>
  <si>
    <t xml:space="preserve">Egészségügyi hozzájárulás </t>
  </si>
  <si>
    <t>Jutalom</t>
  </si>
  <si>
    <t>Rendezvények</t>
  </si>
  <si>
    <t>Nemzetközi kapcsolatok</t>
  </si>
  <si>
    <t>Számítógép beszerzés</t>
  </si>
  <si>
    <t>Lakóingatlan bérbeadása üzemeltetése</t>
  </si>
  <si>
    <t>Gagarin ltp. 4. felújítás</t>
  </si>
  <si>
    <t>fénymásoló bérlés</t>
  </si>
  <si>
    <t>Szakfeladat</t>
  </si>
  <si>
    <t>Bevétel</t>
  </si>
  <si>
    <t>Kiadás</t>
  </si>
  <si>
    <t>Közvilágítás</t>
  </si>
  <si>
    <t>Műszerbeszerzés</t>
  </si>
  <si>
    <t>Áfa</t>
  </si>
  <si>
    <t>Fejlesztés összesen:</t>
  </si>
  <si>
    <t>Vásárolt közszolgáltatás</t>
  </si>
  <si>
    <t>Szennyvíz gyűjtése, tisztítása, elhelyezése</t>
  </si>
  <si>
    <t>Lakóingatlan bérbeadása</t>
  </si>
  <si>
    <t>Nem lakóingatlan bérbeadása, üzemeltetése</t>
  </si>
  <si>
    <t>Állategészségügyi ellátás</t>
  </si>
  <si>
    <t>Város és Községgazd.m.n.s.egyéb tevékenység</t>
  </si>
  <si>
    <t>Háziorvosi alapellátás</t>
  </si>
  <si>
    <t>Foglalkozásegészségügyi tevékenység</t>
  </si>
  <si>
    <t>Család és nővédelmi egészségügyi gondozás</t>
  </si>
  <si>
    <t>Családsegítés</t>
  </si>
  <si>
    <t>Tanyagondnoki szolgálat</t>
  </si>
  <si>
    <t>Könyvtári szolgáltatások</t>
  </si>
  <si>
    <t>Közművelődési színterek működtetése</t>
  </si>
  <si>
    <t>Gépjármű vásárlás önerő</t>
  </si>
  <si>
    <t>Szoftvervásárlás</t>
  </si>
  <si>
    <t>Képernyő előtti munkavégzés</t>
  </si>
  <si>
    <t>Nem lakóingatlan hasznosítása, üzemeltetése</t>
  </si>
  <si>
    <t>Ingatlan karbantartás (felújítási alap, kisjavítás)</t>
  </si>
  <si>
    <t>számítógép vás.</t>
  </si>
  <si>
    <t>Takarítás</t>
  </si>
  <si>
    <t>Tanfolyam, továbbképzés</t>
  </si>
  <si>
    <t>Felújítás Áfa</t>
  </si>
  <si>
    <t>Int.beruh. Áfa</t>
  </si>
  <si>
    <t>Intézményi beruházás összesen:</t>
  </si>
  <si>
    <t>Intézményi ber. Áfa</t>
  </si>
  <si>
    <t>Intézményi ber. Össszesen:</t>
  </si>
  <si>
    <t>Átadott pénzeszköz</t>
  </si>
  <si>
    <t>2012.</t>
  </si>
  <si>
    <t>2012.terv</t>
  </si>
  <si>
    <t>Kisértékű tárgyi eszközök beszerzése</t>
  </si>
  <si>
    <t>Közfoglalkoztatás</t>
  </si>
  <si>
    <t>2012. terv</t>
  </si>
  <si>
    <t>Általános Rendezési Terv (Club Aligával)</t>
  </si>
  <si>
    <t>Családi ünnepek szervezése 2012</t>
  </si>
  <si>
    <t>Projektor</t>
  </si>
  <si>
    <t>ÁFA befizetés telekértékesítés miatt</t>
  </si>
  <si>
    <t>Kismotor vásárlás</t>
  </si>
  <si>
    <t>Int.beruházás Áfa</t>
  </si>
  <si>
    <t>Fejlesztés összesen</t>
  </si>
  <si>
    <t>Strandok komfortosabbá tétele terv</t>
  </si>
  <si>
    <t>Kisértékű te.beszerzés</t>
  </si>
  <si>
    <t>Óvodai étkeztetés</t>
  </si>
  <si>
    <t>Iskolai étkeztetés</t>
  </si>
  <si>
    <t>Munkahelyi vendéglátás</t>
  </si>
  <si>
    <t>Szociális étkeztetés</t>
  </si>
  <si>
    <t>Köztemetői feladatok</t>
  </si>
  <si>
    <t>2012.eredeti</t>
  </si>
  <si>
    <t>2013.</t>
  </si>
  <si>
    <t>2013.I.</t>
  </si>
  <si>
    <t>Bérlakás kazánvás.</t>
  </si>
  <si>
    <t>kéményseprés</t>
  </si>
  <si>
    <t>Továbbszámlázott szolgáltatás  oktatási-, nevelési in tépzmények</t>
  </si>
  <si>
    <t>2012.terv.</t>
  </si>
  <si>
    <t>Telekvásárlás</t>
  </si>
  <si>
    <t>Harmat u.ivóvíz</t>
  </si>
  <si>
    <t>Arborétum kialakítása</t>
  </si>
  <si>
    <t>Épületrész vásárlás</t>
  </si>
  <si>
    <t>strand kiviteli terv</t>
  </si>
  <si>
    <t>Lidó kialakítása</t>
  </si>
  <si>
    <t>Napköziotthonos Óvoda</t>
  </si>
  <si>
    <t>GEVSZ</t>
  </si>
  <si>
    <t>Váásrolt közszolgáltatások</t>
  </si>
  <si>
    <t>30X12</t>
  </si>
  <si>
    <t>Szociális hozzájár.adó</t>
  </si>
  <si>
    <t>2013.I</t>
  </si>
  <si>
    <t>Önkormányzati dolg</t>
  </si>
  <si>
    <t>Részfoglalkoztatottak illetménye 2x73500*12</t>
  </si>
  <si>
    <t>Szociális hozzájárulási adó</t>
  </si>
  <si>
    <t>2012terv</t>
  </si>
  <si>
    <t>Szoc.hozzájár.adó</t>
  </si>
  <si>
    <r>
      <t>Szakmai tev. ig.vett szolg. (</t>
    </r>
    <r>
      <rPr>
        <sz val="10"/>
        <rFont val="Arial"/>
        <family val="2"/>
      </rPr>
      <t>dalkör vez., újság, újság szerk.)</t>
    </r>
  </si>
  <si>
    <t>2012. évi terv</t>
  </si>
  <si>
    <t>Szoc.hozzájá.adó</t>
  </si>
  <si>
    <t>Közösségi társadalmi tevékenység</t>
  </si>
  <si>
    <t>I.</t>
  </si>
  <si>
    <t>Szociális hozzáj.adó</t>
  </si>
  <si>
    <t xml:space="preserve">Emelet ablakcsere </t>
  </si>
  <si>
    <t>Szociális hj.adó</t>
  </si>
  <si>
    <t>Telep.hulladék kezelés</t>
  </si>
  <si>
    <t>Közutak, hidak üzemeltetése</t>
  </si>
  <si>
    <t>Épitményüzemeltetés</t>
  </si>
  <si>
    <t>Zöldterület gondozás</t>
  </si>
  <si>
    <t>Fürdő és strandszolgáltatás</t>
  </si>
  <si>
    <t>Önkormányzatok gazdasági tevékenysége</t>
  </si>
  <si>
    <t>Közalkalmazottak nyelvpótléka</t>
  </si>
  <si>
    <t>Gazdasági Ellátó és Vagyongazdálkodó Szervezet</t>
  </si>
  <si>
    <t>Óvodai nevelés</t>
  </si>
  <si>
    <t>Vendég, tábor,nyugdíjas</t>
  </si>
  <si>
    <t>GEVSZ összesen</t>
  </si>
  <si>
    <t xml:space="preserve">Iskolai oktatás </t>
  </si>
  <si>
    <t>Áfa befizetés</t>
  </si>
  <si>
    <t>GEVSZ központ</t>
  </si>
  <si>
    <r>
      <rPr>
        <b/>
        <sz val="12"/>
        <rFont val="Arial"/>
        <family val="2"/>
      </rPr>
      <t>Szakmai tev.igénybe vett szolgáltatás</t>
    </r>
    <r>
      <rPr>
        <sz val="12"/>
        <rFont val="Arial"/>
        <family val="2"/>
      </rPr>
      <t xml:space="preserve"> (Térkép, tul.lap 100, konz. 600, szúnyog 600, Bahart 833, tűzvéd. 300, érintésvéd.400, Tagdíj KB 420, Bszöv. 100,Töosz 40,  Leader42,.főép.1920+150, dec.szemétsz.2808, ügyvéd 1500+szemétszállítás10400+zölhull.száll. </t>
    </r>
    <r>
      <rPr>
        <b/>
        <sz val="12"/>
        <rFont val="Arial"/>
        <family val="2"/>
      </rPr>
      <t>1650+pályázat400 Kisegítő élp.hat fel. ellátása</t>
    </r>
  </si>
  <si>
    <t>Nádfedeles vendégház tetőátépítés</t>
  </si>
  <si>
    <t>Bevételek összesen:</t>
  </si>
  <si>
    <t>ÁFA ( 27 % )</t>
  </si>
  <si>
    <t>Szállítási bevételek</t>
  </si>
  <si>
    <t>Bevételek</t>
  </si>
  <si>
    <t>Vásárolt termékek és szolg. ÁFA (27%)</t>
  </si>
  <si>
    <t>Munkáltató által fizetett Szja 19.04%</t>
  </si>
  <si>
    <t>Szemétszállítás és feldolgozás díja</t>
  </si>
  <si>
    <t>Járművek karbantartása (rendszámos)</t>
  </si>
  <si>
    <t>Üzemeltzetési és fenntartási kiadások össz.</t>
  </si>
  <si>
    <t>Mosószer, védőital</t>
  </si>
  <si>
    <t>Konténer készítéséhez anyag</t>
  </si>
  <si>
    <t>Munkaadót terhelő járulékok összesen:</t>
  </si>
  <si>
    <t>Étkezési hozzájárulás</t>
  </si>
  <si>
    <t>Közalk. garantált illetménye (3 fő)</t>
  </si>
  <si>
    <t>Települési hulladék kezelés</t>
  </si>
  <si>
    <t>Vásárolt termékeke és szolgáltatások ÁFA(27%)</t>
  </si>
  <si>
    <t xml:space="preserve">Szállítási szolgáltatás </t>
  </si>
  <si>
    <t>Kosarasautó</t>
  </si>
  <si>
    <t>Bérleti díj (útjavítás gépei, hótolás)</t>
  </si>
  <si>
    <t>Készletbeszerzés összesen:</t>
  </si>
  <si>
    <t>Egyéb anyag (murva, cement, festék)</t>
  </si>
  <si>
    <t>Egyéb készletbeszerzés (szóróanyag, téli útfennt.)</t>
  </si>
  <si>
    <t>Közalkalm. garantált illetménye(2 fő)</t>
  </si>
  <si>
    <t>Közutak, hidak üzemeltetési, fenntartása</t>
  </si>
  <si>
    <t xml:space="preserve">Ft </t>
  </si>
  <si>
    <t>Ft ÁFA nélkül</t>
  </si>
  <si>
    <t>Intézményi működési bevételek</t>
  </si>
  <si>
    <t>Kiszámlázott term.és szolg. ÁFÁ-ja</t>
  </si>
  <si>
    <t>Intézményi ellátás díja</t>
  </si>
  <si>
    <t>Különféle dologi kiadások összesen:</t>
  </si>
  <si>
    <t>Vásárolt termékek és szolg.ÁFÁ-ja</t>
  </si>
  <si>
    <t>Készletbeszerzések összesen:</t>
  </si>
  <si>
    <t>Élelmiszer beszerzés 30*185+11*35</t>
  </si>
  <si>
    <t>Óvodai intézményi étkeztetés</t>
  </si>
  <si>
    <t>Intézmény müködési bevételek összesen</t>
  </si>
  <si>
    <t>Intézményi bevétel</t>
  </si>
  <si>
    <t>Egyéb folyó kiadás összesen:</t>
  </si>
  <si>
    <t>OTP közreműk.díj</t>
  </si>
  <si>
    <t>Munkáltató által fizetett Szja</t>
  </si>
  <si>
    <t>Vásárolt termékek és szolg, ÁFÁ-ja</t>
  </si>
  <si>
    <t>Vásárolt közszolgáltatás ( HACCP felügyelet)</t>
  </si>
  <si>
    <t>rovarírtás, üzemorvos, programok éves díja</t>
  </si>
  <si>
    <t>Egyéb üzemeltetési, fenntartási szolg.</t>
  </si>
  <si>
    <t>Gépek, berendezések karbantartása</t>
  </si>
  <si>
    <t xml:space="preserve">Ingatlan karbantartás </t>
  </si>
  <si>
    <t>Víz-, csatorna díj</t>
  </si>
  <si>
    <t>Villamosenergia szolg. Igénybevétele</t>
  </si>
  <si>
    <t>Gáz szolgáltatás igénybevétele</t>
  </si>
  <si>
    <t>Nem adatátviteli távközlési díjak</t>
  </si>
  <si>
    <t>Intézményi üzemelt. és fennt.kiad. össz.:</t>
  </si>
  <si>
    <t>tisztítószer, készletbeszerzés</t>
  </si>
  <si>
    <t xml:space="preserve">anyagbeszerzés, </t>
  </si>
  <si>
    <t>Munkaruha, védőruha beszerzés</t>
  </si>
  <si>
    <t>Szakmai anyag és kisért. tárgyi eszk. besz.</t>
  </si>
  <si>
    <t>Könyv folyóirat egyéb inf. hord. beszerzés</t>
  </si>
  <si>
    <t>Irodaszer nyomtatvány beszerzés</t>
  </si>
  <si>
    <t>Élelmiszerbeszerzés</t>
  </si>
  <si>
    <t>Szoc,hozzájár.adó</t>
  </si>
  <si>
    <t>Rendsz. és nem rendsz.szem.jutt.össz.</t>
  </si>
  <si>
    <t>514 24</t>
  </si>
  <si>
    <t>Betegszabadság idejére fizetett díj</t>
  </si>
  <si>
    <t>Vezetői pótlék</t>
  </si>
  <si>
    <t>Tábor étkezés kiadás</t>
  </si>
  <si>
    <t>Tábor étkezés bevétel</t>
  </si>
  <si>
    <t xml:space="preserve">Élelmiszer beszerzés </t>
  </si>
  <si>
    <t>Áfa nélkül</t>
  </si>
  <si>
    <t>Élelmiszer beszerzés 185*35+35*20</t>
  </si>
  <si>
    <t>Tábor  + étkezés+nyugdíjas étkeztetés</t>
  </si>
  <si>
    <t>MÁV vasútállomás</t>
  </si>
  <si>
    <t>Vásárolt term. és szolg. ÁFA(27%)</t>
  </si>
  <si>
    <t>Üzemeltetési és fennt kiad.összesen:</t>
  </si>
  <si>
    <t>Gépbérlet</t>
  </si>
  <si>
    <t>Szoc.hj.adó</t>
  </si>
  <si>
    <t>Rendszeres és nem rensz. személyi jutt.</t>
  </si>
  <si>
    <t>Közalkalm garantált illetménye(3 fő)</t>
  </si>
  <si>
    <t>Építményüzemeltetés</t>
  </si>
  <si>
    <t>Egyéb szolg.bev.</t>
  </si>
  <si>
    <t>Kamatbevétel</t>
  </si>
  <si>
    <t>Egyéb folyó kiad. összesen:</t>
  </si>
  <si>
    <t>Biztosítás</t>
  </si>
  <si>
    <t>OTP közr.díj</t>
  </si>
  <si>
    <t>Munkáltató álltal fizetett Szja. 19.04%</t>
  </si>
  <si>
    <t>Vásárolt termékek és szolg. ÁFA( 27 % )</t>
  </si>
  <si>
    <t>Szolgáltatások összesem:</t>
  </si>
  <si>
    <t>Tűzvédelmi szolg.(tűzoltókészülékek jav.)</t>
  </si>
  <si>
    <t>Járművek karbantartási ktg. (rendszámos)</t>
  </si>
  <si>
    <t>Víz-és csatorna szolg.</t>
  </si>
  <si>
    <t>öntözővíz</t>
  </si>
  <si>
    <t>Villamoserergia szolg.</t>
  </si>
  <si>
    <t>Gázenergia szolg.</t>
  </si>
  <si>
    <t>Szállítási szolgáltatás (kirándulás)</t>
  </si>
  <si>
    <t>Telefon, távközlési díjak</t>
  </si>
  <si>
    <t>Üzemeltetési és fenntart. kiad. össz.</t>
  </si>
  <si>
    <t>Virágosítás,fásítás, parkosítás</t>
  </si>
  <si>
    <t>Saját int. Ingatlan karb. és rezsi</t>
  </si>
  <si>
    <t>Parkfenntartási anyagok (festék,fa,cement)</t>
  </si>
  <si>
    <t>Parkosítás eszközei (kézi szerszámok)</t>
  </si>
  <si>
    <t>Kisgépek javítása</t>
  </si>
  <si>
    <t>Kisértékü tárgyi eszköz</t>
  </si>
  <si>
    <t>Irodaszer, nyomtatvány</t>
  </si>
  <si>
    <t>Munkaadót terhelő járulék összesen:</t>
  </si>
  <si>
    <t xml:space="preserve">Személyi juttatások összesen </t>
  </si>
  <si>
    <t>Tanfolyam</t>
  </si>
  <si>
    <t>Közalk.köt. illetménypótléka</t>
  </si>
  <si>
    <t>Közalkalmazottak gar. Illetménye (6fő)</t>
  </si>
  <si>
    <t>Zöldterületkezelés</t>
  </si>
  <si>
    <t>Kiadáősok összesen:</t>
  </si>
  <si>
    <t>Siófoknak 2012. átadott pe.</t>
  </si>
  <si>
    <t>Működési kiadások összesen</t>
  </si>
  <si>
    <t>Különféle kiadások összesen</t>
  </si>
  <si>
    <t>Kamatkiadások ÁHT-n kívülre</t>
  </si>
  <si>
    <t>Adók, díjak, egyéb befizetések</t>
  </si>
  <si>
    <t>Helyi adók,ill.adójell.befiz.</t>
  </si>
  <si>
    <t>Rehab. Hozzájár.</t>
  </si>
  <si>
    <t>Munkáltatói SZJA 54%</t>
  </si>
  <si>
    <t>telefonadó</t>
  </si>
  <si>
    <t>Különféle költségvetési befizetések</t>
  </si>
  <si>
    <t>Tanfolyamok, továbbképzések</t>
  </si>
  <si>
    <t>Reklám és propaganda kiadások</t>
  </si>
  <si>
    <t>Vásárolt termék, szolg. Áfa</t>
  </si>
  <si>
    <t>Vásárolt közszolg.</t>
  </si>
  <si>
    <t>Egyéb üzemeltetési ktsg.</t>
  </si>
  <si>
    <t>Kulturális rendezvény</t>
  </si>
  <si>
    <t>Postaktsg.</t>
  </si>
  <si>
    <t>Karbant.kisjav.gépek</t>
  </si>
  <si>
    <t>Karbant.kisjav.ingatl.</t>
  </si>
  <si>
    <t>Viz- és csatornadij</t>
  </si>
  <si>
    <t>Villamos energia szolgáltatás</t>
  </si>
  <si>
    <t>Gázenergia szolgáltatás</t>
  </si>
  <si>
    <t>Szállitási szolgáltatás</t>
  </si>
  <si>
    <t>Egyéb kommunikációs szolgáltatás</t>
  </si>
  <si>
    <t>Adatátviteli célú távk.dij</t>
  </si>
  <si>
    <t>Nem adatátviteli távközl.dij</t>
  </si>
  <si>
    <t>Takarítószerek</t>
  </si>
  <si>
    <t>takarítóknak</t>
  </si>
  <si>
    <t>Kisértékű te.besz.</t>
  </si>
  <si>
    <t>Szakmai anyag beszerz.kiad.</t>
  </si>
  <si>
    <t>Folyóirat beszerzés</t>
  </si>
  <si>
    <t>Könyvbeszerzés</t>
  </si>
  <si>
    <t>Vegyszerbesz.kiad.</t>
  </si>
  <si>
    <t>mentőláda feltöltés</t>
  </si>
  <si>
    <t>Gyógyszer,vegyszer</t>
  </si>
  <si>
    <t>Munkaadókat terhelő járulékok összesen:</t>
  </si>
  <si>
    <t xml:space="preserve">Személyi  juttatás összesen: </t>
  </si>
  <si>
    <t xml:space="preserve">Külső személyi juttatás összesen: </t>
  </si>
  <si>
    <t xml:space="preserve">Állományba nem tartozók megbízási díjai </t>
  </si>
  <si>
    <t>Részmunkaidős  juttatásai összesen</t>
  </si>
  <si>
    <t>Részmunkaidős költségtérítése</t>
  </si>
  <si>
    <t>Részmunkaidős juttatásai</t>
  </si>
  <si>
    <t>Rmidős közalk.rendsz.jutt.</t>
  </si>
  <si>
    <t xml:space="preserve">Nem rendszeres juttatás teljes munkaidőben foglalkoztatottak összesen: </t>
  </si>
  <si>
    <t>Közalk. Egyéb ktgtérítés</t>
  </si>
  <si>
    <t>E.bér.közlekedési ktstér.</t>
  </si>
  <si>
    <t>Közlekedési költségtérités közalk.</t>
  </si>
  <si>
    <t>Tanulmányi támogatás</t>
  </si>
  <si>
    <t>Közalk.e.sajátos jutt.</t>
  </si>
  <si>
    <t>Jubileumi jutalom közalkalmazottak</t>
  </si>
  <si>
    <t>Túlóra, túlszolgálat közalkalmazottak</t>
  </si>
  <si>
    <t xml:space="preserve">Rendszeres juttatás teljes munkaidőben foglalkoztatottak összesen: </t>
  </si>
  <si>
    <t>Egyéb bérrendszer hatálya alá tart.bére</t>
  </si>
  <si>
    <t>Közalkalmazottak alapilletmény</t>
  </si>
  <si>
    <t>Számla-szám</t>
  </si>
  <si>
    <t xml:space="preserve">Mészöly Géza Általános Iskola </t>
  </si>
  <si>
    <t>Élelmiszer beszerzés 220*20*529</t>
  </si>
  <si>
    <t>Bevétel összesen:</t>
  </si>
  <si>
    <t>Különféle dologi kiadások össz.</t>
  </si>
  <si>
    <t>Vásárolt termékek és szolg. ÁFA (27 % )</t>
  </si>
  <si>
    <t>Víz-és csatorna díj</t>
  </si>
  <si>
    <t>Villamosenergia szolg.</t>
  </si>
  <si>
    <t>Üzemelt.és fenntart.kiad.össz.</t>
  </si>
  <si>
    <t>Ingatlan karbantartás, kisjavítás</t>
  </si>
  <si>
    <t>Munkaadót terh.jár. összesen:</t>
  </si>
  <si>
    <t>Egyéb bérrendsz.szem.juttatás</t>
  </si>
  <si>
    <t>Különféle kiadások összesen:</t>
  </si>
  <si>
    <t>Vásárolt közszölgáltatások</t>
  </si>
  <si>
    <t>Víz- és csatornadíj</t>
  </si>
  <si>
    <t>Villamosenergia szolgáltatás díja</t>
  </si>
  <si>
    <t>Üzemeltetési és fenntartási kiadások</t>
  </si>
  <si>
    <t>Fürdő és strandszolgálat</t>
  </si>
  <si>
    <t>Üzemeltetési és fenntartási kiadások össz.</t>
  </si>
  <si>
    <t>Eü. hozzájár.</t>
  </si>
  <si>
    <t>Szoc.hozzáj.adó</t>
  </si>
  <si>
    <t>Állományba nem tartozók díjazása</t>
  </si>
  <si>
    <t>Köztemető fenntartás</t>
  </si>
  <si>
    <t>Tízórai, uzsonna</t>
  </si>
  <si>
    <t>11-14 éves gyermek ebéd</t>
  </si>
  <si>
    <t>7-10 éves gyermek ebéd</t>
  </si>
  <si>
    <t>11-14 éves gyermek 3x étkezés</t>
  </si>
  <si>
    <t>7-10 éves gyermek 3x étkezés</t>
  </si>
  <si>
    <t xml:space="preserve">Jubileumi jutalom </t>
  </si>
  <si>
    <t>Nyári tábor túlóra</t>
  </si>
  <si>
    <t xml:space="preserve">2012 költségvetés tervezet </t>
  </si>
  <si>
    <t>Óvodai nevelés , iskolai előkészítés</t>
  </si>
  <si>
    <t>Közalkalmazottak alapilletménye 7 fő</t>
  </si>
  <si>
    <t xml:space="preserve">Túlóra, </t>
  </si>
  <si>
    <t>Jubileumi jut. 1 fő</t>
  </si>
  <si>
    <t>Szabadságra, munk.távolétre jut.átl.ker.</t>
  </si>
  <si>
    <t>Minőségi kereset kiegészítés</t>
  </si>
  <si>
    <t>Keresetkiegészítés</t>
  </si>
  <si>
    <t>Ruházati kötségtérítés</t>
  </si>
  <si>
    <t>Közlekedési költségtérítés   1 fő</t>
  </si>
  <si>
    <t>Ajándékutalvány</t>
  </si>
  <si>
    <t>Beiskolázi támogatás</t>
  </si>
  <si>
    <t>Egyéb költségtérítés (ped.szk.)</t>
  </si>
  <si>
    <t>Rendsz. és nem rendsz. szem.jutt. össz.:</t>
  </si>
  <si>
    <t>Gyógyszer, vegyszer</t>
  </si>
  <si>
    <t>Könyv, folyóirat egyéb inf.hord.</t>
  </si>
  <si>
    <t>Szakmai anyag .besz.</t>
  </si>
  <si>
    <t>Kisért.tárgyi eszk.besz.</t>
  </si>
  <si>
    <t>Védőruha</t>
  </si>
  <si>
    <t>Tisztitószer</t>
  </si>
  <si>
    <t>Intézményi üzemelt. És fennt.kiad.össz.:</t>
  </si>
  <si>
    <t>Adatátvitel (internet)</t>
  </si>
  <si>
    <t>Szallítási szolg.</t>
  </si>
  <si>
    <t>pedagógosnapi kirándulás</t>
  </si>
  <si>
    <t>Gázszolg.</t>
  </si>
  <si>
    <t>Villanyszolg. Igénybevétele</t>
  </si>
  <si>
    <t>Tanfolyam, továbbképzés+ Bodáné</t>
  </si>
  <si>
    <t>Egyéb üzemeltetési szolg</t>
  </si>
  <si>
    <t>Vásárolt közszolgáltatások</t>
  </si>
  <si>
    <t>Szakmai tev. Összefüggő kiad.össz.</t>
  </si>
  <si>
    <t>Vásárolt termékek és szolg. ÁFÁ-ja</t>
  </si>
  <si>
    <t>Egyéb befiz.köt. (Rehab)</t>
  </si>
  <si>
    <t>Munkáltató által fizetett SZJA</t>
  </si>
  <si>
    <t>Működési kaidások összesen</t>
  </si>
  <si>
    <t>beruházás összesen:</t>
  </si>
  <si>
    <t>Illetménykieg.</t>
  </si>
  <si>
    <t>OTP autómata helyének kialakítása</t>
  </si>
  <si>
    <t>Felújítás</t>
  </si>
  <si>
    <t>Felújítás összesen</t>
  </si>
  <si>
    <t xml:space="preserve">Szennyvíz gyűjtése, tisztítása, elhelyezése </t>
  </si>
  <si>
    <t>Szagtalanítás</t>
  </si>
  <si>
    <t>OTP közreműködési díj</t>
  </si>
  <si>
    <t>2013.várh.</t>
  </si>
  <si>
    <t>szoc.hj.adó</t>
  </si>
  <si>
    <t>eü hozzájárulás</t>
  </si>
  <si>
    <t>Külső személyi juttatás</t>
  </si>
  <si>
    <t>Játszótéri elemek (felnőtt)</t>
  </si>
  <si>
    <t>Országos Mentőszolgálat (Enyingi Mentőáll)</t>
  </si>
  <si>
    <t>Szoc.hozzájár. 27%</t>
  </si>
  <si>
    <t>Eü.hozzájár.</t>
  </si>
  <si>
    <t>Kresztáblák, tükör</t>
  </si>
  <si>
    <t>Eü. Hozzájárulás</t>
  </si>
  <si>
    <t>841154 1</t>
  </si>
  <si>
    <t>Kultúrház nyilászáró csere+fűtés korsz.</t>
  </si>
  <si>
    <t>Aligai u. 37 lakás felújítás</t>
  </si>
  <si>
    <t>Felújítás nettó össz.</t>
  </si>
  <si>
    <t>Eü.hozzájárulás</t>
  </si>
  <si>
    <t>Megbízási díj</t>
  </si>
  <si>
    <t>51-52</t>
  </si>
  <si>
    <t>Különféle dologi kiad. összesen:</t>
  </si>
  <si>
    <t>Központi épület mozgáskorl.bejárat</t>
  </si>
  <si>
    <t>Víznyelő+akna</t>
  </si>
  <si>
    <t>Nyomtató (adó+Marcsi)</t>
  </si>
  <si>
    <t>végszámla</t>
  </si>
  <si>
    <t>Téli Közfoglalkoztatás</t>
  </si>
  <si>
    <t xml:space="preserve">Szakmai tev. ig.vett szolg. </t>
  </si>
  <si>
    <t xml:space="preserve">Térfigyelő kamerák </t>
  </si>
  <si>
    <t>étkezés eszközei pótlása</t>
  </si>
  <si>
    <t>Gépkarbantartás (fénymásoló)</t>
  </si>
  <si>
    <t xml:space="preserve">Fejlesztési kiadások </t>
  </si>
  <si>
    <t>számítógép vásárlás</t>
  </si>
  <si>
    <t>Szoc.hozzáj.adó 27%</t>
  </si>
  <si>
    <t>fénymásoló karb.</t>
  </si>
  <si>
    <t>közoktatásvezetői képzés 4 félév</t>
  </si>
  <si>
    <t xml:space="preserve">Belföldi kiküldetés  </t>
  </si>
  <si>
    <t>Szoc,hj.adó27%)</t>
  </si>
  <si>
    <t>Készletbeszerzés összesen</t>
  </si>
  <si>
    <t>Intézmény üzemeltetés szolg.össz.:</t>
  </si>
  <si>
    <t>Szolgáltatás összesen:</t>
  </si>
  <si>
    <t xml:space="preserve"> KH havidíj 280 +GEVSZ 250</t>
  </si>
  <si>
    <t>fénymásoló bérlés is.</t>
  </si>
  <si>
    <t>20000 rovarirtás, posta feszültségmentesítés</t>
  </si>
  <si>
    <t>Önk. Vagyon gazdálk.kapcs. Fel.</t>
  </si>
  <si>
    <t>Finanszírozás</t>
  </si>
  <si>
    <t>Vendégház gázleválasztás</t>
  </si>
  <si>
    <t>Felújítás áfa</t>
  </si>
  <si>
    <t>Intézmények összesen</t>
  </si>
  <si>
    <t>Intézményi finanszírozás összesen:</t>
  </si>
  <si>
    <t>Nyári üdülőhelyi ügyeleti díj</t>
  </si>
  <si>
    <t>Szakmai ig. szolg. (Penész megsz.)</t>
  </si>
  <si>
    <t>Villamos hálózat fejlesztés</t>
  </si>
  <si>
    <t>Egyéb komm. Szolg. (védőnői prog.telepítés, felügyelet</t>
  </si>
  <si>
    <t>890442-890444</t>
  </si>
  <si>
    <t>bérleti díj</t>
  </si>
  <si>
    <t>Óvoda felújítás pályázati önrész</t>
  </si>
  <si>
    <t>2014.</t>
  </si>
  <si>
    <t>várh.</t>
  </si>
  <si>
    <t>2015.</t>
  </si>
  <si>
    <t>2014. várható</t>
  </si>
  <si>
    <t>2014. várh.</t>
  </si>
  <si>
    <t>2014. várh</t>
  </si>
  <si>
    <t>Turisztikai kiadások</t>
  </si>
  <si>
    <t>Turizmusfejlesztéssel kapcsolatos kiadások</t>
  </si>
  <si>
    <t>Várh.</t>
  </si>
  <si>
    <t>Munkaltatói szja</t>
  </si>
  <si>
    <t>számítógép beszerzés</t>
  </si>
  <si>
    <t>v árható</t>
  </si>
  <si>
    <t>várható</t>
  </si>
  <si>
    <t>játszótér konténer WC</t>
  </si>
  <si>
    <t xml:space="preserve">Munkáltatói SZJA </t>
  </si>
  <si>
    <t>Munkáltatót terh.szja</t>
  </si>
  <si>
    <t>Mukáltatót terh.szja</t>
  </si>
  <si>
    <t>Munkáltatót ter.szja</t>
  </si>
  <si>
    <t>SZERVEZETEK TÁMOGATÁSA 2015.</t>
  </si>
  <si>
    <t>Rendőr alapítvány</t>
  </si>
  <si>
    <t>Munkáltatói szja</t>
  </si>
  <si>
    <t>Munkáltatót terhelő szja</t>
  </si>
  <si>
    <t>cafeteria</t>
  </si>
  <si>
    <t>2fő 4 hónap 100% támogatás</t>
  </si>
  <si>
    <t>80 % támogatás</t>
  </si>
  <si>
    <t>cafereria</t>
  </si>
  <si>
    <t>Óvodai étkezés bevétel (Január-február)</t>
  </si>
  <si>
    <t>(41 nap*36 fő) *360</t>
  </si>
  <si>
    <t>Óvodai étkezés bevétel (március-december)</t>
  </si>
  <si>
    <t>(144 nap*36 fő+35 nap*11 fő) *380</t>
  </si>
  <si>
    <t>Óvodai étkezés kiadás (január-február)</t>
  </si>
  <si>
    <t>(41 nap*36fő) *360 Ft</t>
  </si>
  <si>
    <t>Óvodai étkezés kiadás (március-december)</t>
  </si>
  <si>
    <t>(144 nap*36fő+35 nap*11 fő) *380 Ft</t>
  </si>
  <si>
    <t>Kegvezménnyel csökkentett</t>
  </si>
  <si>
    <t>Összesen.</t>
  </si>
  <si>
    <t>Iskolai étkezés kiadás január-február</t>
  </si>
  <si>
    <t>44 nap*65 fő*400  Ft</t>
  </si>
  <si>
    <t>41 nap*44 fő*450 Ft</t>
  </si>
  <si>
    <t>41 nap*11 fő*255 Ft</t>
  </si>
  <si>
    <t>41 nap*21 fő*295 Ft</t>
  </si>
  <si>
    <t>41 nap*5 fő*80Ft</t>
  </si>
  <si>
    <t>Iskolai étkezés kiadás március-december</t>
  </si>
  <si>
    <t>144 nap*65 fő*420  Ft</t>
  </si>
  <si>
    <t>144 nap*44 fő*470 Ft</t>
  </si>
  <si>
    <t>144 nap*11 fő*275 Ft</t>
  </si>
  <si>
    <t>144 nap*21 fő*315 Ft</t>
  </si>
  <si>
    <t>144 nap*5 fő*80 Ft</t>
  </si>
  <si>
    <t>Iskolai étkezés bevétel január-február</t>
  </si>
  <si>
    <t>Iskolai étkezés bevétel március-december</t>
  </si>
  <si>
    <t>Térítési díj</t>
  </si>
  <si>
    <t>karbantartási anyaok</t>
  </si>
  <si>
    <t>Intézményi beruházás (szeletelőgép)</t>
  </si>
  <si>
    <t>iskola melegvíz vezeték javítás 80</t>
  </si>
  <si>
    <t>Nyugdíjas étkeztetés bevétel január-február</t>
  </si>
  <si>
    <t>5 fő*41 nap*579</t>
  </si>
  <si>
    <t>Nyugdíjas étkeztetés bevétel március-december</t>
  </si>
  <si>
    <t>5 fő*180 nap*595</t>
  </si>
  <si>
    <t>Nyugdíjas étkeztetés kiadás január-február</t>
  </si>
  <si>
    <t>5 fő*41 nap*355</t>
  </si>
  <si>
    <t>Nyugdíjas étkeztetés kiadás március-december</t>
  </si>
  <si>
    <t>5 fő*180 nap*375</t>
  </si>
  <si>
    <t>Vendég étkezés bevétel január-február</t>
  </si>
  <si>
    <t>100 Fő*615Ft</t>
  </si>
  <si>
    <t xml:space="preserve">Vendég étkezés bevétel március-december </t>
  </si>
  <si>
    <t>1700 Fő*635 Ft</t>
  </si>
  <si>
    <t>45 Fő*20 nap*2025 Ft</t>
  </si>
  <si>
    <t>Vendég étkezés kiadás január-február</t>
  </si>
  <si>
    <t>100 Fő*355 Ft</t>
  </si>
  <si>
    <t>Vendég étkezés kiadás március-december</t>
  </si>
  <si>
    <t>1700 Fő*375 Ft</t>
  </si>
  <si>
    <t>45 Fő*20 nap*1220 Ft</t>
  </si>
  <si>
    <t>Munkahelyi vendéglátás bevétel január-február</t>
  </si>
  <si>
    <t>(41 nap*30 fő)*579</t>
  </si>
  <si>
    <t xml:space="preserve">Munkahelyi vendéglátás bevétel március-december </t>
  </si>
  <si>
    <t>(144 nap*30 fő+35 nap*15 Fő)*595</t>
  </si>
  <si>
    <t>Munkahelyi vendéglátás kiadás január-február</t>
  </si>
  <si>
    <t>(41 nap*30 fő)*355 Ft</t>
  </si>
  <si>
    <t>Munkahelyi vendéglátás kiadás március-december</t>
  </si>
  <si>
    <t>(144 nap*30 fő+35 nap*15Fő)*375 Ft</t>
  </si>
  <si>
    <t>Szociális étkezés bevétel január február</t>
  </si>
  <si>
    <t>12 Fő*40 nap*579 Ft</t>
  </si>
  <si>
    <t>Szociális étkezés bevétel március december</t>
  </si>
  <si>
    <t>12 Fő*180 nap*595 Ft</t>
  </si>
  <si>
    <t>Szociális étkezés kiadás január február</t>
  </si>
  <si>
    <t>12 Fő*41 nap*355</t>
  </si>
  <si>
    <t xml:space="preserve">Szociális étkezés kiadás </t>
  </si>
  <si>
    <t>12 Fő*180 nap*375</t>
  </si>
  <si>
    <t>Várható</t>
  </si>
  <si>
    <t>Rákóczi Szövetség</t>
  </si>
  <si>
    <t>2014 várható</t>
  </si>
  <si>
    <t>2015. évi terv</t>
  </si>
  <si>
    <t>vattakapát</t>
  </si>
  <si>
    <t>nyitott konténer készítése</t>
  </si>
  <si>
    <t>2014.várh.</t>
  </si>
  <si>
    <t>2015.terv</t>
  </si>
  <si>
    <t xml:space="preserve">Személyi juttatások </t>
  </si>
  <si>
    <t>vattakabát</t>
  </si>
  <si>
    <t>plusz Közúzkezelő táblák cseréje 10 db 150 e Ft</t>
  </si>
  <si>
    <t>Ingatlankarbantartás (aszfaltút zsákosaszfalttal kátyuzás) 1600, Hunor utca, külterületi utak gréderezése, murvázása 400</t>
  </si>
  <si>
    <t>2014.várh</t>
  </si>
  <si>
    <t>Vattakabát, egyéni védőeszközök lejártak</t>
  </si>
  <si>
    <t>Gránitz 5 havi</t>
  </si>
  <si>
    <t>"Mozgóbér"</t>
  </si>
  <si>
    <t>plusz kompresszor,</t>
  </si>
  <si>
    <t>egyéni védőeszközök kihordása lejárt, vattakabát</t>
  </si>
  <si>
    <t>Új játszótér festés</t>
  </si>
  <si>
    <t>épület, udvar rendbetértele 300</t>
  </si>
  <si>
    <t>Vásárolt közszolgáltatás (rovarírtás)</t>
  </si>
  <si>
    <t>Kistraktor:</t>
  </si>
  <si>
    <t>1.600.000</t>
  </si>
  <si>
    <t>Fűnyíró:</t>
  </si>
  <si>
    <t>1.300.000</t>
  </si>
  <si>
    <t>Damilos</t>
  </si>
  <si>
    <t>200.000</t>
  </si>
  <si>
    <t>3.100.000</t>
  </si>
  <si>
    <t>homok+100 + stégtoldás 50+ vízóraakna 20</t>
  </si>
  <si>
    <t>Szakmai igénybevett szolgáltatás</t>
  </si>
  <si>
    <t xml:space="preserve"> temetőregiszter, szociális sírhelyek kialakítása</t>
  </si>
  <si>
    <t>Fejlesztés kistraktor</t>
  </si>
  <si>
    <t>Fűnyíró</t>
  </si>
  <si>
    <t>Damilosd fűnyíró</t>
  </si>
  <si>
    <t>vezetői pótlék</t>
  </si>
  <si>
    <t>szoc ágazati pótlék</t>
  </si>
  <si>
    <t>Cafetéria</t>
  </si>
  <si>
    <t>7x150000</t>
  </si>
  <si>
    <t>pénzmaradvány</t>
  </si>
  <si>
    <t>Kamat</t>
  </si>
  <si>
    <t>Munkaadót terhelő szja</t>
  </si>
  <si>
    <t>Belterületi utak felújítása</t>
  </si>
  <si>
    <t>35*12</t>
  </si>
  <si>
    <t>önkormányzatba tettem</t>
  </si>
  <si>
    <t>meszelés+ Ggarin 4/2</t>
  </si>
  <si>
    <t>Egyéb üzemeltetési eszköz</t>
  </si>
  <si>
    <t>Kafetéria</t>
  </si>
  <si>
    <t>1460+943</t>
  </si>
  <si>
    <t>Betegszabadság idejére járó illetmény</t>
  </si>
  <si>
    <t>Bálint Rita helyett aklkalmaásra kerül Vas Ágnes</t>
  </si>
  <si>
    <t>óvoda vezetői ismeretek, óvodai nevelés</t>
  </si>
  <si>
    <t>játékok, rajzlap, ceruza, színes, tempera+ szőnyeg+ fektetőágy</t>
  </si>
  <si>
    <t>udvari játszóeszköz, zárcsere</t>
  </si>
  <si>
    <t>Bankköltség</t>
  </si>
  <si>
    <t>gyógypedagógus</t>
  </si>
  <si>
    <t>üzemorvos, poroltó, kéményseprő, rovarirtás</t>
  </si>
  <si>
    <t>pedagógosnap is</t>
  </si>
  <si>
    <t>szakdolgozói pótlék</t>
  </si>
  <si>
    <t>Magyar u. ívóvíz, szennyvíz földterület vás.</t>
  </si>
  <si>
    <t>hziorvosi program</t>
  </si>
  <si>
    <t>kéménybélelés130</t>
  </si>
  <si>
    <t>Adatátviteli szolg.</t>
  </si>
  <si>
    <t>védőnőö prigram negyedéves karbantartása</t>
  </si>
  <si>
    <t>2013 évi túlfizetés elstámolása</t>
  </si>
  <si>
    <t>számítógép 150</t>
  </si>
  <si>
    <t>vérnyomásmérő30</t>
  </si>
  <si>
    <t>előtető 30+épület homlokzat javítás50+udvar rendbetétele80, bejárati ajtó javítás 40?</t>
  </si>
  <si>
    <t>pórszívó15, gyermekülés12, táska 20</t>
  </si>
  <si>
    <t xml:space="preserve">Karate Egyesület </t>
  </si>
  <si>
    <t xml:space="preserve">Könyvbeszerzésre </t>
  </si>
  <si>
    <t>könyv vásárlás</t>
  </si>
  <si>
    <t>Temető felújítás</t>
  </si>
  <si>
    <t>Működési kiadás össz.</t>
  </si>
  <si>
    <t>Váárolt közszolgáltatás</t>
  </si>
  <si>
    <t>mérlk.60+egyéb 200</t>
  </si>
  <si>
    <t>6 db szünetmentes,2 nyomtató56, egér</t>
  </si>
  <si>
    <t>Rehabilitációs hozzájárulás</t>
  </si>
  <si>
    <t xml:space="preserve">lábtörlő, nyomtató, </t>
  </si>
  <si>
    <t>telefon, internet áthelyezés 10</t>
  </si>
  <si>
    <t xml:space="preserve">Iskola U alak betonozása </t>
  </si>
  <si>
    <t>betonozás, aszfalt, játékok festésére</t>
  </si>
  <si>
    <t>iskolai pad 5 kicsi, 5 nagy , szék 10 kicsi 10 nagy</t>
  </si>
  <si>
    <t>iskolába járás 5490, összetartozás 150</t>
  </si>
  <si>
    <t>Tajdi Andrea</t>
  </si>
  <si>
    <t>35/hó</t>
  </si>
  <si>
    <t>benti 5*10000+kinti 10*25000</t>
  </si>
  <si>
    <t>1,48 főX 964500</t>
  </si>
  <si>
    <t>előző évi visszatérítés</t>
  </si>
  <si>
    <t>játszótér víz, villany</t>
  </si>
  <si>
    <t>1. havi illetmény</t>
  </si>
  <si>
    <t>1 havi illetmény</t>
  </si>
  <si>
    <t>1 haviilletmény</t>
  </si>
  <si>
    <t>kurtaxa</t>
  </si>
  <si>
    <t>egy havi illetmény</t>
  </si>
  <si>
    <t>Harmat, Zalán, Hétvezér u. felújítása</t>
  </si>
  <si>
    <t>40 fő</t>
  </si>
  <si>
    <t>szerptemberi béremelés, új csoport (2 óvonő, 1 dajka) nélkül</t>
  </si>
  <si>
    <t>5 fő</t>
  </si>
  <si>
    <t>pótkocsi műszakiztatás</t>
  </si>
  <si>
    <t>O1.20.</t>
  </si>
  <si>
    <t>O1.20</t>
  </si>
  <si>
    <t>NIHON  Sportegyesület</t>
  </si>
  <si>
    <t>router vásárlás</t>
  </si>
  <si>
    <t>10 hó 40</t>
  </si>
  <si>
    <t>Restné, Tajti Andi, rágcsálóírtás</t>
  </si>
  <si>
    <t>udvari mászóka, padok, kerítés javítás, festés , cipőtartók 75, főbejárat térkövezése25, bővitmény karbantartása30,vizesblokkok karbantarása65</t>
  </si>
  <si>
    <t>Menza program 60+számlázó program30 is</t>
  </si>
  <si>
    <r>
      <t xml:space="preserve">Térkép, tul.lap 300, szúnyog 783,  tűzvéd. 300, érintésvéd.400, Tagdíj KB 420, Bszöv. 100,Töosz 40, 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honlap karb. 144,  ügyvéd 1828, 5610zölhull.száll(38ford). +pályázat400 +OTPautómata 1200+ közadattár feltölotés120+BAHART1000</t>
    </r>
  </si>
  <si>
    <r>
      <t>Saldó 195,tak.100, könyvv.420,</t>
    </r>
    <r>
      <rPr>
        <sz val="12"/>
        <color indexed="40"/>
        <rFont val="Times New Roman CE"/>
        <family val="0"/>
      </rPr>
      <t xml:space="preserve"> térinf.580,</t>
    </r>
    <r>
      <rPr>
        <sz val="12"/>
        <rFont val="Times New Roman CE"/>
        <family val="0"/>
      </rPr>
      <t xml:space="preserve"> iratarch.300, könyv,felügyelet 100 , testületi anyag bekötés150, védőszeműveg400</t>
    </r>
  </si>
  <si>
    <t>albérleti hj2 hó107, egyszerűsitett fogl80</t>
  </si>
  <si>
    <t>Szakmai tev.igénybevett szolgáltatás (gyermekjóléti- családsegítő szolgálat működtetése) Bkenese</t>
  </si>
  <si>
    <t>Házi segítségnyújtás</t>
  </si>
  <si>
    <t>6 fő (átlag 4x370x251)</t>
  </si>
  <si>
    <t xml:space="preserve"> dalkör 45x12=540,  újság nyomda 79x12=948, 12X11=132, + 12, szerk. 39x12=468</t>
  </si>
  <si>
    <t>játék vásárlás</t>
  </si>
  <si>
    <t>villamos mérőhely kialakítás útfúrással</t>
  </si>
  <si>
    <t>terítő anyakönyvi asztalra, patronok</t>
  </si>
  <si>
    <t>o5110111</t>
  </si>
  <si>
    <t>Egyéb felt.fűggő pótlék (ágazati pótlék)</t>
  </si>
  <si>
    <t>Egyéb köt.pótlék (vezetői pótlék)</t>
  </si>
  <si>
    <t>o5110114</t>
  </si>
  <si>
    <t>o5110115</t>
  </si>
  <si>
    <t>Normatív jutalom</t>
  </si>
  <si>
    <t>o511021</t>
  </si>
  <si>
    <t>o5110412</t>
  </si>
  <si>
    <t>ezer forintban</t>
  </si>
  <si>
    <t>Sor-szám</t>
  </si>
  <si>
    <t>Rovat megnevezése</t>
  </si>
  <si>
    <t>Rovat-szám</t>
  </si>
  <si>
    <t>Kormányzati funkció száma és elnevezése</t>
  </si>
  <si>
    <t>1.</t>
  </si>
  <si>
    <t>2.</t>
  </si>
  <si>
    <t>3.</t>
  </si>
  <si>
    <t>4.</t>
  </si>
  <si>
    <t>5.</t>
  </si>
  <si>
    <t>6.</t>
  </si>
  <si>
    <t>7.</t>
  </si>
  <si>
    <t>8.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</si>
  <si>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</si>
  <si>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</si>
  <si>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</si>
  <si>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</si>
  <si>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</si>
  <si>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</si>
  <si>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</si>
  <si>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</si>
  <si>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</si>
  <si>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</si>
  <si>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</si>
  <si>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</si>
  <si>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</si>
  <si>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</si>
  <si>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</si>
  <si>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</si>
  <si>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</si>
  <si>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</si>
  <si>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</si>
  <si>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</si>
  <si>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</si>
  <si>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</si>
  <si>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</si>
  <si>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</si>
  <si>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</si>
  <si>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</si>
  <si>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</si>
  <si>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</si>
  <si>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</si>
  <si>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</si>
  <si>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</si>
  <si>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</si>
  <si>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</si>
  <si>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</si>
  <si>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</si>
  <si>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 (&gt;=14)</t>
  </si>
  <si>
    <t>K1113</t>
  </si>
  <si>
    <t>14</t>
  </si>
  <si>
    <t>ebből:biztosítási díjak</t>
  </si>
  <si>
    <t>15</t>
  </si>
  <si>
    <t>Foglalkoztatottak személyi juttatásai (=01+…+13)</t>
  </si>
  <si>
    <t>K11</t>
  </si>
  <si>
    <t>16</t>
  </si>
  <si>
    <t>Választott tisztségviselők juttatásai</t>
  </si>
  <si>
    <t>K121</t>
  </si>
  <si>
    <t>17</t>
  </si>
  <si>
    <t>Munkavégzésre irányuló egyéb jogviszonyban nem saját foglalkoztatottnak fizetett juttatások</t>
  </si>
  <si>
    <t>K122</t>
  </si>
  <si>
    <t>18</t>
  </si>
  <si>
    <t>Egyéb külső személyi juttatások</t>
  </si>
  <si>
    <t>K123</t>
  </si>
  <si>
    <t>19</t>
  </si>
  <si>
    <t>Külső személyi juttatások (=16+17+18)</t>
  </si>
  <si>
    <t>K12</t>
  </si>
  <si>
    <t>20</t>
  </si>
  <si>
    <t>Személyi juttatások (=15+19)</t>
  </si>
  <si>
    <t>K1</t>
  </si>
  <si>
    <t xml:space="preserve">Munkaadókat terhelő járulékok és szociális hozzájárulási adó (=22+…+28)                                                                          </t>
  </si>
  <si>
    <t>K2</t>
  </si>
  <si>
    <t>ebből: szociális hozzájárulási adó</t>
  </si>
  <si>
    <t>ebből: rehabilitációs hozzájárulás</t>
  </si>
  <si>
    <t>ebből: korkedvezmény-biztosítási járulék</t>
  </si>
  <si>
    <t>ebből: egészségügyi hozzájárulás</t>
  </si>
  <si>
    <t>ebből: táppénz hozzájárulás</t>
  </si>
  <si>
    <t>ebből: munkaadót a foglalkoztatottak részére történő kifizetésekkel kapcsolatban terhelő más járulék jellegű kötelezettségek</t>
  </si>
  <si>
    <t>ebből: munkáltatót terhelő személyi jövedelemadó</t>
  </si>
  <si>
    <t>29</t>
  </si>
  <si>
    <t>Szakmai anyagok beszerzése</t>
  </si>
  <si>
    <t>K311</t>
  </si>
  <si>
    <t>30</t>
  </si>
  <si>
    <t>Üzemeltetési anyagok beszerzése</t>
  </si>
  <si>
    <t>K312</t>
  </si>
  <si>
    <t>31</t>
  </si>
  <si>
    <t>Árubeszerzés</t>
  </si>
  <si>
    <t>K313</t>
  </si>
  <si>
    <t>32</t>
  </si>
  <si>
    <t>Készletbeszerzés (=29+30+31)</t>
  </si>
  <si>
    <t>K31</t>
  </si>
  <si>
    <t>33</t>
  </si>
  <si>
    <t>Informatikai szolgáltatások igénybevétele</t>
  </si>
  <si>
    <t>K321</t>
  </si>
  <si>
    <t>34</t>
  </si>
  <si>
    <t>K322</t>
  </si>
  <si>
    <t>35</t>
  </si>
  <si>
    <t>Kommunikációs szolgáltatások (=33+34)</t>
  </si>
  <si>
    <t>K32</t>
  </si>
  <si>
    <t>36</t>
  </si>
  <si>
    <t>Közüzemi díjak</t>
  </si>
  <si>
    <t>K331</t>
  </si>
  <si>
    <t>37</t>
  </si>
  <si>
    <t>K332</t>
  </si>
  <si>
    <t>38</t>
  </si>
  <si>
    <t>Bérleti és lízing díjak (&gt;=39)</t>
  </si>
  <si>
    <t>K333</t>
  </si>
  <si>
    <t>39</t>
  </si>
  <si>
    <t>ebből: a közszféra és a magánszféra együttműködésén (PPP) alapuló szerződéses konstrukció</t>
  </si>
  <si>
    <t>40</t>
  </si>
  <si>
    <t>Karbantartási, kisjavítási szolgáltatások</t>
  </si>
  <si>
    <t>K334</t>
  </si>
  <si>
    <t>41</t>
  </si>
  <si>
    <t>Közvetített szolgáltatások  (&gt;=42)</t>
  </si>
  <si>
    <t>K335</t>
  </si>
  <si>
    <t>42</t>
  </si>
  <si>
    <t>ebből: államháztartáson belül</t>
  </si>
  <si>
    <t>43</t>
  </si>
  <si>
    <t xml:space="preserve">Szakmai tevékenységet segítő szolgáltatások </t>
  </si>
  <si>
    <t>K336</t>
  </si>
  <si>
    <t>44</t>
  </si>
  <si>
    <t xml:space="preserve">Egyéb szolgáltatások </t>
  </si>
  <si>
    <t>K337</t>
  </si>
  <si>
    <t>Szolgáltatási kiadások (=36+37+38+40+41+43+44)</t>
  </si>
  <si>
    <t>K33</t>
  </si>
  <si>
    <t>Kiküldetések kiadásai</t>
  </si>
  <si>
    <t>K341</t>
  </si>
  <si>
    <t>Reklám- és propagandakiadások</t>
  </si>
  <si>
    <t>K342</t>
  </si>
  <si>
    <t>Kiküldetések, reklám- és propagandakiadások (=46+47)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</si>
  <si>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</si>
  <si>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</si>
  <si>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</si>
  <si>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</si>
  <si>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</si>
  <si>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Kamatkiadások (&gt;=52+53)</t>
  </si>
  <si>
    <t>K353</t>
  </si>
  <si>
    <t>ebből: fedezeti ügyletek kamatkiadásai</t>
  </si>
  <si>
    <t>Egyéb pénzügyi műveletek kiadásai (&gt;=55+…+57)</t>
  </si>
  <si>
    <t>K354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</si>
  <si>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</si>
  <si>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</si>
  <si>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</si>
  <si>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Egyéb dologi kiadások</t>
  </si>
  <si>
    <t>K355</t>
  </si>
  <si>
    <t>Különféle befizetések és egyéb dologi kiadások (=49+50+51+54+58)</t>
  </si>
  <si>
    <t>K35</t>
  </si>
  <si>
    <t>Dologi kiadások (=32+35+45+48+59)</t>
  </si>
  <si>
    <t>K3</t>
  </si>
  <si>
    <t>Társadalombiztosítási ellátások</t>
  </si>
  <si>
    <t>K41</t>
  </si>
  <si>
    <t>Családi támogatások (=63+…+73)</t>
  </si>
  <si>
    <t>K42</t>
  </si>
  <si>
    <t>ebből: családi pótlék</t>
  </si>
  <si>
    <t>ebből: anyasági támogatás</t>
  </si>
  <si>
    <t>ebből: gyermekgondozási segély</t>
  </si>
  <si>
    <t>ebből: gyermeknevelési támogatás</t>
  </si>
  <si>
    <t>ebből: gyermekek születésével kapcsolatos szabadság megtérítése</t>
  </si>
  <si>
    <t>ebből: életkezdési támogatás</t>
  </si>
  <si>
    <t>ebből: otthonteremtési támogatás</t>
  </si>
  <si>
    <t>ebből: gyermektartásdíj megelőlegezése</t>
  </si>
  <si>
    <t>ebből: GYES-en és GYED-en lévők hallgatói hitelének célzott támogatása a Gyvt. 161/T. § (1) bekezdése szerinti támogatás kivételével</t>
  </si>
  <si>
    <t>ebből: óvodáztatási támogatás [Gyvt. 20/C. §]</t>
  </si>
  <si>
    <t xml:space="preserve">ebből:  az egyéb pénzbeli és természetbeni gyermekvédelmi támogatások </t>
  </si>
  <si>
    <t>Pénzbeli kárpótlások, kártérítések</t>
  </si>
  <si>
    <t>K43</t>
  </si>
  <si>
    <t>Betegséggel kapcsolatos (nem társadalombiztosítási) ellátások (=76+…+84)</t>
  </si>
  <si>
    <t>K44</t>
  </si>
  <si>
    <t>ebből: kormányhivatalok által folyósított ápolási díj</t>
  </si>
  <si>
    <t>ebből: fogyatékossági támogatás és vakok személyi járadéka</t>
  </si>
  <si>
    <t>ebből: helyi megállapítású ápolási díj</t>
  </si>
  <si>
    <t>ebből: mozgáskorlátozottak szerzési és átalakítási támogatása</t>
  </si>
  <si>
    <t>ebből: megváltozott munkaképességűek illetve egészségkárosodottak kereset-kiegészítése</t>
  </si>
  <si>
    <t>ebből: kormányhivatalok által folyósított közgyógyellátás [Szoctv.50.§ (1)-(2) bekezdése]</t>
  </si>
  <si>
    <t>ebből: cukorbetegek támogatása</t>
  </si>
  <si>
    <t xml:space="preserve">ebből: helyi megállapítású közgyógyellátás [Szoctv.50.§ (3) bekezdése] </t>
  </si>
  <si>
    <t>ebből: egészségügyi szolgáltatási jogosultságra való jogosultság szociális rászorultság alapján [Szoctv. 54. §-a]</t>
  </si>
  <si>
    <t>Foglalkoztatással, munkanélküliséggel kapcsolatos ellátások (=86+…+94)</t>
  </si>
  <si>
    <t>K45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</si>
  <si>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</t>
  </si>
  <si>
    <t>ebből: korhatár előtti ellátás és a fegyveres testületek volt tagjai szolgálati járandósága</t>
  </si>
  <si>
    <t>ebből: munkáltatói befizetésből finanszírozott korengedményes nyugdíj</t>
  </si>
  <si>
    <t>ebből: átmeneti bányászjáradék</t>
  </si>
  <si>
    <t>ebből: szénjárandóság pénzbeli megváltása</t>
  </si>
  <si>
    <t>ebből: mecseki bányászatban munkát végzők bányászati kereset-kiegészítése</t>
  </si>
  <si>
    <t>ebből: mezőgazdasági járadék</t>
  </si>
  <si>
    <t>ebből: foglalkoztatást helyettesítő támogatás [Szoctv. 35. § (1) bek.]</t>
  </si>
  <si>
    <t xml:space="preserve">ebből: polgármesterek korhatár előtti ellátása </t>
  </si>
  <si>
    <t>Lakhatással kapcsolatos ellátások (=96+…+101)</t>
  </si>
  <si>
    <t>K46</t>
  </si>
  <si>
    <t>ebből: hozzájárulás a lakossági energiaköltségekhez</t>
  </si>
  <si>
    <t>ebből: lakbértámogatás</t>
  </si>
  <si>
    <t xml:space="preserve">ebből: lakásfenntartási támogatás [Szoctv. 38. § (1) bek. a) és b) pontok] </t>
  </si>
  <si>
    <t>ebből: adósságcsökkentési támogatás [Szoctv. 55/A. § 1. bek. b) pont]</t>
  </si>
  <si>
    <t>ebből: természetben nyújtott lakásfenntartási támogatás [Szoctv. 47.§ (1) bek. b) pont]</t>
  </si>
  <si>
    <t>ebből: adósságkezelési szolgáltatás keretében gáz-vagy áram fogyasztást mérő készülék biztosítása [Szoctv. 55/A. § (3) bek.]</t>
  </si>
  <si>
    <t>Intézményi ellátottak pénzbeli juttatásai (&gt;=103+104)</t>
  </si>
  <si>
    <t>K47</t>
  </si>
  <si>
    <t>ebből: állami gondozottak pénzbeli juttatásai</t>
  </si>
  <si>
    <t>ebből: oktatásban résztvevők pénzbeli juttatásai</t>
  </si>
  <si>
    <t>Egyéb nem intézményi ellátások (&gt;=106+…+130)</t>
  </si>
  <si>
    <t>K48</t>
  </si>
  <si>
    <t>ebből: házastársi pótlék</t>
  </si>
  <si>
    <t>ebből: Hadigondozottak Közalapítványát terhelő hadigondozotti ellátások</t>
  </si>
  <si>
    <t>ebből: tudományos fokozattal rendelkezők nyugdíjkiegészítése</t>
  </si>
  <si>
    <t>ebből:nemzeti gondozotti ellátások</t>
  </si>
  <si>
    <t>ebből: nemzeti helytállásért pótlék</t>
  </si>
  <si>
    <t>ebből: egyes nyugdíjjogi hátrányok enyhítése miatti (közszolgálati idő után járó) nyugdíj-kiegészítés</t>
  </si>
  <si>
    <t>ebből: egyes, tartós időtartamú szabadságelvonást elszenvedettek részére járó juttatás</t>
  </si>
  <si>
    <t>ebből: a Nemzet Színésze címet viselő színészek havi életjáradéka, művészeti nyugdíjsegélyek, balettművészeti életjáradék</t>
  </si>
  <si>
    <t>ebből: az elhunyt akadémikusok hozzátartozóinak folyósított özvegyi- és árvaellátás</t>
  </si>
  <si>
    <t>ebből: a Nemzet Sportolója címmel járó járadék, olimpiai járadék, idős sportolók szociális támogatása</t>
  </si>
  <si>
    <t>ebből: életjáradék termőföldért</t>
  </si>
  <si>
    <t>ebből: Bevándorlási és Állampolgársági Hivatal által folyósított ellátások</t>
  </si>
  <si>
    <t>ebből: szépkorúak jubileumi juttatása</t>
  </si>
  <si>
    <t>ebből: időskorúak járadéka [Szoctv. 32/B. § (1) bekezdése]</t>
  </si>
  <si>
    <t>ebből: rendszeres szociális segély [Szoctv. 37. § (1) bek. a) - d) pontja]</t>
  </si>
  <si>
    <t>ebből: önkormányzati segély [Szoctv. 45.§]</t>
  </si>
  <si>
    <t>ebből: egyéb, az önkormányzat rendeletében megállapított juttatás</t>
  </si>
  <si>
    <t>ebből: természetben nyújtott rendszeres szociális segély [Szoctv. 47.§ (1) bekezdés a) pontja]</t>
  </si>
  <si>
    <t>ebből: természetben nyújtott önkormányzati segély [Szoctv. 47. § (1) bekezdés c) pontja],</t>
  </si>
  <si>
    <t>ebből: köztemetés [Szoctv. 48.§]</t>
  </si>
  <si>
    <t>ebből: rászorultságtól függõ normatív kedvezmények [Gyvt. 151. § (5) bekezdése]</t>
  </si>
  <si>
    <t>ebből: önkormányzat által saját hatáskörben (nem szociális és gyermekvédelmi előírások alapján) adott pénzügyi ellátás</t>
  </si>
  <si>
    <t>ebből: önkormányzat által saját hatáskörben (nem szociális és gyermekvédelmi előírások alapján) adott természetbeni ellátás</t>
  </si>
  <si>
    <t>ebből: települési támogatás [Szoctv. 45.§]</t>
  </si>
  <si>
    <t>ebből: egészségkárosodási és gyermekfelügyeleti támogatás [Szoctv. 37.§ (1) bekezdés a) és b) pontja]</t>
  </si>
  <si>
    <t>Ellátottak pénzbeli juttatásai (=61+62+74+75+85+95+102+105)</t>
  </si>
  <si>
    <t>K4</t>
  </si>
  <si>
    <t>Nemzetközi kötelezettségek (&gt;=133)</t>
  </si>
  <si>
    <t>K501</t>
  </si>
  <si>
    <t>ebből: Európai Unió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</si>
  <si>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</si>
  <si>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</si>
  <si>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</si>
  <si>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</si>
  <si>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</si>
  <si>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</si>
  <si>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(=134+135+136)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</si>
  <si>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</si>
  <si>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</si>
  <si>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</si>
  <si>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 (=140+…+149)</t>
  </si>
  <si>
    <t>K504</t>
  </si>
  <si>
    <t>ebből: központi költségvetési szervek</t>
  </si>
  <si>
    <t>ebből: központi kezelésű előirányzatok</t>
  </si>
  <si>
    <t>ebből: fejezeti kezelésű előirányzatok EU-s programokra és azok hazai társfinanszírozása</t>
  </si>
  <si>
    <t>ebből: egyéb fejezeti kezelésű előirányzatok</t>
  </si>
  <si>
    <t>ebből: társadalombiztosítás pénzügyi alapjai</t>
  </si>
  <si>
    <t>ebből: elkülönített állami pénzalapok</t>
  </si>
  <si>
    <t>ebből: helyi önkormányzatok és költségvetési szerveik</t>
  </si>
  <si>
    <t>ebből: társulások és költségvetési szerveik</t>
  </si>
  <si>
    <t>ebből: nemzetiségi önkormányzatok és költségvetési szerveik</t>
  </si>
  <si>
    <t>ebből: térségi fejlesztési tanácsok és költségvetési szerveik</t>
  </si>
  <si>
    <t>Működési célú visszatérítendő támogatások, kölcsönök törlesztése államháztartáson belülre (=151+…+160)</t>
  </si>
  <si>
    <t>K505</t>
  </si>
  <si>
    <t>Egyéb működési célú támogatások államháztartáson belülre (=162+…+171)</t>
  </si>
  <si>
    <t>K506</t>
  </si>
  <si>
    <t>Működési célú garancia- és kezességvállalásból származó kifizetés államháztartáson kívülre (&gt;=173)</t>
  </si>
  <si>
    <t>K507</t>
  </si>
  <si>
    <t>ebből: állami vagy önkormányzati tulajdonban lévő gazdasági társaságok tartozásai miatti kifizetések</t>
  </si>
  <si>
    <t>Működési célú visszatérítendő támogatások, kölcsönök nyújtása államháztartáson kívülre (=175+…+185)</t>
  </si>
  <si>
    <t>K508</t>
  </si>
  <si>
    <t>ebből: egyházi jogi személyek</t>
  </si>
  <si>
    <t>ebből: nonprofit gazdasági társaságok</t>
  </si>
  <si>
    <t>ebből: egyéb civil szervezetek</t>
  </si>
  <si>
    <t>ebből: háztartások</t>
  </si>
  <si>
    <t>ebből: pénzügyi vállalkozások</t>
  </si>
  <si>
    <t>ebből: állami többségi tulajdonú nem pénzügyi vállalkozások</t>
  </si>
  <si>
    <t>ebből:önkormányzati többségi tulajdonú nem pénzügyi vállalkozások</t>
  </si>
  <si>
    <t>ebből: egyéb vállalkozások</t>
  </si>
  <si>
    <t xml:space="preserve">ebből: Európai Unió </t>
  </si>
  <si>
    <t>ebből: kormányok és nemzetközi szervezetek</t>
  </si>
  <si>
    <t>ebből: egyéb külföldiek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</si>
  <si>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</si>
  <si>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</si>
  <si>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</si>
  <si>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</si>
  <si>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</si>
  <si>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</si>
  <si>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 (=190+…+199)</t>
  </si>
  <si>
    <t>K512</t>
  </si>
  <si>
    <t>Tartalékok</t>
  </si>
  <si>
    <t>K513</t>
  </si>
  <si>
    <t>Egyéb működési célú kiadások (=132+137+138+139+150+161+172+174+186+187+188+189+200)</t>
  </si>
  <si>
    <t>K5</t>
  </si>
  <si>
    <t>Immateriális javak beszerzése, létesítése</t>
  </si>
  <si>
    <t>K61</t>
  </si>
  <si>
    <t>Ingatlanok beszerzése, létesítése (&gt;=204)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</si>
  <si>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</si>
  <si>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</si>
  <si>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</si>
  <si>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</si>
  <si>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</si>
  <si>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</si>
  <si>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</si>
  <si>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</si>
  <si>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</si>
  <si>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</si>
  <si>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</si>
  <si>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</si>
  <si>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(=202+203+205+…+209)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</si>
  <si>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</si>
  <si>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</si>
  <si>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</si>
  <si>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</si>
  <si>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</si>
  <si>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</si>
  <si>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</si>
  <si>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</si>
  <si>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</si>
  <si>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(=211+...+214)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</si>
  <si>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</si>
  <si>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</si>
  <si>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</si>
  <si>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 (=218+…+227)</t>
  </si>
  <si>
    <t>K82</t>
  </si>
  <si>
    <t>Felhalmozási célú visszatérítendő támogatások, kölcsönök törlesztése államháztartáson belülre (=229+…+238)</t>
  </si>
  <si>
    <t>K83</t>
  </si>
  <si>
    <t>Egyéb felhalmozási célú támogatások államháztartáson belülre (=240+…+249)</t>
  </si>
  <si>
    <t>K84</t>
  </si>
  <si>
    <t>Felhalmozási célú garancia- és kezességvállalásból származó kifizetés államháztartáson kívülre (&gt;=251)</t>
  </si>
  <si>
    <t>K85</t>
  </si>
  <si>
    <t>Felhalmozási célú visszatérítendő támogatások, kölcsönök nyújtása államháztartáson kívülre (=253+…+263)</t>
  </si>
  <si>
    <t>K86</t>
  </si>
  <si>
    <t>Lakástámogatás</t>
  </si>
  <si>
    <t>K87</t>
  </si>
  <si>
    <t>Felhalmozási célú támogatások az Európai Uniónak</t>
  </si>
  <si>
    <t>K88</t>
  </si>
  <si>
    <t>Egyéb felhalmozási célú támogatások államháztartáson kívülre (=267+…+276)</t>
  </si>
  <si>
    <t>K89</t>
  </si>
  <si>
    <t>Egyéb felhalmozási célú kiadások (=216+217+228+239+250+252+264+265+266)</t>
  </si>
  <si>
    <t>K8</t>
  </si>
  <si>
    <t>Költségvetési kiadások (=20+21+60+131+201+210+215+277)</t>
  </si>
  <si>
    <t>K1-K8</t>
  </si>
  <si>
    <t>Hosszú lejáratú hitelek, kölcsönök törlesztése pénzügyi vállalkozásnak (&gt;=280)</t>
  </si>
  <si>
    <t>K9111</t>
  </si>
  <si>
    <t>ebből: fedezeti ügyletek nettó kiadásai</t>
  </si>
  <si>
    <t>Likviditási célú hitelek, kölcsönök törlesztése pénzügyi vállalkozásnak</t>
  </si>
  <si>
    <t>K9112</t>
  </si>
  <si>
    <t>Rövid lejáratú hitelek, kölcsönök törlesztése  (&gt;=283)</t>
  </si>
  <si>
    <t>K9113</t>
  </si>
  <si>
    <t>Hitel-, kölcsöntörlesztés államháztartáson kívülre (=279+281+282)</t>
  </si>
  <si>
    <t>K911</t>
  </si>
  <si>
    <t>Forgatási célú belföldi értékpapírok vásárlása (&gt;=286+287)</t>
  </si>
  <si>
    <t>K9121</t>
  </si>
  <si>
    <t>ebből: befektetési jegyek</t>
  </si>
  <si>
    <t>ebből: kárpótlási jegyek</t>
  </si>
  <si>
    <t>Befektetési célú belföldi értékpapírok vásárlása</t>
  </si>
  <si>
    <t>K9122</t>
  </si>
  <si>
    <t>Kincstárjegyek beváltása</t>
  </si>
  <si>
    <t>K9123</t>
  </si>
  <si>
    <t>Éven belüli lejáratú belföldi értékpapírok beváltása (&gt;=291+292+293)</t>
  </si>
  <si>
    <t>K9124</t>
  </si>
  <si>
    <t>Belföldi kötvények beváltása</t>
  </si>
  <si>
    <t>K9125</t>
  </si>
  <si>
    <t>Éven túli lejáratú belföldi értékpapírok beváltása (&gt;=296)</t>
  </si>
  <si>
    <t>K9126</t>
  </si>
  <si>
    <t>Belföldi értékpapírok kiadásai (=285+288+289+290+294+295)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</si>
  <si>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</si>
  <si>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</si>
  <si>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</si>
  <si>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</si>
  <si>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</si>
  <si>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</si>
  <si>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</si>
  <si>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bankbetétként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</si>
  <si>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</si>
  <si>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</si>
  <si>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</si>
  <si>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</si>
  <si>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</si>
  <si>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Hosszú lejáratú tulajdonosi kölcsönök kiadásai</t>
  </si>
  <si>
    <t>K9191</t>
  </si>
  <si>
    <t>Rövid lejáratú tulajdonosi kölcsönök kiadásai</t>
  </si>
  <si>
    <t>K9192</t>
  </si>
  <si>
    <t>Tulajdonosi kölcsönök kiadásai (=304+305)</t>
  </si>
  <si>
    <t>K919</t>
  </si>
  <si>
    <t>Belföldi finanszírozás kiadásai (=284+297+…+303+306)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</si>
  <si>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</si>
  <si>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</si>
  <si>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</si>
  <si>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</si>
  <si>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</si>
  <si>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 (&gt;=311)</t>
  </si>
  <si>
    <t>K923</t>
  </si>
  <si>
    <t>Hitelek, kölcsönök törlesztése külföldi kormányoknak és nemzetközi szervezeteknek</t>
  </si>
  <si>
    <t>K924</t>
  </si>
  <si>
    <t>Hitelek, kölcsönök törlesztése külföldi pénzintézeteknek (&gt;=314)</t>
  </si>
  <si>
    <t>K925</t>
  </si>
  <si>
    <t>Külföldi finanszírozás kiadásai (=308+309+310+312+313)</t>
  </si>
  <si>
    <t>K92</t>
  </si>
  <si>
    <t>Adóssághoz nem kapcsolódó származékos ügyletek kiadásai</t>
  </si>
  <si>
    <t>K93</t>
  </si>
  <si>
    <t>Váltókiadások</t>
  </si>
  <si>
    <t>K94</t>
  </si>
  <si>
    <t>Finanszírozási kiadások (=307+315+316+317)</t>
  </si>
  <si>
    <t>K9</t>
  </si>
  <si>
    <t>Kiadások összesen (=278+318)</t>
  </si>
  <si>
    <t>K1-K9</t>
  </si>
  <si>
    <t>Kapacitásmutató 1. [68/2013. (XII.29.)NGM r. 6. § (2) bek.]</t>
  </si>
  <si>
    <t>Kapacitásmutató 2. [68/2013. (XII.29.)NGM r. 6. § (2) bek.]</t>
  </si>
  <si>
    <t>Feladatmutató [68/2013. (XII.29.)NGM r. 6. § (1) bek.]</t>
  </si>
  <si>
    <t>Teljesítménymutató [68/2013. (XII.29.)NGM r. 6. § (1) bek.]</t>
  </si>
  <si>
    <t>9.</t>
  </si>
  <si>
    <t>10.</t>
  </si>
  <si>
    <t>o51106</t>
  </si>
  <si>
    <t>Béren kív.juttatás (Erzsébet ut.)</t>
  </si>
  <si>
    <t>Béren kív.juttatás (Szépkártya)</t>
  </si>
  <si>
    <t>Egyéb juttatás (tanfolyam)</t>
  </si>
  <si>
    <t>Személyi juttatás összesen</t>
  </si>
  <si>
    <t>Foglalkoztatottak alapilletménye</t>
  </si>
  <si>
    <t>Túlóra, tulmunka, helyettesítés</t>
  </si>
  <si>
    <t xml:space="preserve">Jubileumi jut. </t>
  </si>
  <si>
    <t>o5110713</t>
  </si>
  <si>
    <t>o5110714</t>
  </si>
  <si>
    <t>o511091</t>
  </si>
  <si>
    <t>o5111319</t>
  </si>
  <si>
    <t>o511101</t>
  </si>
  <si>
    <t>Egyéb jogviszonyban foglalkoztatottak jutt.</t>
  </si>
  <si>
    <t>Külső személyi juttatások összesen:</t>
  </si>
  <si>
    <t>Választott tisztviselők juttatásai</t>
  </si>
  <si>
    <t>Foglalk.személyi juttatásai összesen</t>
  </si>
  <si>
    <t>o51</t>
  </si>
  <si>
    <t>Rehabilitációs hozzáájárulás</t>
  </si>
  <si>
    <t>o5213</t>
  </si>
  <si>
    <t>o512318</t>
  </si>
  <si>
    <t>o512319</t>
  </si>
  <si>
    <t>o5211</t>
  </si>
  <si>
    <t>o5212</t>
  </si>
  <si>
    <t>o5217</t>
  </si>
  <si>
    <t>o52</t>
  </si>
  <si>
    <t>o531111</t>
  </si>
  <si>
    <t>o531113</t>
  </si>
  <si>
    <t>Folyóirat</t>
  </si>
  <si>
    <t>o531114</t>
  </si>
  <si>
    <t>o531115</t>
  </si>
  <si>
    <t>o531119</t>
  </si>
  <si>
    <t>Egyéb szakmai anyagok beszerzése</t>
  </si>
  <si>
    <t>o5312</t>
  </si>
  <si>
    <t>irodaszer</t>
  </si>
  <si>
    <t>munkaruha, védőruha</t>
  </si>
  <si>
    <t>Egyéb üzemeltetési anyagok</t>
  </si>
  <si>
    <t xml:space="preserve"> Üzemelt. anyagok besz.össz.:</t>
  </si>
  <si>
    <t>o5321</t>
  </si>
  <si>
    <t>o5322</t>
  </si>
  <si>
    <t>o5331</t>
  </si>
  <si>
    <t>o533112</t>
  </si>
  <si>
    <t>o533111</t>
  </si>
  <si>
    <t>o533114</t>
  </si>
  <si>
    <t>Közüzemi díjak összesen</t>
  </si>
  <si>
    <t>bérleti és lízingdíjak</t>
  </si>
  <si>
    <t>o533</t>
  </si>
  <si>
    <t>o53341</t>
  </si>
  <si>
    <t>o533411</t>
  </si>
  <si>
    <t>Karbantartás, kisjavítás összesen</t>
  </si>
  <si>
    <t>o5334</t>
  </si>
  <si>
    <t>o5335</t>
  </si>
  <si>
    <t>o5336</t>
  </si>
  <si>
    <t>o5337</t>
  </si>
  <si>
    <t>Szolgáltatási kiadások összesen</t>
  </si>
  <si>
    <t>o5341</t>
  </si>
  <si>
    <t>o5342</t>
  </si>
  <si>
    <t xml:space="preserve">Kiküldetések, reklám- és propagandakiadások </t>
  </si>
  <si>
    <t>o534</t>
  </si>
  <si>
    <t>o535</t>
  </si>
  <si>
    <t xml:space="preserve">Kamatkiadások </t>
  </si>
  <si>
    <t>o5351</t>
  </si>
  <si>
    <t>o5352</t>
  </si>
  <si>
    <t>o5353</t>
  </si>
  <si>
    <t>o5355</t>
  </si>
  <si>
    <t>o5354</t>
  </si>
  <si>
    <t>o53</t>
  </si>
  <si>
    <t>o531</t>
  </si>
  <si>
    <t>o532</t>
  </si>
  <si>
    <t>Működési célú pénzeszközátadás áht.belül</t>
  </si>
  <si>
    <t>háztartásoknak</t>
  </si>
  <si>
    <t>egyéb civil szervezeteknek</t>
  </si>
  <si>
    <t>egyéb vállalkozásoknak</t>
  </si>
  <si>
    <t>o5512</t>
  </si>
  <si>
    <t>o5506</t>
  </si>
  <si>
    <t>Működési célú pénzeszközátadás áht.kívül non-profit szervezeteknek</t>
  </si>
  <si>
    <t>o561</t>
  </si>
  <si>
    <t>o562</t>
  </si>
  <si>
    <t>o</t>
  </si>
  <si>
    <t>o563</t>
  </si>
  <si>
    <t>o564</t>
  </si>
  <si>
    <t>o567</t>
  </si>
  <si>
    <t>o56</t>
  </si>
  <si>
    <t>o571</t>
  </si>
  <si>
    <t>o572</t>
  </si>
  <si>
    <t>o573</t>
  </si>
  <si>
    <t>o574</t>
  </si>
  <si>
    <t>o57</t>
  </si>
  <si>
    <t>Egyéb felhalmozási célú támogatások áht.kívülre egyéb vállalkozások</t>
  </si>
  <si>
    <t>o589</t>
  </si>
  <si>
    <t>o586</t>
  </si>
  <si>
    <t>Egyéb felhalmozási célú kiadások</t>
  </si>
  <si>
    <t>Felhalm.célú visszatér.tám. Kölcs.nyújtása áht.kívülre háztartásoknak</t>
  </si>
  <si>
    <t>o58</t>
  </si>
  <si>
    <t>o511</t>
  </si>
  <si>
    <t>0512..</t>
  </si>
  <si>
    <t>o512..</t>
  </si>
  <si>
    <t>o512</t>
  </si>
  <si>
    <t xml:space="preserve">2016.évi költségvetés tervezet </t>
  </si>
  <si>
    <t>o5333</t>
  </si>
  <si>
    <t xml:space="preserve">Közvetített szolgáltatások </t>
  </si>
  <si>
    <t xml:space="preserve">Különféle befizetések és egyéb dologi kiadások </t>
  </si>
  <si>
    <t>o5311</t>
  </si>
  <si>
    <t>o55</t>
  </si>
  <si>
    <t xml:space="preserve">Működési célú pénzeszközátadás áht.kívül </t>
  </si>
  <si>
    <t>Felújítások összesen</t>
  </si>
  <si>
    <t>Beruházások összesen</t>
  </si>
  <si>
    <t>Műk.célú pénzeszk.átadás összesen:</t>
  </si>
  <si>
    <t>o551</t>
  </si>
  <si>
    <t>o531211</t>
  </si>
  <si>
    <t>Élelmiszer beszerzés</t>
  </si>
  <si>
    <t>o531212</t>
  </si>
  <si>
    <t>o531214</t>
  </si>
  <si>
    <t>o531215</t>
  </si>
  <si>
    <t>o531219</t>
  </si>
  <si>
    <t>Adatátviteli távközlési díjak (internet)</t>
  </si>
  <si>
    <t>Nem adatátvitel (telefon)</t>
  </si>
  <si>
    <t>o53219</t>
  </si>
  <si>
    <t>Egyén különféle inform.szolg.</t>
  </si>
  <si>
    <t xml:space="preserve">Gépkarbantartás </t>
  </si>
  <si>
    <t>o533611</t>
  </si>
  <si>
    <t>o533612</t>
  </si>
  <si>
    <t>Számlázottszellemi tevékenység</t>
  </si>
  <si>
    <t>o533711</t>
  </si>
  <si>
    <t>o533712</t>
  </si>
  <si>
    <t>OTP Közreműködési díj</t>
  </si>
  <si>
    <t>o533713</t>
  </si>
  <si>
    <t>o533719</t>
  </si>
  <si>
    <t>Egyéb üzemeltetési szolgáltatások</t>
  </si>
  <si>
    <t>Biztosítási díjak</t>
  </si>
  <si>
    <t xml:space="preserve">Egyéb különf.pénzügyi műv. kiadásai </t>
  </si>
  <si>
    <t>o53552</t>
  </si>
  <si>
    <t>díjak, egyéb befizetések</t>
  </si>
  <si>
    <t>Kommunikációs szolgáltatások össz.</t>
  </si>
  <si>
    <t>egyéb különf. dologi kiadások</t>
  </si>
  <si>
    <t>postaköltség, mosatás,féregírtás, kéményseprés,</t>
  </si>
  <si>
    <t>úthasználat, műszaki vizsgáztatás, bírság</t>
  </si>
  <si>
    <t>o53559</t>
  </si>
  <si>
    <t xml:space="preserve">Ingatlanok beszerzése, létesítése </t>
  </si>
  <si>
    <t>Szennyvíz gyűjtése, elhelyezése</t>
  </si>
  <si>
    <t>Települési hulladékkezelés</t>
  </si>
  <si>
    <t>O91110</t>
  </si>
  <si>
    <t>O52020</t>
  </si>
  <si>
    <t>O51030</t>
  </si>
  <si>
    <t>O45160</t>
  </si>
  <si>
    <t>O96010</t>
  </si>
  <si>
    <t>Iskokai étkeztetés</t>
  </si>
  <si>
    <t>O96020</t>
  </si>
  <si>
    <t>Vendég, tábor étkeztetés</t>
  </si>
  <si>
    <t>Álategészségügyi ellátás</t>
  </si>
  <si>
    <t>O42180</t>
  </si>
  <si>
    <t>O13350</t>
  </si>
  <si>
    <t>O81071</t>
  </si>
  <si>
    <t>Turisztikával kapcsolatos működési fel.</t>
  </si>
  <si>
    <t>O47320</t>
  </si>
  <si>
    <t>Zöldterület gondeozás</t>
  </si>
  <si>
    <t>O66010</t>
  </si>
  <si>
    <t>Önkorm. vagyonnal kapcs.fel ellátása</t>
  </si>
  <si>
    <t>Város és községgazd. Egyéb feladatai</t>
  </si>
  <si>
    <t>O66020</t>
  </si>
  <si>
    <t>O64010</t>
  </si>
  <si>
    <t>O86030</t>
  </si>
  <si>
    <t>Iskola működtetése</t>
  </si>
  <si>
    <t>háziorvosi alapellátás</t>
  </si>
  <si>
    <t>O72111</t>
  </si>
  <si>
    <t>Háziorovosi ügyeleti alapellátás</t>
  </si>
  <si>
    <t>O72102</t>
  </si>
  <si>
    <t>Foglalkozásegészségügyi alapellátás</t>
  </si>
  <si>
    <t>O74011</t>
  </si>
  <si>
    <t>Család- és nővédelmi gondozás</t>
  </si>
  <si>
    <t>O74031</t>
  </si>
  <si>
    <t>Tanyagondnoki ellátás</t>
  </si>
  <si>
    <t>O84031</t>
  </si>
  <si>
    <t>Hosszú távú közfoglalkoztatás</t>
  </si>
  <si>
    <t>O41231</t>
  </si>
  <si>
    <t>Téli közfoglalkoztatás/képzés</t>
  </si>
  <si>
    <t>O82044</t>
  </si>
  <si>
    <t>Közösségi színterek működtetése</t>
  </si>
  <si>
    <t>O82092</t>
  </si>
  <si>
    <t>Fűrdő és strandszolgáltatás</t>
  </si>
  <si>
    <t>O81061</t>
  </si>
  <si>
    <t>Közösségi társadalmi tevékenyséh</t>
  </si>
  <si>
    <t>O13390</t>
  </si>
  <si>
    <t>O13320</t>
  </si>
  <si>
    <t>szagtalanítás</t>
  </si>
  <si>
    <t xml:space="preserve">Foglalkoztatottak alapilletménye </t>
  </si>
  <si>
    <t>3 fő</t>
  </si>
  <si>
    <t>2 fő</t>
  </si>
  <si>
    <t>4 fő</t>
  </si>
  <si>
    <t>6 fő</t>
  </si>
  <si>
    <t>Normatív jutalom/céljutalom</t>
  </si>
  <si>
    <t>7 fő</t>
  </si>
  <si>
    <t>1 fő</t>
  </si>
  <si>
    <t>szakos helyettesítés</t>
  </si>
  <si>
    <t>területi, ágazati</t>
  </si>
  <si>
    <t>10 alkalom</t>
  </si>
  <si>
    <t>FS ajtó 100, bobcat árokásó-köröm 100, Rider motor220</t>
  </si>
  <si>
    <t>Csalogány lépcső 300</t>
  </si>
  <si>
    <t>Óvoda udvar rendezése 800</t>
  </si>
  <si>
    <t>rendezvény park térkő, gyöngykavics 150</t>
  </si>
  <si>
    <t xml:space="preserve">játszótéi elemek </t>
  </si>
  <si>
    <t xml:space="preserve">Játszótéri eszközök </t>
  </si>
  <si>
    <t xml:space="preserve">József A. </t>
  </si>
  <si>
    <t>homokozó</t>
  </si>
  <si>
    <t>csúzda</t>
  </si>
  <si>
    <t>Mathiász ltp</t>
  </si>
  <si>
    <t>lobikóka</t>
  </si>
  <si>
    <t>rugós játék</t>
  </si>
  <si>
    <t>Kinizsi</t>
  </si>
  <si>
    <t>libikóka</t>
  </si>
  <si>
    <t>Gagarin ltp</t>
  </si>
  <si>
    <t>bruttó</t>
  </si>
  <si>
    <t>"Kisértékű tárgyi eszköz" beszerzés</t>
  </si>
  <si>
    <t>Iskola műhely(akkus csavarhúzó, barkácspad, heggesztő)60</t>
  </si>
  <si>
    <t>magassági gallyazó 230</t>
  </si>
  <si>
    <t>műhely előtér 400</t>
  </si>
  <si>
    <t>10 fő</t>
  </si>
  <si>
    <t>Csalogány úti lépcső</t>
  </si>
  <si>
    <t>Gépbeszerzés</t>
  </si>
  <si>
    <t>magassági gallyazó</t>
  </si>
  <si>
    <t>kisértékű tárgyi eszköz</t>
  </si>
  <si>
    <t xml:space="preserve">Gép-, berendezés karbantartás </t>
  </si>
  <si>
    <t>rendezvények</t>
  </si>
  <si>
    <t>mobil</t>
  </si>
  <si>
    <t>Rajkóné</t>
  </si>
  <si>
    <t>Ualak</t>
  </si>
  <si>
    <t>Megállapodás alapján</t>
  </si>
  <si>
    <t>csapadékvíz elvezetés 50</t>
  </si>
  <si>
    <t>Mihályné</t>
  </si>
  <si>
    <t xml:space="preserve">(7 évenkénti kötelező képzés 1 óvonő, 2 dajkák </t>
  </si>
  <si>
    <t>3 óvonő Lepsény, Kenese 363+ továbbképzések 40</t>
  </si>
  <si>
    <t>új ember +693</t>
  </si>
  <si>
    <t>Közlekedési költségtérítés   3 fő</t>
  </si>
  <si>
    <t>Könyv (szakkönyv)</t>
  </si>
  <si>
    <t>csoportonként 50 rajzeszközök+100 játék</t>
  </si>
  <si>
    <t>honlap beindítás</t>
  </si>
  <si>
    <t>16 dajka, 6 óvónő</t>
  </si>
  <si>
    <t>mázolás, festés, zsírfogóakna tisztítás,</t>
  </si>
  <si>
    <t>autómata mosógép70, 3 db játék tároló kis szekrény120, 2 dbfogasos fogmosópohár tartó70</t>
  </si>
  <si>
    <t>postaköltség5, féregírtás30,  játékok felülvizsgálata3x22, riasztó 60, üzemorvos 50</t>
  </si>
  <si>
    <t>Bodáné tandíj</t>
  </si>
  <si>
    <t>logopédus</t>
  </si>
  <si>
    <t>pedagógusnapi kirándulás is</t>
  </si>
  <si>
    <t>Redőny283, árnyékoló620</t>
  </si>
  <si>
    <t>244+70</t>
  </si>
  <si>
    <t>tisztitószer+ konyhai eszközök pótlása+egyéb karbantartási anyagok</t>
  </si>
  <si>
    <t>álláshirdetés</t>
  </si>
  <si>
    <t>étkezési díjak beszedése (35+3)</t>
  </si>
  <si>
    <t>konyhai eszközök pótlása</t>
  </si>
  <si>
    <t>RM lábasok 3 db</t>
  </si>
  <si>
    <t>4főX16</t>
  </si>
  <si>
    <t>festés, mázolás anyagai120 + tisztítószer400</t>
  </si>
  <si>
    <t>Zsírfogó tisztítás, zoldségelőkészítő járólapozás</t>
  </si>
  <si>
    <t>Üzemorvos, féregírtás</t>
  </si>
  <si>
    <t>HACCP</t>
  </si>
  <si>
    <t>anyagbeszerzés</t>
  </si>
  <si>
    <t>leporellós nyomtató 130, mosógép 80</t>
  </si>
  <si>
    <t>programfrissités</t>
  </si>
  <si>
    <t>13Fő*40 nap*375</t>
  </si>
  <si>
    <t>13 Fő*180 nap*395</t>
  </si>
  <si>
    <t>5 fő*40 nap*375</t>
  </si>
  <si>
    <t>5 fő*180 nap*395</t>
  </si>
  <si>
    <t>400 Fő*375 Ft</t>
  </si>
  <si>
    <t>ÁFA nélkül</t>
  </si>
  <si>
    <t>2000 Fő*395 Ft</t>
  </si>
  <si>
    <t>45 Fő*20 nap*1275 Ft</t>
  </si>
  <si>
    <t>(41 nap*25 fő)*375 Ft</t>
  </si>
  <si>
    <t>(160 nap*25 fő+35 nap*15Fő)*395 Ft</t>
  </si>
  <si>
    <t>40 nap*48 fő*420  Ft</t>
  </si>
  <si>
    <t>40 nap*35 fő*470 Ft</t>
  </si>
  <si>
    <t>40 nap*23 fő*275 Ft</t>
  </si>
  <si>
    <t>40 nap*26 fő*315 Ft</t>
  </si>
  <si>
    <t>40 nap*5 fő*80Ft</t>
  </si>
  <si>
    <t>143nap* 48fő*440  Ft</t>
  </si>
  <si>
    <t>143 nap*35 fő*490 Ft</t>
  </si>
  <si>
    <t>143nap*23 fő*295 Ft</t>
  </si>
  <si>
    <t>143 nap*26 fő*335 Ft</t>
  </si>
  <si>
    <t>143 nap*5 fő*80 Ft</t>
  </si>
  <si>
    <t>(41 nap*47fő) *380 Ft</t>
  </si>
  <si>
    <t>(142 nap*47fő+35 nap*11 fő) *400 Ft</t>
  </si>
  <si>
    <t>tisztítószer 50, zárt konténerek javítása300</t>
  </si>
  <si>
    <t>elmaradt kifizetés 380</t>
  </si>
  <si>
    <t>számlázott szemét feldolg.</t>
  </si>
  <si>
    <t>saját szemétfeldolgozás díja</t>
  </si>
  <si>
    <t>Számlázott szellemi tevékenység</t>
  </si>
  <si>
    <t>téli útfenntartás, murva,cement,kresztáblák</t>
  </si>
  <si>
    <t>útjavítás, hótolás, kosaras autó</t>
  </si>
  <si>
    <t>utak karbantartása</t>
  </si>
  <si>
    <t>ép anyag szállítás</t>
  </si>
  <si>
    <t>tisztitószer20,kisgépek javítása700,park.eszk 100,játszótér festés 250, saját rezsi 500, virágok900</t>
  </si>
  <si>
    <t>tűzoltókészülekek 300, rovarírtás600</t>
  </si>
  <si>
    <t>öntözővíz is</t>
  </si>
  <si>
    <t>Saldó tagdíj 150, távfelügyelet300, takarnet100, térinf.580, könvv.420, iratarh.200,test.anyag bek150, védőszemüveg400, riasztó100</t>
  </si>
  <si>
    <t>tisztitószer</t>
  </si>
  <si>
    <t>iratok selejtezése300, egyéb100</t>
  </si>
  <si>
    <t>nyári diákmunka</t>
  </si>
  <si>
    <t>gyerekszállítás5550,összetartozásnapja 300</t>
  </si>
  <si>
    <t>680*4hó</t>
  </si>
  <si>
    <t xml:space="preserve"> mosatás,féregírtás, kéményseprés,veszélyes hulladék száll.</t>
  </si>
  <si>
    <r>
      <t xml:space="preserve">hétközi ügyelet 840, nyári 500 </t>
    </r>
    <r>
      <rPr>
        <sz val="14"/>
        <color indexed="10"/>
        <rFont val="Times New Roman CE"/>
        <family val="0"/>
      </rPr>
      <t>elmearadott 210</t>
    </r>
  </si>
  <si>
    <t>védőnői program karbantarás</t>
  </si>
  <si>
    <t>házigondozás 4főx370x251</t>
  </si>
  <si>
    <t>2016.</t>
  </si>
  <si>
    <t>könyvbeszerzés</t>
  </si>
  <si>
    <t xml:space="preserve">Vifi hálózat </t>
  </si>
  <si>
    <t>temetőprogram, szoc.sírhelyek kialakítása</t>
  </si>
  <si>
    <t>"Kisértékű tárgyű tárgyi eszköz beszerzés"</t>
  </si>
  <si>
    <t>10x25</t>
  </si>
  <si>
    <t>kinti</t>
  </si>
  <si>
    <t>benti</t>
  </si>
  <si>
    <t>10x15</t>
  </si>
  <si>
    <t>1 asztalterítő nagy</t>
  </si>
  <si>
    <t>2asztalterítő kicsi</t>
  </si>
  <si>
    <t>nyomtatvány</t>
  </si>
  <si>
    <t>patron</t>
  </si>
  <si>
    <t>toner</t>
  </si>
  <si>
    <t>GEVSZ Összesítő kimutatás 2016</t>
  </si>
  <si>
    <t xml:space="preserve">Központi épület </t>
  </si>
  <si>
    <t>kazán</t>
  </si>
  <si>
    <t>kiviteli terv</t>
  </si>
  <si>
    <t>TNM tanulmányterv</t>
  </si>
  <si>
    <t>bevétel is</t>
  </si>
  <si>
    <t>Iskola szigetelés</t>
  </si>
  <si>
    <t>Egészségház ablakcsere, szigetelés</t>
  </si>
  <si>
    <t>Bérlakás ablakcsere</t>
  </si>
  <si>
    <t>Bisztró felújítás</t>
  </si>
  <si>
    <t>Óvoda</t>
  </si>
  <si>
    <t>árnyékoló, redőny</t>
  </si>
  <si>
    <t>nyomtató (jogsegély, adósok)</t>
  </si>
  <si>
    <t>számítógép, monitor</t>
  </si>
  <si>
    <t>Önkormányzat</t>
  </si>
  <si>
    <t>Útfelújítás</t>
  </si>
  <si>
    <t xml:space="preserve">Strand </t>
  </si>
  <si>
    <t>dagasztó karbantartás125</t>
  </si>
  <si>
    <t>Műhely előtető</t>
  </si>
  <si>
    <t>1 fő 40 éves</t>
  </si>
  <si>
    <r>
      <rPr>
        <sz val="8"/>
        <rFont val="Arial"/>
        <family val="2"/>
      </rPr>
      <t>Térkép, tul.lap 300, szúnyog670tűzvéd. 300, érintésvéd.400, Tagdíj KB 420, Bszöv. 100,Töosz 40,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 xml:space="preserve"> honlap karb. 144,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 xml:space="preserve"> ügyvéd 1836,</t>
    </r>
    <r>
      <rPr>
        <sz val="8"/>
        <color indexed="10"/>
        <rFont val="Arial"/>
        <family val="2"/>
      </rPr>
      <t xml:space="preserve"> 5610zölhull.száll(38ford).+ elmaradott 888+</t>
    </r>
    <r>
      <rPr>
        <sz val="8"/>
        <rFont val="Arial"/>
        <family val="2"/>
      </rPr>
      <t xml:space="preserve"> Szelektív hull.1706+pályázat400 +OTPautómata 1200</t>
    </r>
    <r>
      <rPr>
        <sz val="8"/>
        <color indexed="10"/>
        <rFont val="Arial"/>
        <family val="2"/>
      </rPr>
      <t>+ elmaradott 600+</t>
    </r>
    <r>
      <rPr>
        <sz val="8"/>
        <rFont val="Arial"/>
        <family val="2"/>
      </rPr>
      <t>közadattár feltölotés120</t>
    </r>
    <r>
      <rPr>
        <sz val="8"/>
        <color indexed="10"/>
        <rFont val="Arial"/>
        <family val="2"/>
      </rPr>
      <t>+</t>
    </r>
    <r>
      <rPr>
        <sz val="8"/>
        <rFont val="Arial"/>
        <family val="2"/>
      </rPr>
      <t>BAHART500</t>
    </r>
  </si>
  <si>
    <t>Bisztró, kultúrház szigetelés</t>
  </si>
  <si>
    <t>temető kerítés 626, útjavítás74 murva 71</t>
  </si>
  <si>
    <t xml:space="preserve">Strand kerítés </t>
  </si>
  <si>
    <t>Iskola udvar, teniszpálya, futópálya Ualak</t>
  </si>
  <si>
    <t>traktor</t>
  </si>
  <si>
    <t>emelet ablakcsere, fűtéskorszerűsítés</t>
  </si>
  <si>
    <t xml:space="preserve"> iskola műhely szerszámok</t>
  </si>
  <si>
    <t>Konténeres autó</t>
  </si>
  <si>
    <t>Térfigyelő kamerák mikróhullámú összekötttetés</t>
  </si>
  <si>
    <t>Buszkísétő40x10,Sándroné Arany diploma</t>
  </si>
  <si>
    <t xml:space="preserve"> dalkör 45x12=540,  újság nyomda 91x12=1092,  szerk. 100x12=1200</t>
  </si>
  <si>
    <t>önk.ép.kazán 901</t>
  </si>
  <si>
    <t>Temető kerítés, út</t>
  </si>
  <si>
    <t>Új riasztó cseréje</t>
  </si>
  <si>
    <t>Kodály utcai ingatlan rendbetétele709</t>
  </si>
  <si>
    <t xml:space="preserve">ingatlanok </t>
  </si>
  <si>
    <t xml:space="preserve"> mosatás,</t>
  </si>
  <si>
    <t>takarítószerek, kencék,kábeltartó, felmosóvödör…</t>
  </si>
  <si>
    <t xml:space="preserve">óraszám növekedés </t>
  </si>
  <si>
    <t>telefonközpont152</t>
  </si>
  <si>
    <t>226+33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</si>
</sst>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E]yyyy\.\ mmmm\ d\."/>
    <numFmt numFmtId="173" formatCode="0.0"/>
    <numFmt numFmtId="174" formatCode="00"/>
    <numFmt numFmtId="175" formatCode="0__"/>
  </numFmts>
  <fonts count="121">
    <font>
      <sz val="14"/>
      <name val="Times New Roman CE"/>
      <family val="0"/>
    </font>
    <font>
      <b/>
      <sz val="14"/>
      <name val="Times New Roman CE"/>
      <family val="1"/>
    </font>
    <font>
      <b/>
      <sz val="12"/>
      <name val="Times New Roman CE"/>
      <family val="0"/>
    </font>
    <font>
      <b/>
      <i/>
      <sz val="14"/>
      <name val="Times New Roman CE"/>
      <family val="0"/>
    </font>
    <font>
      <sz val="12"/>
      <name val="Times New Roman CE"/>
      <family val="0"/>
    </font>
    <font>
      <u val="single"/>
      <sz val="14"/>
      <color indexed="12"/>
      <name val="Times New Roman CE"/>
      <family val="0"/>
    </font>
    <font>
      <u val="single"/>
      <sz val="14"/>
      <color indexed="36"/>
      <name val="Times New Roman CE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Times New Roman CE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2"/>
      <color indexed="10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b/>
      <sz val="7"/>
      <color indexed="8"/>
      <name val="Times New Roman"/>
      <family val="1"/>
    </font>
    <font>
      <b/>
      <sz val="11"/>
      <name val="Times New Roman CE"/>
      <family val="1"/>
    </font>
    <font>
      <sz val="12"/>
      <color indexed="8"/>
      <name val="Arial"/>
      <family val="2"/>
    </font>
    <font>
      <sz val="8"/>
      <name val="Arial CE"/>
      <family val="0"/>
    </font>
    <font>
      <sz val="10"/>
      <name val="Arial CE"/>
      <family val="0"/>
    </font>
    <font>
      <sz val="11"/>
      <name val="Times New Roman CE"/>
      <family val="0"/>
    </font>
    <font>
      <b/>
      <sz val="12"/>
      <name val="Arial CE"/>
      <family val="0"/>
    </font>
    <font>
      <b/>
      <sz val="10"/>
      <name val="Times New Roman CE"/>
      <family val="0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Arial"/>
      <family val="2"/>
    </font>
    <font>
      <sz val="8"/>
      <name val="Times New Roman"/>
      <family val="1"/>
    </font>
    <font>
      <sz val="12"/>
      <color indexed="40"/>
      <name val="Times New Roman CE"/>
      <family val="0"/>
    </font>
    <font>
      <b/>
      <sz val="14"/>
      <color indexed="10"/>
      <name val="Times New Roman CE"/>
      <family val="0"/>
    </font>
    <font>
      <b/>
      <sz val="11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2"/>
      <name val="Calibri"/>
      <family val="2"/>
    </font>
    <font>
      <sz val="12"/>
      <color indexed="10"/>
      <name val="Times New Roman CE"/>
      <family val="0"/>
    </font>
    <font>
      <b/>
      <sz val="12"/>
      <color indexed="10"/>
      <name val="Times New Roman CE"/>
      <family val="0"/>
    </font>
    <font>
      <sz val="16"/>
      <color indexed="10"/>
      <name val="Arial"/>
      <family val="2"/>
    </font>
    <font>
      <sz val="14"/>
      <color indexed="10"/>
      <name val="Times New Roman CE"/>
      <family val="0"/>
    </font>
    <font>
      <sz val="14"/>
      <color indexed="30"/>
      <name val="Arial"/>
      <family val="2"/>
    </font>
    <font>
      <sz val="11"/>
      <color indexed="30"/>
      <name val="Arial"/>
      <family val="2"/>
    </font>
    <font>
      <b/>
      <sz val="12"/>
      <color indexed="30"/>
      <name val="Arial"/>
      <family val="2"/>
    </font>
    <font>
      <sz val="14"/>
      <color indexed="40"/>
      <name val="Times New Roman CE"/>
      <family val="0"/>
    </font>
    <font>
      <b/>
      <sz val="12"/>
      <color indexed="40"/>
      <name val="Times New Roman CE"/>
      <family val="0"/>
    </font>
    <font>
      <sz val="12"/>
      <color indexed="40"/>
      <name val="Arial"/>
      <family val="2"/>
    </font>
    <font>
      <sz val="8"/>
      <name val="Times New Roman CE"/>
      <family val="0"/>
    </font>
    <font>
      <b/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i/>
      <sz val="14"/>
      <name val="Times New Roman CE"/>
      <family val="0"/>
    </font>
    <font>
      <b/>
      <i/>
      <sz val="10"/>
      <name val="Arial"/>
      <family val="2"/>
    </font>
    <font>
      <b/>
      <i/>
      <sz val="12"/>
      <name val="Calibri"/>
      <family val="2"/>
    </font>
    <font>
      <b/>
      <i/>
      <sz val="11"/>
      <name val="Calibri"/>
      <family val="2"/>
    </font>
    <font>
      <b/>
      <i/>
      <sz val="10"/>
      <color indexed="8"/>
      <name val="Arial"/>
      <family val="2"/>
    </font>
    <font>
      <b/>
      <i/>
      <sz val="10"/>
      <name val="Times New Roman CE"/>
      <family val="0"/>
    </font>
    <font>
      <sz val="8"/>
      <color indexed="10"/>
      <name val="Arial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Arial CE"/>
      <family val="0"/>
    </font>
    <font>
      <sz val="12"/>
      <color indexed="17"/>
      <name val="Times New Roman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4"/>
      <color rgb="FFFF0000"/>
      <name val="Times New Roman CE"/>
      <family val="0"/>
    </font>
    <font>
      <b/>
      <sz val="12"/>
      <color rgb="FFFF0000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sz val="10"/>
      <color rgb="FFFF0000"/>
      <name val="Arial CE"/>
      <family val="0"/>
    </font>
    <font>
      <sz val="12"/>
      <color rgb="FF00B050"/>
      <name val="Times New Roman CE"/>
      <family val="0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8" fillId="4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9" fillId="26" borderId="1" applyNumberFormat="0" applyAlignment="0" applyProtection="0"/>
    <xf numFmtId="0" fontId="100" fillId="0" borderId="0" applyNumberFormat="0" applyFill="0" applyBorder="0" applyAlignment="0" applyProtection="0"/>
    <xf numFmtId="0" fontId="101" fillId="0" borderId="2" applyNumberFormat="0" applyFill="0" applyAlignment="0" applyProtection="0"/>
    <xf numFmtId="0" fontId="102" fillId="0" borderId="3" applyNumberFormat="0" applyFill="0" applyAlignment="0" applyProtection="0"/>
    <xf numFmtId="0" fontId="103" fillId="0" borderId="4" applyNumberFormat="0" applyFill="0" applyAlignment="0" applyProtection="0"/>
    <xf numFmtId="0" fontId="103" fillId="0" borderId="0" applyNumberFormat="0" applyFill="0" applyBorder="0" applyAlignment="0" applyProtection="0"/>
    <xf numFmtId="0" fontId="10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6" fillId="0" borderId="6" applyNumberFormat="0" applyFill="0" applyAlignment="0" applyProtection="0"/>
    <xf numFmtId="0" fontId="0" fillId="28" borderId="7" applyNumberFormat="0" applyFont="0" applyAlignment="0" applyProtection="0"/>
    <xf numFmtId="0" fontId="107" fillId="29" borderId="0" applyNumberFormat="0" applyBorder="0" applyAlignment="0" applyProtection="0"/>
    <xf numFmtId="0" fontId="108" fillId="30" borderId="8" applyNumberFormat="0" applyAlignment="0" applyProtection="0"/>
    <xf numFmtId="0" fontId="6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1" fillId="31" borderId="0" applyNumberFormat="0" applyBorder="0" applyAlignment="0" applyProtection="0"/>
    <xf numFmtId="0" fontId="112" fillId="32" borderId="0" applyNumberFormat="0" applyBorder="0" applyAlignment="0" applyProtection="0"/>
    <xf numFmtId="0" fontId="113" fillId="30" borderId="1" applyNumberFormat="0" applyAlignment="0" applyProtection="0"/>
    <xf numFmtId="9" fontId="0" fillId="0" borderId="0" applyFont="0" applyFill="0" applyBorder="0" applyAlignment="0" applyProtection="0"/>
  </cellStyleXfs>
  <cellXfs count="74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14" fontId="0" fillId="0" borderId="0" xfId="0" applyNumberFormat="1" applyAlignment="1">
      <alignment/>
    </xf>
    <xf numFmtId="1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8" fillId="0" borderId="11" xfId="0" applyFont="1" applyBorder="1" applyAlignment="1">
      <alignment/>
    </xf>
    <xf numFmtId="1" fontId="8" fillId="0" borderId="11" xfId="0" applyNumberFormat="1" applyFont="1" applyBorder="1" applyAlignment="1">
      <alignment/>
    </xf>
    <xf numFmtId="1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1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17" fillId="0" borderId="11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Fill="1" applyBorder="1" applyAlignment="1">
      <alignment/>
    </xf>
    <xf numFmtId="3" fontId="1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14" fontId="8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0" fontId="42" fillId="0" borderId="11" xfId="0" applyFont="1" applyBorder="1" applyAlignment="1">
      <alignment/>
    </xf>
    <xf numFmtId="1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wrapText="1"/>
    </xf>
    <xf numFmtId="3" fontId="10" fillId="0" borderId="0" xfId="58" applyNumberFormat="1" applyFont="1" applyFill="1" applyBorder="1" applyAlignment="1" applyProtection="1">
      <alignment/>
      <protection locked="0"/>
    </xf>
    <xf numFmtId="3" fontId="12" fillId="0" borderId="0" xfId="58" applyNumberFormat="1" applyFont="1" applyFill="1" applyBorder="1" applyAlignment="1" applyProtection="1">
      <alignment horizontal="center" wrapText="1"/>
      <protection locked="0"/>
    </xf>
    <xf numFmtId="3" fontId="9" fillId="0" borderId="0" xfId="0" applyNumberFormat="1" applyFont="1" applyBorder="1" applyAlignment="1">
      <alignment/>
    </xf>
    <xf numFmtId="3" fontId="10" fillId="0" borderId="0" xfId="58" applyNumberFormat="1" applyFont="1" applyBorder="1">
      <alignment/>
      <protection/>
    </xf>
    <xf numFmtId="3" fontId="10" fillId="0" borderId="0" xfId="58" applyNumberFormat="1" applyFont="1" applyBorder="1" applyAlignment="1">
      <alignment wrapText="1"/>
      <protection/>
    </xf>
    <xf numFmtId="3" fontId="12" fillId="0" borderId="0" xfId="58" applyNumberFormat="1" applyFont="1" applyFill="1" applyBorder="1" applyAlignment="1" applyProtection="1">
      <alignment horizontal="center"/>
      <protection locked="0"/>
    </xf>
    <xf numFmtId="3" fontId="13" fillId="0" borderId="0" xfId="58" applyNumberFormat="1" applyFont="1" applyFill="1" applyBorder="1" applyAlignment="1" applyProtection="1">
      <alignment horizontal="center"/>
      <protection locked="0"/>
    </xf>
    <xf numFmtId="3" fontId="10" fillId="0" borderId="0" xfId="58" applyNumberFormat="1" applyFont="1" applyFill="1" applyBorder="1" applyAlignment="1" applyProtection="1">
      <alignment wrapText="1"/>
      <protection locked="0"/>
    </xf>
    <xf numFmtId="3" fontId="10" fillId="0" borderId="11" xfId="58" applyNumberFormat="1" applyFont="1" applyFill="1" applyBorder="1" applyAlignment="1" applyProtection="1">
      <alignment/>
      <protection locked="0"/>
    </xf>
    <xf numFmtId="3" fontId="10" fillId="0" borderId="11" xfId="58" applyNumberFormat="1" applyFont="1" applyFill="1" applyBorder="1" applyAlignment="1" applyProtection="1">
      <alignment wrapText="1"/>
      <protection locked="0"/>
    </xf>
    <xf numFmtId="3" fontId="9" fillId="0" borderId="11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10" fillId="0" borderId="13" xfId="58" applyNumberFormat="1" applyFont="1" applyFill="1" applyBorder="1" applyAlignment="1" applyProtection="1">
      <alignment/>
      <protection locked="0"/>
    </xf>
    <xf numFmtId="3" fontId="10" fillId="0" borderId="14" xfId="58" applyNumberFormat="1" applyFont="1" applyFill="1" applyBorder="1" applyAlignment="1" applyProtection="1">
      <alignment wrapText="1"/>
      <protection locked="0"/>
    </xf>
    <xf numFmtId="3" fontId="9" fillId="0" borderId="15" xfId="0" applyNumberFormat="1" applyFont="1" applyBorder="1" applyAlignment="1">
      <alignment/>
    </xf>
    <xf numFmtId="3" fontId="10" fillId="0" borderId="16" xfId="58" applyNumberFormat="1" applyFont="1" applyFill="1" applyBorder="1" applyAlignment="1" applyProtection="1">
      <alignment/>
      <protection locked="0"/>
    </xf>
    <xf numFmtId="3" fontId="9" fillId="0" borderId="17" xfId="0" applyNumberFormat="1" applyFont="1" applyBorder="1" applyAlignment="1">
      <alignment/>
    </xf>
    <xf numFmtId="3" fontId="10" fillId="0" borderId="18" xfId="58" applyNumberFormat="1" applyFont="1" applyFill="1" applyBorder="1" applyAlignment="1" applyProtection="1">
      <alignment/>
      <protection locked="0"/>
    </xf>
    <xf numFmtId="3" fontId="12" fillId="0" borderId="19" xfId="58" applyNumberFormat="1" applyFont="1" applyFill="1" applyBorder="1" applyAlignment="1" applyProtection="1">
      <alignment wrapText="1"/>
      <protection locked="0"/>
    </xf>
    <xf numFmtId="3" fontId="13" fillId="0" borderId="19" xfId="0" applyNumberFormat="1" applyFont="1" applyBorder="1" applyAlignment="1">
      <alignment/>
    </xf>
    <xf numFmtId="3" fontId="10" fillId="0" borderId="20" xfId="58" applyNumberFormat="1" applyFont="1" applyFill="1" applyBorder="1" applyAlignment="1" applyProtection="1">
      <alignment/>
      <protection locked="0"/>
    </xf>
    <xf numFmtId="3" fontId="10" fillId="0" borderId="21" xfId="58" applyNumberFormat="1" applyFont="1" applyFill="1" applyBorder="1" applyAlignment="1" applyProtection="1">
      <alignment wrapText="1"/>
      <protection locked="0"/>
    </xf>
    <xf numFmtId="3" fontId="9" fillId="0" borderId="21" xfId="0" applyNumberFormat="1" applyFont="1" applyBorder="1" applyAlignment="1">
      <alignment/>
    </xf>
    <xf numFmtId="3" fontId="9" fillId="0" borderId="22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14" fontId="0" fillId="0" borderId="11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0" borderId="11" xfId="0" applyFont="1" applyBorder="1" applyAlignment="1">
      <alignment vertical="top"/>
    </xf>
    <xf numFmtId="0" fontId="2" fillId="0" borderId="0" xfId="0" applyFont="1" applyAlignment="1">
      <alignment/>
    </xf>
    <xf numFmtId="0" fontId="4" fillId="0" borderId="11" xfId="0" applyFont="1" applyBorder="1" applyAlignment="1">
      <alignment horizontal="left" wrapText="1"/>
    </xf>
    <xf numFmtId="0" fontId="2" fillId="0" borderId="23" xfId="0" applyFont="1" applyBorder="1" applyAlignment="1">
      <alignment/>
    </xf>
    <xf numFmtId="0" fontId="4" fillId="0" borderId="23" xfId="0" applyFont="1" applyBorder="1" applyAlignment="1">
      <alignment/>
    </xf>
    <xf numFmtId="0" fontId="17" fillId="0" borderId="0" xfId="0" applyFont="1" applyAlignment="1">
      <alignment/>
    </xf>
    <xf numFmtId="0" fontId="0" fillId="0" borderId="11" xfId="0" applyFont="1" applyBorder="1" applyAlignment="1">
      <alignment wrapText="1"/>
    </xf>
    <xf numFmtId="3" fontId="10" fillId="0" borderId="16" xfId="58" applyNumberFormat="1" applyFont="1" applyFill="1" applyBorder="1" applyAlignment="1" applyProtection="1">
      <alignment wrapText="1"/>
      <protection locked="0"/>
    </xf>
    <xf numFmtId="0" fontId="2" fillId="0" borderId="11" xfId="0" applyFont="1" applyBorder="1" applyAlignment="1">
      <alignment vertical="top" wrapText="1"/>
    </xf>
    <xf numFmtId="3" fontId="10" fillId="0" borderId="11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0" fontId="42" fillId="0" borderId="0" xfId="0" applyFont="1" applyAlignment="1">
      <alignment/>
    </xf>
    <xf numFmtId="0" fontId="17" fillId="0" borderId="0" xfId="0" applyFont="1" applyAlignment="1">
      <alignment wrapText="1"/>
    </xf>
    <xf numFmtId="0" fontId="17" fillId="0" borderId="0" xfId="0" applyFont="1" applyAlignment="1">
      <alignment/>
    </xf>
    <xf numFmtId="0" fontId="42" fillId="0" borderId="0" xfId="0" applyFont="1" applyAlignment="1">
      <alignment/>
    </xf>
    <xf numFmtId="3" fontId="1" fillId="0" borderId="1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1" fillId="0" borderId="12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11" xfId="0" applyFont="1" applyBorder="1" applyAlignment="1">
      <alignment wrapText="1"/>
    </xf>
    <xf numFmtId="1" fontId="8" fillId="0" borderId="11" xfId="0" applyNumberFormat="1" applyFont="1" applyBorder="1" applyAlignment="1">
      <alignment wrapText="1"/>
    </xf>
    <xf numFmtId="0" fontId="8" fillId="0" borderId="11" xfId="0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3" fontId="8" fillId="0" borderId="0" xfId="0" applyNumberFormat="1" applyFont="1" applyAlignment="1">
      <alignment wrapText="1"/>
    </xf>
    <xf numFmtId="0" fontId="7" fillId="0" borderId="24" xfId="0" applyFont="1" applyBorder="1" applyAlignment="1">
      <alignment/>
    </xf>
    <xf numFmtId="3" fontId="8" fillId="0" borderId="25" xfId="0" applyNumberFormat="1" applyFont="1" applyBorder="1" applyAlignment="1">
      <alignment/>
    </xf>
    <xf numFmtId="0" fontId="8" fillId="0" borderId="24" xfId="0" applyFont="1" applyBorder="1" applyAlignment="1">
      <alignment/>
    </xf>
    <xf numFmtId="1" fontId="0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14" fontId="0" fillId="0" borderId="11" xfId="0" applyNumberFormat="1" applyFont="1" applyBorder="1" applyAlignment="1">
      <alignment wrapText="1"/>
    </xf>
    <xf numFmtId="0" fontId="0" fillId="0" borderId="11" xfId="0" applyFont="1" applyBorder="1" applyAlignment="1">
      <alignment/>
    </xf>
    <xf numFmtId="0" fontId="8" fillId="0" borderId="25" xfId="0" applyFont="1" applyBorder="1" applyAlignment="1">
      <alignment/>
    </xf>
    <xf numFmtId="0" fontId="7" fillId="0" borderId="25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8" fillId="0" borderId="0" xfId="0" applyFont="1" applyAlignment="1">
      <alignment vertical="top"/>
    </xf>
    <xf numFmtId="0" fontId="2" fillId="0" borderId="21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21" xfId="0" applyFont="1" applyBorder="1" applyAlignment="1">
      <alignment/>
    </xf>
    <xf numFmtId="14" fontId="8" fillId="0" borderId="11" xfId="0" applyNumberFormat="1" applyFont="1" applyBorder="1" applyAlignment="1">
      <alignment wrapText="1"/>
    </xf>
    <xf numFmtId="1" fontId="8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14" fontId="7" fillId="0" borderId="11" xfId="0" applyNumberFormat="1" applyFont="1" applyBorder="1" applyAlignment="1">
      <alignment wrapText="1"/>
    </xf>
    <xf numFmtId="14" fontId="1" fillId="0" borderId="11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27" xfId="0" applyFont="1" applyBorder="1" applyAlignment="1">
      <alignment/>
    </xf>
    <xf numFmtId="0" fontId="1" fillId="0" borderId="27" xfId="0" applyFont="1" applyBorder="1" applyAlignment="1">
      <alignment/>
    </xf>
    <xf numFmtId="1" fontId="0" fillId="0" borderId="11" xfId="0" applyNumberFormat="1" applyFont="1" applyBorder="1" applyAlignment="1">
      <alignment wrapText="1"/>
    </xf>
    <xf numFmtId="0" fontId="7" fillId="0" borderId="28" xfId="0" applyFont="1" applyBorder="1" applyAlignment="1">
      <alignment/>
    </xf>
    <xf numFmtId="3" fontId="8" fillId="0" borderId="28" xfId="0" applyNumberFormat="1" applyFont="1" applyBorder="1" applyAlignment="1">
      <alignment/>
    </xf>
    <xf numFmtId="0" fontId="12" fillId="0" borderId="12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9" fillId="0" borderId="11" xfId="0" applyFont="1" applyBorder="1" applyAlignment="1">
      <alignment wrapText="1"/>
    </xf>
    <xf numFmtId="0" fontId="7" fillId="0" borderId="11" xfId="0" applyFont="1" applyBorder="1" applyAlignment="1">
      <alignment/>
    </xf>
    <xf numFmtId="0" fontId="16" fillId="0" borderId="0" xfId="0" applyFont="1" applyAlignment="1">
      <alignment/>
    </xf>
    <xf numFmtId="0" fontId="7" fillId="0" borderId="29" xfId="0" applyFont="1" applyBorder="1" applyAlignment="1">
      <alignment/>
    </xf>
    <xf numFmtId="3" fontId="7" fillId="0" borderId="29" xfId="0" applyNumberFormat="1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3" fontId="12" fillId="0" borderId="30" xfId="58" applyNumberFormat="1" applyFont="1" applyFill="1" applyBorder="1" applyAlignment="1" applyProtection="1">
      <alignment/>
      <protection locked="0"/>
    </xf>
    <xf numFmtId="3" fontId="12" fillId="0" borderId="27" xfId="58" applyNumberFormat="1" applyFont="1" applyFill="1" applyBorder="1" applyAlignment="1" applyProtection="1">
      <alignment wrapText="1"/>
      <protection locked="0"/>
    </xf>
    <xf numFmtId="3" fontId="13" fillId="0" borderId="27" xfId="0" applyNumberFormat="1" applyFont="1" applyBorder="1" applyAlignment="1">
      <alignment/>
    </xf>
    <xf numFmtId="3" fontId="13" fillId="0" borderId="31" xfId="0" applyNumberFormat="1" applyFont="1" applyBorder="1" applyAlignment="1">
      <alignment/>
    </xf>
    <xf numFmtId="3" fontId="10" fillId="0" borderId="32" xfId="58" applyNumberFormat="1" applyFont="1" applyFill="1" applyBorder="1" applyAlignment="1" applyProtection="1">
      <alignment/>
      <protection locked="0"/>
    </xf>
    <xf numFmtId="3" fontId="10" fillId="0" borderId="27" xfId="58" applyNumberFormat="1" applyFont="1" applyFill="1" applyBorder="1" applyAlignment="1" applyProtection="1">
      <alignment wrapText="1"/>
      <protection locked="0"/>
    </xf>
    <xf numFmtId="3" fontId="9" fillId="0" borderId="27" xfId="0" applyNumberFormat="1" applyFont="1" applyBorder="1" applyAlignment="1">
      <alignment/>
    </xf>
    <xf numFmtId="3" fontId="9" fillId="0" borderId="33" xfId="0" applyNumberFormat="1" applyFont="1" applyBorder="1" applyAlignment="1">
      <alignment/>
    </xf>
    <xf numFmtId="3" fontId="12" fillId="0" borderId="20" xfId="58" applyNumberFormat="1" applyFont="1" applyFill="1" applyBorder="1" applyAlignment="1" applyProtection="1">
      <alignment/>
      <protection locked="0"/>
    </xf>
    <xf numFmtId="3" fontId="12" fillId="0" borderId="21" xfId="58" applyNumberFormat="1" applyFont="1" applyFill="1" applyBorder="1" applyAlignment="1" applyProtection="1">
      <alignment wrapText="1"/>
      <protection locked="0"/>
    </xf>
    <xf numFmtId="3" fontId="13" fillId="0" borderId="21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0" fontId="48" fillId="0" borderId="11" xfId="0" applyFont="1" applyBorder="1" applyAlignment="1">
      <alignment/>
    </xf>
    <xf numFmtId="0" fontId="8" fillId="0" borderId="11" xfId="0" applyFont="1" applyBorder="1" applyAlignment="1">
      <alignment vertical="top"/>
    </xf>
    <xf numFmtId="0" fontId="7" fillId="0" borderId="11" xfId="0" applyFont="1" applyBorder="1" applyAlignment="1">
      <alignment vertical="center"/>
    </xf>
    <xf numFmtId="3" fontId="8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/>
    </xf>
    <xf numFmtId="3" fontId="18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3" fontId="17" fillId="0" borderId="11" xfId="0" applyNumberFormat="1" applyFont="1" applyBorder="1" applyAlignment="1">
      <alignment/>
    </xf>
    <xf numFmtId="0" fontId="15" fillId="0" borderId="0" xfId="0" applyFont="1" applyAlignment="1">
      <alignment/>
    </xf>
    <xf numFmtId="1" fontId="15" fillId="0" borderId="0" xfId="0" applyNumberFormat="1" applyFont="1" applyAlignment="1">
      <alignment/>
    </xf>
    <xf numFmtId="0" fontId="14" fillId="0" borderId="34" xfId="0" applyFont="1" applyBorder="1" applyAlignment="1">
      <alignment/>
    </xf>
    <xf numFmtId="0" fontId="14" fillId="0" borderId="0" xfId="0" applyFont="1" applyBorder="1" applyAlignment="1">
      <alignment/>
    </xf>
    <xf numFmtId="1" fontId="14" fillId="0" borderId="11" xfId="0" applyNumberFormat="1" applyFont="1" applyBorder="1" applyAlignment="1">
      <alignment/>
    </xf>
    <xf numFmtId="0" fontId="1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1" fontId="15" fillId="0" borderId="11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1" xfId="0" applyFont="1" applyBorder="1" applyAlignment="1">
      <alignment/>
    </xf>
    <xf numFmtId="1" fontId="15" fillId="0" borderId="11" xfId="0" applyNumberFormat="1" applyFont="1" applyBorder="1" applyAlignment="1">
      <alignment/>
    </xf>
    <xf numFmtId="3" fontId="19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1" fontId="12" fillId="0" borderId="11" xfId="0" applyNumberFormat="1" applyFont="1" applyBorder="1" applyAlignment="1">
      <alignment/>
    </xf>
    <xf numFmtId="0" fontId="14" fillId="0" borderId="0" xfId="0" applyFont="1" applyAlignment="1">
      <alignment/>
    </xf>
    <xf numFmtId="0" fontId="20" fillId="0" borderId="0" xfId="0" applyFont="1" applyAlignment="1">
      <alignment/>
    </xf>
    <xf numFmtId="1" fontId="20" fillId="0" borderId="0" xfId="0" applyNumberFormat="1" applyFont="1" applyAlignment="1">
      <alignment/>
    </xf>
    <xf numFmtId="0" fontId="21" fillId="0" borderId="0" xfId="0" applyFont="1" applyAlignment="1">
      <alignment/>
    </xf>
    <xf numFmtId="1" fontId="8" fillId="0" borderId="25" xfId="0" applyNumberFormat="1" applyFont="1" applyBorder="1" applyAlignment="1">
      <alignment/>
    </xf>
    <xf numFmtId="0" fontId="22" fillId="0" borderId="0" xfId="0" applyFont="1" applyFill="1" applyAlignment="1">
      <alignment/>
    </xf>
    <xf numFmtId="0" fontId="12" fillId="0" borderId="25" xfId="0" applyFont="1" applyBorder="1" applyAlignment="1">
      <alignment/>
    </xf>
    <xf numFmtId="0" fontId="22" fillId="0" borderId="11" xfId="0" applyFont="1" applyFill="1" applyBorder="1" applyAlignment="1">
      <alignment/>
    </xf>
    <xf numFmtId="0" fontId="12" fillId="0" borderId="0" xfId="0" applyFont="1" applyAlignment="1">
      <alignment/>
    </xf>
    <xf numFmtId="0" fontId="23" fillId="0" borderId="11" xfId="0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" fontId="12" fillId="0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 vertical="top" wrapText="1"/>
    </xf>
    <xf numFmtId="0" fontId="25" fillId="0" borderId="11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/>
    </xf>
    <xf numFmtId="0" fontId="12" fillId="0" borderId="0" xfId="0" applyFont="1" applyAlignment="1">
      <alignment/>
    </xf>
    <xf numFmtId="0" fontId="27" fillId="0" borderId="11" xfId="0" applyFont="1" applyBorder="1" applyAlignment="1">
      <alignment horizontal="center"/>
    </xf>
    <xf numFmtId="0" fontId="28" fillId="0" borderId="11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8" fillId="0" borderId="35" xfId="0" applyNumberFormat="1" applyFont="1" applyBorder="1" applyAlignment="1">
      <alignment/>
    </xf>
    <xf numFmtId="3" fontId="8" fillId="0" borderId="36" xfId="0" applyNumberFormat="1" applyFont="1" applyBorder="1" applyAlignment="1">
      <alignment/>
    </xf>
    <xf numFmtId="3" fontId="7" fillId="0" borderId="37" xfId="0" applyNumberFormat="1" applyFont="1" applyBorder="1" applyAlignment="1">
      <alignment/>
    </xf>
    <xf numFmtId="3" fontId="7" fillId="0" borderId="35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20" fillId="0" borderId="11" xfId="0" applyFont="1" applyBorder="1" applyAlignment="1">
      <alignment/>
    </xf>
    <xf numFmtId="1" fontId="21" fillId="0" borderId="11" xfId="0" applyNumberFormat="1" applyFont="1" applyBorder="1" applyAlignment="1">
      <alignment/>
    </xf>
    <xf numFmtId="0" fontId="21" fillId="0" borderId="11" xfId="0" applyFont="1" applyBorder="1" applyAlignment="1">
      <alignment/>
    </xf>
    <xf numFmtId="1" fontId="20" fillId="0" borderId="11" xfId="0" applyNumberFormat="1" applyFont="1" applyBorder="1" applyAlignment="1">
      <alignment/>
    </xf>
    <xf numFmtId="1" fontId="30" fillId="0" borderId="11" xfId="0" applyNumberFormat="1" applyFont="1" applyBorder="1" applyAlignment="1">
      <alignment/>
    </xf>
    <xf numFmtId="0" fontId="30" fillId="0" borderId="11" xfId="0" applyFont="1" applyBorder="1" applyAlignment="1">
      <alignment/>
    </xf>
    <xf numFmtId="0" fontId="20" fillId="0" borderId="11" xfId="0" applyFont="1" applyBorder="1" applyAlignment="1">
      <alignment/>
    </xf>
    <xf numFmtId="0" fontId="30" fillId="0" borderId="11" xfId="0" applyFont="1" applyBorder="1" applyAlignment="1">
      <alignment wrapText="1"/>
    </xf>
    <xf numFmtId="0" fontId="10" fillId="0" borderId="0" xfId="0" applyFont="1" applyAlignment="1">
      <alignment/>
    </xf>
    <xf numFmtId="1" fontId="13" fillId="0" borderId="11" xfId="0" applyNumberFormat="1" applyFont="1" applyBorder="1" applyAlignment="1">
      <alignment/>
    </xf>
    <xf numFmtId="3" fontId="31" fillId="0" borderId="11" xfId="0" applyNumberFormat="1" applyFont="1" applyBorder="1" applyAlignment="1">
      <alignment/>
    </xf>
    <xf numFmtId="3" fontId="19" fillId="0" borderId="11" xfId="0" applyNumberFormat="1" applyFont="1" applyBorder="1" applyAlignment="1">
      <alignment horizontal="center"/>
    </xf>
    <xf numFmtId="14" fontId="18" fillId="0" borderId="11" xfId="0" applyNumberFormat="1" applyFont="1" applyBorder="1" applyAlignment="1">
      <alignment/>
    </xf>
    <xf numFmtId="0" fontId="18" fillId="0" borderId="0" xfId="0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12" fillId="0" borderId="38" xfId="0" applyNumberFormat="1" applyFont="1" applyFill="1" applyBorder="1" applyAlignment="1">
      <alignment/>
    </xf>
    <xf numFmtId="3" fontId="12" fillId="0" borderId="28" xfId="0" applyNumberFormat="1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8" fillId="0" borderId="0" xfId="0" applyFont="1" applyAlignment="1">
      <alignment/>
    </xf>
    <xf numFmtId="3" fontId="10" fillId="0" borderId="39" xfId="0" applyNumberFormat="1" applyFont="1" applyBorder="1" applyAlignment="1">
      <alignment/>
    </xf>
    <xf numFmtId="3" fontId="10" fillId="0" borderId="40" xfId="0" applyNumberFormat="1" applyFont="1" applyBorder="1" applyAlignment="1">
      <alignment horizontal="left"/>
    </xf>
    <xf numFmtId="3" fontId="10" fillId="0" borderId="41" xfId="0" applyNumberFormat="1" applyFont="1" applyBorder="1" applyAlignment="1">
      <alignment horizontal="left"/>
    </xf>
    <xf numFmtId="0" fontId="32" fillId="0" borderId="0" xfId="0" applyFont="1" applyAlignment="1">
      <alignment/>
    </xf>
    <xf numFmtId="3" fontId="10" fillId="0" borderId="42" xfId="0" applyNumberFormat="1" applyFont="1" applyBorder="1" applyAlignment="1">
      <alignment/>
    </xf>
    <xf numFmtId="3" fontId="10" fillId="0" borderId="16" xfId="0" applyNumberFormat="1" applyFont="1" applyBorder="1" applyAlignment="1">
      <alignment horizontal="left"/>
    </xf>
    <xf numFmtId="3" fontId="10" fillId="0" borderId="11" xfId="0" applyNumberFormat="1" applyFont="1" applyBorder="1" applyAlignment="1">
      <alignment horizontal="left"/>
    </xf>
    <xf numFmtId="0" fontId="10" fillId="0" borderId="25" xfId="0" applyFont="1" applyBorder="1" applyAlignment="1">
      <alignment/>
    </xf>
    <xf numFmtId="0" fontId="10" fillId="0" borderId="11" xfId="0" applyFont="1" applyBorder="1" applyAlignment="1">
      <alignment horizontal="left"/>
    </xf>
    <xf numFmtId="3" fontId="10" fillId="0" borderId="16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10" fillId="0" borderId="43" xfId="0" applyNumberFormat="1" applyFont="1" applyBorder="1" applyAlignment="1">
      <alignment horizontal="left"/>
    </xf>
    <xf numFmtId="3" fontId="10" fillId="0" borderId="34" xfId="0" applyNumberFormat="1" applyFont="1" applyBorder="1" applyAlignment="1">
      <alignment horizontal="left"/>
    </xf>
    <xf numFmtId="3" fontId="10" fillId="0" borderId="16" xfId="0" applyNumberFormat="1" applyFont="1" applyBorder="1" applyAlignment="1">
      <alignment/>
    </xf>
    <xf numFmtId="3" fontId="10" fillId="0" borderId="16" xfId="0" applyNumberFormat="1" applyFont="1" applyBorder="1" applyAlignment="1">
      <alignment horizontal="center"/>
    </xf>
    <xf numFmtId="3" fontId="10" fillId="0" borderId="44" xfId="0" applyNumberFormat="1" applyFont="1" applyBorder="1" applyAlignment="1">
      <alignment/>
    </xf>
    <xf numFmtId="3" fontId="10" fillId="0" borderId="18" xfId="0" applyNumberFormat="1" applyFont="1" applyBorder="1" applyAlignment="1">
      <alignment/>
    </xf>
    <xf numFmtId="3" fontId="10" fillId="0" borderId="19" xfId="0" applyNumberFormat="1" applyFont="1" applyBorder="1" applyAlignment="1">
      <alignment/>
    </xf>
    <xf numFmtId="0" fontId="10" fillId="0" borderId="45" xfId="0" applyFont="1" applyBorder="1" applyAlignment="1">
      <alignment/>
    </xf>
    <xf numFmtId="3" fontId="12" fillId="0" borderId="46" xfId="0" applyNumberFormat="1" applyFont="1" applyBorder="1" applyAlignment="1">
      <alignment/>
    </xf>
    <xf numFmtId="3" fontId="12" fillId="0" borderId="28" xfId="0" applyNumberFormat="1" applyFont="1" applyBorder="1" applyAlignment="1">
      <alignment horizontal="center" wrapText="1"/>
    </xf>
    <xf numFmtId="3" fontId="12" fillId="0" borderId="47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0" fillId="0" borderId="40" xfId="0" applyNumberFormat="1" applyFont="1" applyBorder="1" applyAlignment="1">
      <alignment/>
    </xf>
    <xf numFmtId="3" fontId="10" fillId="0" borderId="48" xfId="0" applyNumberFormat="1" applyFont="1" applyBorder="1" applyAlignment="1">
      <alignment/>
    </xf>
    <xf numFmtId="0" fontId="10" fillId="0" borderId="26" xfId="0" applyFont="1" applyBorder="1" applyAlignment="1">
      <alignment/>
    </xf>
    <xf numFmtId="1" fontId="14" fillId="0" borderId="11" xfId="0" applyNumberFormat="1" applyFont="1" applyBorder="1" applyAlignment="1">
      <alignment/>
    </xf>
    <xf numFmtId="3" fontId="10" fillId="0" borderId="43" xfId="0" applyNumberFormat="1" applyFont="1" applyBorder="1" applyAlignment="1">
      <alignment/>
    </xf>
    <xf numFmtId="3" fontId="10" fillId="0" borderId="47" xfId="0" applyNumberFormat="1" applyFont="1" applyBorder="1" applyAlignment="1">
      <alignment horizontal="left"/>
    </xf>
    <xf numFmtId="3" fontId="10" fillId="0" borderId="0" xfId="0" applyNumberFormat="1" applyFont="1" applyBorder="1" applyAlignment="1">
      <alignment horizontal="left"/>
    </xf>
    <xf numFmtId="3" fontId="12" fillId="0" borderId="38" xfId="0" applyNumberFormat="1" applyFont="1" applyBorder="1" applyAlignment="1">
      <alignment/>
    </xf>
    <xf numFmtId="3" fontId="12" fillId="0" borderId="28" xfId="0" applyNumberFormat="1" applyFont="1" applyBorder="1" applyAlignment="1">
      <alignment/>
    </xf>
    <xf numFmtId="0" fontId="10" fillId="0" borderId="28" xfId="0" applyFont="1" applyBorder="1" applyAlignment="1">
      <alignment/>
    </xf>
    <xf numFmtId="3" fontId="12" fillId="0" borderId="47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2" fillId="0" borderId="39" xfId="0" applyNumberFormat="1" applyFont="1" applyBorder="1" applyAlignment="1">
      <alignment/>
    </xf>
    <xf numFmtId="3" fontId="12" fillId="0" borderId="13" xfId="0" applyNumberFormat="1" applyFont="1" applyBorder="1" applyAlignment="1">
      <alignment horizontal="left"/>
    </xf>
    <xf numFmtId="3" fontId="12" fillId="0" borderId="14" xfId="0" applyNumberFormat="1" applyFont="1" applyBorder="1" applyAlignment="1">
      <alignment horizontal="left"/>
    </xf>
    <xf numFmtId="3" fontId="10" fillId="0" borderId="49" xfId="0" applyNumberFormat="1" applyFont="1" applyBorder="1" applyAlignment="1">
      <alignment/>
    </xf>
    <xf numFmtId="3" fontId="10" fillId="0" borderId="20" xfId="0" applyNumberFormat="1" applyFont="1" applyBorder="1" applyAlignment="1">
      <alignment horizontal="left"/>
    </xf>
    <xf numFmtId="3" fontId="10" fillId="0" borderId="21" xfId="0" applyNumberFormat="1" applyFont="1" applyBorder="1" applyAlignment="1">
      <alignment horizontal="left"/>
    </xf>
    <xf numFmtId="3" fontId="10" fillId="0" borderId="13" xfId="0" applyNumberFormat="1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0" fillId="0" borderId="25" xfId="0" applyBorder="1" applyAlignment="1">
      <alignment/>
    </xf>
    <xf numFmtId="0" fontId="33" fillId="0" borderId="0" xfId="0" applyFont="1" applyAlignment="1">
      <alignment/>
    </xf>
    <xf numFmtId="0" fontId="49" fillId="0" borderId="11" xfId="0" applyFont="1" applyBorder="1" applyAlignment="1">
      <alignment/>
    </xf>
    <xf numFmtId="3" fontId="10" fillId="0" borderId="50" xfId="0" applyNumberFormat="1" applyFont="1" applyBorder="1" applyAlignment="1">
      <alignment horizontal="left"/>
    </xf>
    <xf numFmtId="3" fontId="10" fillId="0" borderId="51" xfId="0" applyNumberFormat="1" applyFont="1" applyBorder="1" applyAlignment="1">
      <alignment horizontal="left"/>
    </xf>
    <xf numFmtId="3" fontId="12" fillId="0" borderId="52" xfId="0" applyNumberFormat="1" applyFont="1" applyBorder="1" applyAlignment="1">
      <alignment/>
    </xf>
    <xf numFmtId="3" fontId="10" fillId="0" borderId="14" xfId="0" applyNumberFormat="1" applyFont="1" applyBorder="1" applyAlignment="1">
      <alignment horizontal="left"/>
    </xf>
    <xf numFmtId="3" fontId="12" fillId="0" borderId="53" xfId="0" applyNumberFormat="1" applyFont="1" applyBorder="1" applyAlignment="1">
      <alignment/>
    </xf>
    <xf numFmtId="0" fontId="10" fillId="0" borderId="54" xfId="0" applyFont="1" applyBorder="1" applyAlignment="1">
      <alignment/>
    </xf>
    <xf numFmtId="3" fontId="12" fillId="0" borderId="55" xfId="0" applyNumberFormat="1" applyFont="1" applyBorder="1" applyAlignment="1">
      <alignment/>
    </xf>
    <xf numFmtId="0" fontId="10" fillId="0" borderId="55" xfId="0" applyFont="1" applyBorder="1" applyAlignment="1">
      <alignment/>
    </xf>
    <xf numFmtId="0" fontId="12" fillId="0" borderId="54" xfId="0" applyFont="1" applyBorder="1" applyAlignment="1">
      <alignment/>
    </xf>
    <xf numFmtId="0" fontId="10" fillId="0" borderId="27" xfId="0" applyFont="1" applyBorder="1" applyAlignment="1">
      <alignment/>
    </xf>
    <xf numFmtId="3" fontId="7" fillId="0" borderId="48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0" fontId="10" fillId="0" borderId="13" xfId="0" applyFont="1" applyBorder="1" applyAlignment="1">
      <alignment/>
    </xf>
    <xf numFmtId="3" fontId="10" fillId="0" borderId="56" xfId="0" applyNumberFormat="1" applyFont="1" applyBorder="1" applyAlignment="1">
      <alignment horizontal="left"/>
    </xf>
    <xf numFmtId="3" fontId="10" fillId="0" borderId="57" xfId="0" applyNumberFormat="1" applyFont="1" applyBorder="1" applyAlignment="1">
      <alignment horizontal="left"/>
    </xf>
    <xf numFmtId="0" fontId="10" fillId="0" borderId="16" xfId="0" applyFont="1" applyBorder="1" applyAlignment="1">
      <alignment/>
    </xf>
    <xf numFmtId="3" fontId="10" fillId="0" borderId="25" xfId="0" applyNumberFormat="1" applyFont="1" applyBorder="1" applyAlignment="1">
      <alignment horizontal="left"/>
    </xf>
    <xf numFmtId="3" fontId="10" fillId="0" borderId="24" xfId="0" applyNumberFormat="1" applyFont="1" applyBorder="1" applyAlignment="1">
      <alignment horizontal="left"/>
    </xf>
    <xf numFmtId="0" fontId="12" fillId="0" borderId="25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5" fillId="0" borderId="11" xfId="0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3" fontId="13" fillId="0" borderId="0" xfId="58" applyNumberFormat="1" applyFont="1" applyFill="1" applyBorder="1" applyAlignment="1" applyProtection="1">
      <alignment horizontal="center"/>
      <protection locked="0"/>
    </xf>
    <xf numFmtId="3" fontId="9" fillId="0" borderId="0" xfId="0" applyNumberFormat="1" applyFont="1" applyBorder="1" applyAlignment="1">
      <alignment horizontal="center" vertical="center"/>
    </xf>
    <xf numFmtId="3" fontId="1" fillId="0" borderId="25" xfId="0" applyNumberFormat="1" applyFont="1" applyBorder="1" applyAlignment="1">
      <alignment/>
    </xf>
    <xf numFmtId="14" fontId="0" fillId="0" borderId="11" xfId="0" applyNumberFormat="1" applyBorder="1" applyAlignment="1">
      <alignment/>
    </xf>
    <xf numFmtId="0" fontId="0" fillId="0" borderId="11" xfId="0" applyNumberFormat="1" applyBorder="1" applyAlignment="1">
      <alignment horizontal="right"/>
    </xf>
    <xf numFmtId="14" fontId="8" fillId="0" borderId="25" xfId="0" applyNumberFormat="1" applyFont="1" applyBorder="1" applyAlignment="1">
      <alignment/>
    </xf>
    <xf numFmtId="2" fontId="8" fillId="0" borderId="11" xfId="0" applyNumberFormat="1" applyFont="1" applyBorder="1" applyAlignment="1">
      <alignment wrapText="1"/>
    </xf>
    <xf numFmtId="3" fontId="8" fillId="0" borderId="25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58" xfId="0" applyNumberFormat="1" applyFont="1" applyBorder="1" applyAlignment="1">
      <alignment horizontal="right"/>
    </xf>
    <xf numFmtId="3" fontId="7" fillId="0" borderId="25" xfId="0" applyNumberFormat="1" applyFont="1" applyBorder="1" applyAlignment="1">
      <alignment/>
    </xf>
    <xf numFmtId="3" fontId="7" fillId="0" borderId="25" xfId="0" applyNumberFormat="1" applyFont="1" applyBorder="1" applyAlignment="1">
      <alignment horizontal="right"/>
    </xf>
    <xf numFmtId="0" fontId="8" fillId="0" borderId="25" xfId="0" applyFont="1" applyBorder="1" applyAlignment="1">
      <alignment wrapText="1"/>
    </xf>
    <xf numFmtId="0" fontId="7" fillId="0" borderId="25" xfId="0" applyFont="1" applyBorder="1" applyAlignment="1">
      <alignment wrapText="1"/>
    </xf>
    <xf numFmtId="0" fontId="7" fillId="0" borderId="25" xfId="0" applyFont="1" applyBorder="1" applyAlignment="1">
      <alignment vertical="center" wrapText="1"/>
    </xf>
    <xf numFmtId="3" fontId="8" fillId="0" borderId="11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14" fontId="0" fillId="0" borderId="25" xfId="0" applyNumberFormat="1" applyFont="1" applyBorder="1" applyAlignment="1">
      <alignment horizontal="right"/>
    </xf>
    <xf numFmtId="3" fontId="4" fillId="0" borderId="25" xfId="0" applyNumberFormat="1" applyFont="1" applyBorder="1" applyAlignment="1">
      <alignment/>
    </xf>
    <xf numFmtId="14" fontId="7" fillId="0" borderId="11" xfId="0" applyNumberFormat="1" applyFont="1" applyBorder="1" applyAlignment="1">
      <alignment/>
    </xf>
    <xf numFmtId="14" fontId="8" fillId="0" borderId="11" xfId="0" applyNumberFormat="1" applyFont="1" applyBorder="1" applyAlignment="1">
      <alignment/>
    </xf>
    <xf numFmtId="14" fontId="17" fillId="0" borderId="11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0" fontId="14" fillId="0" borderId="11" xfId="0" applyFont="1" applyBorder="1" applyAlignment="1">
      <alignment/>
    </xf>
    <xf numFmtId="0" fontId="4" fillId="0" borderId="11" xfId="0" applyFont="1" applyBorder="1" applyAlignment="1">
      <alignment/>
    </xf>
    <xf numFmtId="1" fontId="4" fillId="0" borderId="11" xfId="0" applyNumberFormat="1" applyFont="1" applyBorder="1" applyAlignment="1">
      <alignment/>
    </xf>
    <xf numFmtId="14" fontId="14" fillId="0" borderId="11" xfId="0" applyNumberFormat="1" applyFont="1" applyBorder="1" applyAlignment="1">
      <alignment/>
    </xf>
    <xf numFmtId="3" fontId="10" fillId="0" borderId="25" xfId="0" applyNumberFormat="1" applyFont="1" applyBorder="1" applyAlignment="1">
      <alignment/>
    </xf>
    <xf numFmtId="3" fontId="12" fillId="0" borderId="25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0" fillId="0" borderId="25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1" fontId="7" fillId="0" borderId="25" xfId="0" applyNumberFormat="1" applyFont="1" applyBorder="1" applyAlignment="1">
      <alignment/>
    </xf>
    <xf numFmtId="0" fontId="7" fillId="0" borderId="25" xfId="0" applyFont="1" applyBorder="1" applyAlignment="1">
      <alignment/>
    </xf>
    <xf numFmtId="0" fontId="16" fillId="0" borderId="11" xfId="0" applyFont="1" applyBorder="1" applyAlignment="1">
      <alignment/>
    </xf>
    <xf numFmtId="1" fontId="7" fillId="0" borderId="11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0" fontId="34" fillId="0" borderId="11" xfId="0" applyFont="1" applyBorder="1" applyAlignment="1">
      <alignment/>
    </xf>
    <xf numFmtId="3" fontId="30" fillId="0" borderId="11" xfId="0" applyNumberFormat="1" applyFont="1" applyBorder="1" applyAlignment="1">
      <alignment/>
    </xf>
    <xf numFmtId="0" fontId="49" fillId="0" borderId="0" xfId="0" applyFont="1" applyBorder="1" applyAlignment="1">
      <alignment/>
    </xf>
    <xf numFmtId="3" fontId="12" fillId="0" borderId="58" xfId="0" applyNumberFormat="1" applyFont="1" applyBorder="1" applyAlignment="1">
      <alignment/>
    </xf>
    <xf numFmtId="0" fontId="10" fillId="0" borderId="59" xfId="0" applyFont="1" applyBorder="1" applyAlignment="1">
      <alignment/>
    </xf>
    <xf numFmtId="0" fontId="10" fillId="0" borderId="25" xfId="0" applyFont="1" applyBorder="1" applyAlignment="1">
      <alignment horizontal="left"/>
    </xf>
    <xf numFmtId="3" fontId="10" fillId="0" borderId="25" xfId="0" applyNumberFormat="1" applyFont="1" applyBorder="1" applyAlignment="1">
      <alignment/>
    </xf>
    <xf numFmtId="3" fontId="10" fillId="0" borderId="25" xfId="0" applyNumberFormat="1" applyFont="1" applyBorder="1" applyAlignment="1">
      <alignment horizontal="center"/>
    </xf>
    <xf numFmtId="3" fontId="10" fillId="0" borderId="60" xfId="0" applyNumberFormat="1" applyFont="1" applyBorder="1" applyAlignment="1">
      <alignment/>
    </xf>
    <xf numFmtId="3" fontId="12" fillId="0" borderId="56" xfId="0" applyNumberFormat="1" applyFont="1" applyBorder="1" applyAlignment="1">
      <alignment horizontal="left"/>
    </xf>
    <xf numFmtId="3" fontId="10" fillId="0" borderId="45" xfId="0" applyNumberFormat="1" applyFont="1" applyBorder="1" applyAlignment="1">
      <alignment horizontal="left"/>
    </xf>
    <xf numFmtId="0" fontId="10" fillId="0" borderId="56" xfId="0" applyFont="1" applyBorder="1" applyAlignment="1">
      <alignment horizontal="left"/>
    </xf>
    <xf numFmtId="0" fontId="10" fillId="0" borderId="61" xfId="0" applyFont="1" applyBorder="1" applyAlignment="1">
      <alignment/>
    </xf>
    <xf numFmtId="0" fontId="12" fillId="0" borderId="61" xfId="0" applyFont="1" applyBorder="1" applyAlignment="1">
      <alignment/>
    </xf>
    <xf numFmtId="0" fontId="49" fillId="0" borderId="0" xfId="0" applyFont="1" applyAlignment="1">
      <alignment/>
    </xf>
    <xf numFmtId="0" fontId="49" fillId="0" borderId="11" xfId="0" applyFont="1" applyBorder="1" applyAlignment="1">
      <alignment wrapText="1"/>
    </xf>
    <xf numFmtId="3" fontId="35" fillId="0" borderId="11" xfId="0" applyNumberFormat="1" applyFont="1" applyBorder="1" applyAlignment="1">
      <alignment/>
    </xf>
    <xf numFmtId="0" fontId="50" fillId="0" borderId="11" xfId="0" applyFont="1" applyBorder="1" applyAlignment="1">
      <alignment/>
    </xf>
    <xf numFmtId="1" fontId="50" fillId="0" borderId="11" xfId="0" applyNumberFormat="1" applyFont="1" applyBorder="1" applyAlignment="1">
      <alignment/>
    </xf>
    <xf numFmtId="3" fontId="50" fillId="0" borderId="11" xfId="0" applyNumberFormat="1" applyFont="1" applyBorder="1" applyAlignment="1">
      <alignment/>
    </xf>
    <xf numFmtId="3" fontId="51" fillId="0" borderId="0" xfId="0" applyNumberFormat="1" applyFont="1" applyAlignment="1">
      <alignment/>
    </xf>
    <xf numFmtId="0" fontId="50" fillId="0" borderId="11" xfId="0" applyFont="1" applyFill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Border="1" applyAlignment="1">
      <alignment/>
    </xf>
    <xf numFmtId="0" fontId="52" fillId="0" borderId="11" xfId="0" applyFont="1" applyBorder="1" applyAlignment="1">
      <alignment/>
    </xf>
    <xf numFmtId="0" fontId="50" fillId="0" borderId="25" xfId="0" applyFont="1" applyBorder="1" applyAlignment="1">
      <alignment/>
    </xf>
    <xf numFmtId="3" fontId="50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0" fontId="0" fillId="0" borderId="27" xfId="0" applyBorder="1" applyAlignment="1">
      <alignment/>
    </xf>
    <xf numFmtId="0" fontId="12" fillId="0" borderId="11" xfId="0" applyFont="1" applyBorder="1" applyAlignment="1">
      <alignment horizontal="center"/>
    </xf>
    <xf numFmtId="14" fontId="28" fillId="0" borderId="11" xfId="0" applyNumberFormat="1" applyFont="1" applyBorder="1" applyAlignment="1">
      <alignment horizontal="center" vertical="center" wrapText="1"/>
    </xf>
    <xf numFmtId="0" fontId="25" fillId="33" borderId="11" xfId="0" applyFont="1" applyFill="1" applyBorder="1" applyAlignment="1">
      <alignment vertical="top" wrapText="1"/>
    </xf>
    <xf numFmtId="0" fontId="24" fillId="0" borderId="11" xfId="0" applyFont="1" applyFill="1" applyBorder="1" applyAlignment="1">
      <alignment vertical="top" wrapText="1"/>
    </xf>
    <xf numFmtId="3" fontId="12" fillId="0" borderId="11" xfId="0" applyNumberFormat="1" applyFont="1" applyFill="1" applyBorder="1" applyAlignment="1">
      <alignment/>
    </xf>
    <xf numFmtId="1" fontId="12" fillId="33" borderId="11" xfId="0" applyNumberFormat="1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14" fontId="10" fillId="0" borderId="11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11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0" xfId="0" applyFont="1" applyAlignment="1">
      <alignment/>
    </xf>
    <xf numFmtId="14" fontId="11" fillId="0" borderId="11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36" fillId="0" borderId="25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25" xfId="0" applyFont="1" applyBorder="1" applyAlignment="1">
      <alignment wrapText="1"/>
    </xf>
    <xf numFmtId="3" fontId="36" fillId="0" borderId="11" xfId="0" applyNumberFormat="1" applyFont="1" applyBorder="1" applyAlignment="1">
      <alignment/>
    </xf>
    <xf numFmtId="0" fontId="36" fillId="0" borderId="10" xfId="0" applyFont="1" applyBorder="1" applyAlignment="1">
      <alignment/>
    </xf>
    <xf numFmtId="0" fontId="36" fillId="0" borderId="0" xfId="0" applyFont="1" applyBorder="1" applyAlignment="1">
      <alignment/>
    </xf>
    <xf numFmtId="0" fontId="11" fillId="0" borderId="0" xfId="0" applyFont="1" applyAlignment="1">
      <alignment wrapText="1"/>
    </xf>
    <xf numFmtId="14" fontId="4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0" fillId="0" borderId="0" xfId="0" applyFont="1" applyFill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14" fontId="20" fillId="0" borderId="11" xfId="0" applyNumberFormat="1" applyFont="1" applyBorder="1" applyAlignment="1">
      <alignment/>
    </xf>
    <xf numFmtId="14" fontId="10" fillId="0" borderId="11" xfId="0" applyNumberFormat="1" applyFont="1" applyBorder="1" applyAlignment="1">
      <alignment wrapText="1"/>
    </xf>
    <xf numFmtId="3" fontId="10" fillId="0" borderId="11" xfId="0" applyNumberFormat="1" applyFont="1" applyBorder="1" applyAlignment="1">
      <alignment wrapText="1"/>
    </xf>
    <xf numFmtId="14" fontId="49" fillId="0" borderId="11" xfId="0" applyNumberFormat="1" applyFont="1" applyBorder="1" applyAlignment="1">
      <alignment wrapText="1"/>
    </xf>
    <xf numFmtId="1" fontId="8" fillId="0" borderId="11" xfId="0" applyNumberFormat="1" applyFont="1" applyBorder="1" applyAlignment="1">
      <alignment/>
    </xf>
    <xf numFmtId="0" fontId="0" fillId="0" borderId="11" xfId="0" applyBorder="1" applyAlignment="1">
      <alignment wrapText="1"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0" fontId="53" fillId="0" borderId="11" xfId="0" applyFont="1" applyBorder="1" applyAlignment="1">
      <alignment wrapText="1"/>
    </xf>
    <xf numFmtId="3" fontId="54" fillId="0" borderId="11" xfId="0" applyNumberFormat="1" applyFont="1" applyBorder="1" applyAlignment="1">
      <alignment/>
    </xf>
    <xf numFmtId="14" fontId="49" fillId="0" borderId="25" xfId="0" applyNumberFormat="1" applyFont="1" applyBorder="1" applyAlignment="1">
      <alignment wrapText="1"/>
    </xf>
    <xf numFmtId="0" fontId="49" fillId="0" borderId="25" xfId="0" applyFont="1" applyBorder="1" applyAlignment="1">
      <alignment/>
    </xf>
    <xf numFmtId="3" fontId="35" fillId="0" borderId="25" xfId="0" applyNumberFormat="1" applyFont="1" applyBorder="1" applyAlignment="1">
      <alignment/>
    </xf>
    <xf numFmtId="1" fontId="50" fillId="0" borderId="25" xfId="0" applyNumberFormat="1" applyFont="1" applyBorder="1" applyAlignment="1">
      <alignment/>
    </xf>
    <xf numFmtId="3" fontId="50" fillId="0" borderId="25" xfId="0" applyNumberFormat="1" applyFont="1" applyBorder="1" applyAlignment="1">
      <alignment/>
    </xf>
    <xf numFmtId="1" fontId="14" fillId="0" borderId="25" xfId="0" applyNumberFormat="1" applyFont="1" applyBorder="1" applyAlignment="1">
      <alignment/>
    </xf>
    <xf numFmtId="0" fontId="50" fillId="0" borderId="25" xfId="0" applyFont="1" applyFill="1" applyBorder="1" applyAlignment="1">
      <alignment/>
    </xf>
    <xf numFmtId="14" fontId="0" fillId="0" borderId="25" xfId="0" applyNumberFormat="1" applyBorder="1" applyAlignment="1">
      <alignment wrapText="1"/>
    </xf>
    <xf numFmtId="0" fontId="0" fillId="0" borderId="25" xfId="0" applyFont="1" applyBorder="1" applyAlignment="1">
      <alignment wrapText="1"/>
    </xf>
    <xf numFmtId="3" fontId="0" fillId="0" borderId="25" xfId="0" applyNumberFormat="1" applyFont="1" applyBorder="1" applyAlignment="1">
      <alignment/>
    </xf>
    <xf numFmtId="14" fontId="0" fillId="0" borderId="25" xfId="0" applyNumberFormat="1" applyBorder="1" applyAlignment="1">
      <alignment/>
    </xf>
    <xf numFmtId="14" fontId="2" fillId="0" borderId="25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/>
    </xf>
    <xf numFmtId="3" fontId="54" fillId="0" borderId="25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1" fontId="4" fillId="0" borderId="25" xfId="0" applyNumberFormat="1" applyFont="1" applyBorder="1" applyAlignment="1">
      <alignment/>
    </xf>
    <xf numFmtId="3" fontId="30" fillId="0" borderId="25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/>
    </xf>
    <xf numFmtId="0" fontId="0" fillId="0" borderId="11" xfId="0" applyFont="1" applyBorder="1" applyAlignment="1">
      <alignment vertical="top"/>
    </xf>
    <xf numFmtId="14" fontId="0" fillId="0" borderId="11" xfId="0" applyNumberFormat="1" applyFill="1" applyBorder="1" applyAlignment="1">
      <alignment/>
    </xf>
    <xf numFmtId="14" fontId="7" fillId="0" borderId="25" xfId="0" applyNumberFormat="1" applyFont="1" applyBorder="1" applyAlignment="1">
      <alignment wrapText="1"/>
    </xf>
    <xf numFmtId="3" fontId="7" fillId="0" borderId="25" xfId="0" applyNumberFormat="1" applyFont="1" applyBorder="1" applyAlignment="1">
      <alignment vertical="center"/>
    </xf>
    <xf numFmtId="0" fontId="17" fillId="0" borderId="11" xfId="0" applyFont="1" applyBorder="1" applyAlignment="1">
      <alignment wrapText="1"/>
    </xf>
    <xf numFmtId="0" fontId="17" fillId="0" borderId="11" xfId="0" applyFont="1" applyBorder="1" applyAlignment="1">
      <alignment/>
    </xf>
    <xf numFmtId="0" fontId="4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2" fillId="0" borderId="11" xfId="0" applyFont="1" applyBorder="1" applyAlignment="1">
      <alignment/>
    </xf>
    <xf numFmtId="14" fontId="12" fillId="0" borderId="11" xfId="0" applyNumberFormat="1" applyFont="1" applyBorder="1" applyAlignment="1">
      <alignment/>
    </xf>
    <xf numFmtId="0" fontId="1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1" fontId="0" fillId="0" borderId="11" xfId="0" applyNumberFormat="1" applyFill="1" applyBorder="1" applyAlignment="1">
      <alignment/>
    </xf>
    <xf numFmtId="1" fontId="0" fillId="0" borderId="25" xfId="0" applyNumberFormat="1" applyBorder="1" applyAlignment="1">
      <alignment/>
    </xf>
    <xf numFmtId="0" fontId="16" fillId="0" borderId="11" xfId="0" applyFont="1" applyBorder="1" applyAlignment="1">
      <alignment/>
    </xf>
    <xf numFmtId="3" fontId="10" fillId="0" borderId="47" xfId="0" applyNumberFormat="1" applyFont="1" applyBorder="1" applyAlignment="1">
      <alignment/>
    </xf>
    <xf numFmtId="0" fontId="20" fillId="0" borderId="0" xfId="0" applyFont="1" applyAlignment="1">
      <alignment/>
    </xf>
    <xf numFmtId="1" fontId="20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/>
    </xf>
    <xf numFmtId="3" fontId="37" fillId="0" borderId="11" xfId="0" applyNumberFormat="1" applyFont="1" applyBorder="1" applyAlignment="1">
      <alignment horizontal="center"/>
    </xf>
    <xf numFmtId="3" fontId="37" fillId="0" borderId="11" xfId="0" applyNumberFormat="1" applyFont="1" applyBorder="1" applyAlignment="1">
      <alignment/>
    </xf>
    <xf numFmtId="1" fontId="18" fillId="0" borderId="11" xfId="0" applyNumberFormat="1" applyFont="1" applyBorder="1" applyAlignment="1">
      <alignment/>
    </xf>
    <xf numFmtId="3" fontId="18" fillId="0" borderId="11" xfId="0" applyNumberFormat="1" applyFont="1" applyBorder="1" applyAlignment="1">
      <alignment wrapText="1"/>
    </xf>
    <xf numFmtId="3" fontId="18" fillId="0" borderId="11" xfId="0" applyNumberFormat="1" applyFont="1" applyBorder="1" applyAlignment="1">
      <alignment horizontal="center"/>
    </xf>
    <xf numFmtId="3" fontId="18" fillId="0" borderId="11" xfId="0" applyNumberFormat="1" applyFont="1" applyBorder="1" applyAlignment="1">
      <alignment horizontal="right"/>
    </xf>
    <xf numFmtId="3" fontId="37" fillId="0" borderId="11" xfId="0" applyNumberFormat="1" applyFont="1" applyBorder="1" applyAlignment="1">
      <alignment horizontal="right"/>
    </xf>
    <xf numFmtId="0" fontId="18" fillId="0" borderId="11" xfId="0" applyFont="1" applyBorder="1" applyAlignment="1">
      <alignment/>
    </xf>
    <xf numFmtId="3" fontId="18" fillId="0" borderId="11" xfId="0" applyNumberFormat="1" applyFont="1" applyFill="1" applyBorder="1" applyAlignment="1">
      <alignment/>
    </xf>
    <xf numFmtId="3" fontId="38" fillId="0" borderId="11" xfId="0" applyNumberFormat="1" applyFont="1" applyBorder="1" applyAlignment="1">
      <alignment/>
    </xf>
    <xf numFmtId="3" fontId="39" fillId="0" borderId="11" xfId="0" applyNumberFormat="1" applyFont="1" applyBorder="1" applyAlignment="1">
      <alignment horizontal="right"/>
    </xf>
    <xf numFmtId="3" fontId="8" fillId="0" borderId="58" xfId="0" applyNumberFormat="1" applyFont="1" applyBorder="1" applyAlignment="1">
      <alignment/>
    </xf>
    <xf numFmtId="0" fontId="4" fillId="0" borderId="58" xfId="0" applyFont="1" applyBorder="1" applyAlignment="1">
      <alignment/>
    </xf>
    <xf numFmtId="1" fontId="18" fillId="0" borderId="11" xfId="0" applyNumberFormat="1" applyFont="1" applyBorder="1" applyAlignment="1">
      <alignment wrapText="1"/>
    </xf>
    <xf numFmtId="3" fontId="40" fillId="0" borderId="11" xfId="0" applyNumberFormat="1" applyFont="1" applyBorder="1" applyAlignment="1">
      <alignment horizontal="center"/>
    </xf>
    <xf numFmtId="3" fontId="40" fillId="0" borderId="11" xfId="0" applyNumberFormat="1" applyFont="1" applyBorder="1" applyAlignment="1">
      <alignment/>
    </xf>
    <xf numFmtId="3" fontId="41" fillId="0" borderId="11" xfId="0" applyNumberFormat="1" applyFont="1" applyBorder="1" applyAlignment="1">
      <alignment/>
    </xf>
    <xf numFmtId="1" fontId="41" fillId="0" borderId="11" xfId="0" applyNumberFormat="1" applyFont="1" applyBorder="1" applyAlignment="1">
      <alignment/>
    </xf>
    <xf numFmtId="14" fontId="41" fillId="0" borderId="11" xfId="0" applyNumberFormat="1" applyFont="1" applyBorder="1" applyAlignment="1">
      <alignment horizontal="center" wrapText="1"/>
    </xf>
    <xf numFmtId="1" fontId="41" fillId="0" borderId="11" xfId="0" applyNumberFormat="1" applyFont="1" applyBorder="1" applyAlignment="1">
      <alignment horizontal="right" wrapText="1"/>
    </xf>
    <xf numFmtId="3" fontId="41" fillId="0" borderId="11" xfId="0" applyNumberFormat="1" applyFont="1" applyBorder="1" applyAlignment="1">
      <alignment horizontal="center"/>
    </xf>
    <xf numFmtId="3" fontId="55" fillId="0" borderId="11" xfId="0" applyNumberFormat="1" applyFont="1" applyBorder="1" applyAlignment="1">
      <alignment/>
    </xf>
    <xf numFmtId="0" fontId="50" fillId="0" borderId="59" xfId="0" applyFont="1" applyFill="1" applyBorder="1" applyAlignment="1">
      <alignment/>
    </xf>
    <xf numFmtId="3" fontId="8" fillId="0" borderId="26" xfId="0" applyNumberFormat="1" applyFont="1" applyBorder="1" applyAlignment="1">
      <alignment horizontal="center"/>
    </xf>
    <xf numFmtId="0" fontId="56" fillId="0" borderId="11" xfId="0" applyFont="1" applyBorder="1" applyAlignment="1">
      <alignment/>
    </xf>
    <xf numFmtId="0" fontId="0" fillId="0" borderId="55" xfId="0" applyFont="1" applyFill="1" applyBorder="1" applyAlignment="1">
      <alignment/>
    </xf>
    <xf numFmtId="3" fontId="10" fillId="0" borderId="62" xfId="0" applyNumberFormat="1" applyFont="1" applyBorder="1" applyAlignment="1">
      <alignment/>
    </xf>
    <xf numFmtId="3" fontId="10" fillId="0" borderId="63" xfId="0" applyNumberFormat="1" applyFont="1" applyBorder="1" applyAlignment="1">
      <alignment horizontal="left"/>
    </xf>
    <xf numFmtId="3" fontId="10" fillId="0" borderId="29" xfId="0" applyNumberFormat="1" applyFont="1" applyBorder="1" applyAlignment="1">
      <alignment horizontal="left"/>
    </xf>
    <xf numFmtId="1" fontId="8" fillId="0" borderId="11" xfId="0" applyNumberFormat="1" applyFont="1" applyBorder="1" applyAlignment="1">
      <alignment vertical="top"/>
    </xf>
    <xf numFmtId="1" fontId="7" fillId="0" borderId="11" xfId="0" applyNumberFormat="1" applyFont="1" applyBorder="1" applyAlignment="1">
      <alignment vertical="top"/>
    </xf>
    <xf numFmtId="1" fontId="8" fillId="0" borderId="0" xfId="0" applyNumberFormat="1" applyFont="1" applyAlignment="1">
      <alignment horizontal="left" vertical="top"/>
    </xf>
    <xf numFmtId="1" fontId="0" fillId="0" borderId="0" xfId="0" applyNumberFormat="1" applyFill="1" applyAlignment="1">
      <alignment/>
    </xf>
    <xf numFmtId="0" fontId="0" fillId="0" borderId="0" xfId="0" applyAlignment="1">
      <alignment vertical="top"/>
    </xf>
    <xf numFmtId="0" fontId="0" fillId="0" borderId="0" xfId="0" applyFont="1" applyAlignment="1">
      <alignment wrapText="1"/>
    </xf>
    <xf numFmtId="0" fontId="10" fillId="0" borderId="0" xfId="0" applyFont="1" applyFill="1" applyAlignment="1">
      <alignment wrapText="1"/>
    </xf>
    <xf numFmtId="0" fontId="0" fillId="0" borderId="11" xfId="0" applyFont="1" applyFill="1" applyBorder="1" applyAlignment="1">
      <alignment/>
    </xf>
    <xf numFmtId="0" fontId="43" fillId="0" borderId="0" xfId="0" applyFont="1" applyAlignment="1">
      <alignment/>
    </xf>
    <xf numFmtId="1" fontId="17" fillId="0" borderId="0" xfId="0" applyNumberFormat="1" applyFont="1" applyAlignment="1">
      <alignment/>
    </xf>
    <xf numFmtId="0" fontId="17" fillId="0" borderId="0" xfId="0" applyFont="1" applyAlignment="1">
      <alignment/>
    </xf>
    <xf numFmtId="3" fontId="17" fillId="0" borderId="0" xfId="0" applyNumberFormat="1" applyFont="1" applyBorder="1" applyAlignment="1">
      <alignment/>
    </xf>
    <xf numFmtId="0" fontId="17" fillId="0" borderId="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/>
    </xf>
    <xf numFmtId="1" fontId="8" fillId="0" borderId="11" xfId="0" applyNumberFormat="1" applyFont="1" applyBorder="1" applyAlignment="1">
      <alignment horizontal="right"/>
    </xf>
    <xf numFmtId="0" fontId="44" fillId="0" borderId="11" xfId="0" applyFont="1" applyBorder="1" applyAlignment="1">
      <alignment/>
    </xf>
    <xf numFmtId="0" fontId="44" fillId="0" borderId="0" xfId="0" applyFont="1" applyAlignment="1">
      <alignment/>
    </xf>
    <xf numFmtId="3" fontId="45" fillId="0" borderId="11" xfId="0" applyNumberFormat="1" applyFont="1" applyBorder="1" applyAlignment="1">
      <alignment/>
    </xf>
    <xf numFmtId="3" fontId="15" fillId="0" borderId="11" xfId="0" applyNumberFormat="1" applyFont="1" applyBorder="1" applyAlignment="1">
      <alignment/>
    </xf>
    <xf numFmtId="0" fontId="43" fillId="0" borderId="0" xfId="0" applyFont="1" applyBorder="1" applyAlignment="1">
      <alignment/>
    </xf>
    <xf numFmtId="14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/>
    </xf>
    <xf numFmtId="0" fontId="0" fillId="0" borderId="0" xfId="0" applyAlignment="1">
      <alignment wrapText="1"/>
    </xf>
    <xf numFmtId="3" fontId="4" fillId="0" borderId="0" xfId="0" applyNumberFormat="1" applyFont="1" applyAlignment="1">
      <alignment horizontal="left"/>
    </xf>
    <xf numFmtId="3" fontId="43" fillId="0" borderId="0" xfId="0" applyNumberFormat="1" applyFont="1" applyAlignment="1">
      <alignment/>
    </xf>
    <xf numFmtId="1" fontId="12" fillId="0" borderId="0" xfId="0" applyNumberFormat="1" applyFont="1" applyFill="1" applyAlignment="1">
      <alignment/>
    </xf>
    <xf numFmtId="0" fontId="46" fillId="0" borderId="11" xfId="0" applyFont="1" applyFill="1" applyBorder="1" applyAlignment="1">
      <alignment horizontal="left" vertical="top" wrapText="1"/>
    </xf>
    <xf numFmtId="0" fontId="46" fillId="0" borderId="11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1" fontId="8" fillId="0" borderId="0" xfId="0" applyNumberFormat="1" applyFont="1" applyAlignment="1">
      <alignment horizontal="left"/>
    </xf>
    <xf numFmtId="3" fontId="57" fillId="0" borderId="11" xfId="0" applyNumberFormat="1" applyFont="1" applyBorder="1" applyAlignment="1">
      <alignment/>
    </xf>
    <xf numFmtId="3" fontId="8" fillId="0" borderId="64" xfId="0" applyNumberFormat="1" applyFont="1" applyBorder="1" applyAlignment="1">
      <alignment/>
    </xf>
    <xf numFmtId="3" fontId="58" fillId="0" borderId="22" xfId="0" applyNumberFormat="1" applyFont="1" applyBorder="1" applyAlignment="1">
      <alignment/>
    </xf>
    <xf numFmtId="3" fontId="58" fillId="0" borderId="33" xfId="0" applyNumberFormat="1" applyFont="1" applyBorder="1" applyAlignment="1">
      <alignment/>
    </xf>
    <xf numFmtId="1" fontId="59" fillId="0" borderId="11" xfId="0" applyNumberFormat="1" applyFont="1" applyBorder="1" applyAlignment="1">
      <alignment/>
    </xf>
    <xf numFmtId="3" fontId="58" fillId="0" borderId="17" xfId="0" applyNumberFormat="1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2" fillId="0" borderId="11" xfId="0" applyFont="1" applyBorder="1" applyAlignment="1">
      <alignment wrapText="1"/>
    </xf>
    <xf numFmtId="0" fontId="60" fillId="0" borderId="11" xfId="0" applyFont="1" applyFill="1" applyBorder="1" applyAlignment="1">
      <alignment/>
    </xf>
    <xf numFmtId="0" fontId="61" fillId="0" borderId="11" xfId="0" applyFont="1" applyBorder="1" applyAlignment="1">
      <alignment/>
    </xf>
    <xf numFmtId="0" fontId="60" fillId="0" borderId="11" xfId="0" applyFont="1" applyBorder="1" applyAlignment="1">
      <alignment/>
    </xf>
    <xf numFmtId="0" fontId="62" fillId="0" borderId="11" xfId="0" applyFont="1" applyBorder="1" applyAlignment="1">
      <alignment/>
    </xf>
    <xf numFmtId="3" fontId="8" fillId="0" borderId="24" xfId="0" applyNumberFormat="1" applyFont="1" applyBorder="1" applyAlignment="1">
      <alignment/>
    </xf>
    <xf numFmtId="3" fontId="8" fillId="0" borderId="25" xfId="0" applyNumberFormat="1" applyFont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64" fillId="0" borderId="11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64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64" fillId="0" borderId="11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175" fontId="19" fillId="0" borderId="11" xfId="0" applyNumberFormat="1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vertical="center" wrapText="1"/>
    </xf>
    <xf numFmtId="0" fontId="19" fillId="34" borderId="0" xfId="0" applyFont="1" applyFill="1" applyAlignment="1">
      <alignment/>
    </xf>
    <xf numFmtId="3" fontId="10" fillId="0" borderId="65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3" fontId="10" fillId="0" borderId="63" xfId="0" applyNumberFormat="1" applyFont="1" applyBorder="1" applyAlignment="1">
      <alignment/>
    </xf>
    <xf numFmtId="0" fontId="64" fillId="0" borderId="0" xfId="0" applyFont="1" applyFill="1" applyBorder="1" applyAlignment="1">
      <alignment horizontal="left" vertical="center" wrapText="1"/>
    </xf>
    <xf numFmtId="3" fontId="12" fillId="0" borderId="49" xfId="0" applyNumberFormat="1" applyFont="1" applyBorder="1" applyAlignment="1">
      <alignment/>
    </xf>
    <xf numFmtId="3" fontId="12" fillId="0" borderId="16" xfId="0" applyNumberFormat="1" applyFont="1" applyBorder="1" applyAlignment="1">
      <alignment horizontal="left"/>
    </xf>
    <xf numFmtId="0" fontId="19" fillId="0" borderId="21" xfId="0" applyFont="1" applyFill="1" applyBorder="1" applyAlignment="1">
      <alignment horizontal="left" vertical="center" wrapText="1"/>
    </xf>
    <xf numFmtId="0" fontId="68" fillId="0" borderId="0" xfId="0" applyFont="1" applyAlignment="1">
      <alignment/>
    </xf>
    <xf numFmtId="0" fontId="32" fillId="0" borderId="11" xfId="0" applyFont="1" applyBorder="1" applyAlignment="1">
      <alignment/>
    </xf>
    <xf numFmtId="0" fontId="33" fillId="0" borderId="11" xfId="0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3" fontId="12" fillId="0" borderId="65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0" fontId="50" fillId="0" borderId="11" xfId="0" applyFont="1" applyBorder="1" applyAlignment="1">
      <alignment horizontal="right" vertical="center"/>
    </xf>
    <xf numFmtId="3" fontId="12" fillId="0" borderId="38" xfId="0" applyNumberFormat="1" applyFont="1" applyBorder="1" applyAlignment="1">
      <alignment horizontal="left" wrapText="1"/>
    </xf>
    <xf numFmtId="3" fontId="69" fillId="0" borderId="66" xfId="0" applyNumberFormat="1" applyFont="1" applyBorder="1" applyAlignment="1">
      <alignment/>
    </xf>
    <xf numFmtId="3" fontId="69" fillId="0" borderId="48" xfId="0" applyNumberFormat="1" applyFont="1" applyBorder="1" applyAlignment="1">
      <alignment horizontal="left" wrapText="1"/>
    </xf>
    <xf numFmtId="0" fontId="70" fillId="0" borderId="11" xfId="0" applyFont="1" applyBorder="1" applyAlignment="1">
      <alignment/>
    </xf>
    <xf numFmtId="3" fontId="69" fillId="0" borderId="42" xfId="0" applyNumberFormat="1" applyFont="1" applyBorder="1" applyAlignment="1">
      <alignment/>
    </xf>
    <xf numFmtId="3" fontId="69" fillId="0" borderId="16" xfId="0" applyNumberFormat="1" applyFont="1" applyBorder="1" applyAlignment="1">
      <alignment horizontal="left"/>
    </xf>
    <xf numFmtId="0" fontId="71" fillId="0" borderId="11" xfId="0" applyFont="1" applyBorder="1" applyAlignment="1">
      <alignment/>
    </xf>
    <xf numFmtId="3" fontId="69" fillId="0" borderId="39" xfId="0" applyNumberFormat="1" applyFont="1" applyBorder="1" applyAlignment="1">
      <alignment/>
    </xf>
    <xf numFmtId="0" fontId="72" fillId="0" borderId="11" xfId="0" applyFont="1" applyFill="1" applyBorder="1" applyAlignment="1">
      <alignment horizontal="left" vertical="center" wrapText="1"/>
    </xf>
    <xf numFmtId="3" fontId="69" fillId="0" borderId="11" xfId="0" applyNumberFormat="1" applyFont="1" applyBorder="1" applyAlignment="1">
      <alignment/>
    </xf>
    <xf numFmtId="1" fontId="49" fillId="0" borderId="11" xfId="0" applyNumberFormat="1" applyFont="1" applyBorder="1" applyAlignment="1">
      <alignment/>
    </xf>
    <xf numFmtId="3" fontId="12" fillId="0" borderId="38" xfId="0" applyNumberFormat="1" applyFont="1" applyBorder="1" applyAlignment="1">
      <alignment horizontal="center"/>
    </xf>
    <xf numFmtId="3" fontId="12" fillId="0" borderId="12" xfId="0" applyNumberFormat="1" applyFont="1" applyBorder="1" applyAlignment="1">
      <alignment horizontal="center"/>
    </xf>
    <xf numFmtId="0" fontId="69" fillId="0" borderId="11" xfId="0" applyFont="1" applyBorder="1" applyAlignment="1">
      <alignment horizontal="center"/>
    </xf>
    <xf numFmtId="0" fontId="72" fillId="0" borderId="11" xfId="0" applyFont="1" applyFill="1" applyBorder="1" applyAlignment="1">
      <alignment horizontal="center" vertical="center" wrapText="1"/>
    </xf>
    <xf numFmtId="0" fontId="73" fillId="0" borderId="11" xfId="0" applyFont="1" applyBorder="1" applyAlignment="1">
      <alignment horizontal="center" wrapText="1"/>
    </xf>
    <xf numFmtId="3" fontId="69" fillId="0" borderId="11" xfId="0" applyNumberFormat="1" applyFont="1" applyBorder="1" applyAlignment="1">
      <alignment horizontal="center"/>
    </xf>
    <xf numFmtId="0" fontId="72" fillId="33" borderId="11" xfId="0" applyFont="1" applyFill="1" applyBorder="1" applyAlignment="1">
      <alignment horizontal="left" vertical="center" wrapText="1"/>
    </xf>
    <xf numFmtId="0" fontId="67" fillId="33" borderId="11" xfId="0" applyFont="1" applyFill="1" applyBorder="1" applyAlignment="1">
      <alignment horizontal="left" vertical="center" wrapText="1"/>
    </xf>
    <xf numFmtId="3" fontId="10" fillId="0" borderId="32" xfId="0" applyNumberFormat="1" applyFont="1" applyBorder="1" applyAlignment="1">
      <alignment horizontal="left"/>
    </xf>
    <xf numFmtId="175" fontId="64" fillId="0" borderId="11" xfId="0" applyNumberFormat="1" applyFont="1" applyFill="1" applyBorder="1" applyAlignment="1">
      <alignment horizontal="left" vertical="center" wrapText="1"/>
    </xf>
    <xf numFmtId="3" fontId="10" fillId="0" borderId="0" xfId="0" applyNumberFormat="1" applyFont="1" applyBorder="1" applyAlignment="1">
      <alignment/>
    </xf>
    <xf numFmtId="3" fontId="12" fillId="0" borderId="66" xfId="0" applyNumberFormat="1" applyFont="1" applyBorder="1" applyAlignment="1">
      <alignment/>
    </xf>
    <xf numFmtId="0" fontId="64" fillId="0" borderId="21" xfId="0" applyFont="1" applyFill="1" applyBorder="1" applyAlignment="1">
      <alignment horizontal="left" vertical="center" wrapText="1"/>
    </xf>
    <xf numFmtId="3" fontId="12" fillId="0" borderId="52" xfId="0" applyNumberFormat="1" applyFont="1" applyFill="1" applyBorder="1" applyAlignment="1">
      <alignment/>
    </xf>
    <xf numFmtId="3" fontId="12" fillId="0" borderId="67" xfId="0" applyNumberFormat="1" applyFont="1" applyFill="1" applyBorder="1" applyAlignment="1">
      <alignment/>
    </xf>
    <xf numFmtId="175" fontId="0" fillId="0" borderId="0" xfId="0" applyNumberFormat="1" applyFont="1" applyAlignment="1">
      <alignment/>
    </xf>
    <xf numFmtId="1" fontId="64" fillId="0" borderId="11" xfId="0" applyNumberFormat="1" applyFont="1" applyFill="1" applyBorder="1" applyAlignment="1">
      <alignment horizontal="left" vertical="center" wrapText="1"/>
    </xf>
    <xf numFmtId="1" fontId="72" fillId="0" borderId="11" xfId="0" applyNumberFormat="1" applyFont="1" applyFill="1" applyBorder="1" applyAlignment="1">
      <alignment horizontal="left" vertical="center" wrapText="1"/>
    </xf>
    <xf numFmtId="0" fontId="114" fillId="0" borderId="0" xfId="0" applyFont="1" applyAlignment="1">
      <alignment/>
    </xf>
    <xf numFmtId="3" fontId="10" fillId="0" borderId="42" xfId="0" applyNumberFormat="1" applyFont="1" applyBorder="1" applyAlignment="1">
      <alignment horizontal="left" vertical="top"/>
    </xf>
    <xf numFmtId="1" fontId="19" fillId="0" borderId="11" xfId="0" applyNumberFormat="1" applyFont="1" applyFill="1" applyBorder="1" applyAlignment="1">
      <alignment horizontal="left" vertical="center" wrapText="1"/>
    </xf>
    <xf numFmtId="175" fontId="72" fillId="0" borderId="11" xfId="0" applyNumberFormat="1" applyFont="1" applyFill="1" applyBorder="1" applyAlignment="1">
      <alignment horizontal="left" vertical="center" wrapText="1"/>
    </xf>
    <xf numFmtId="0" fontId="63" fillId="0" borderId="0" xfId="0" applyFont="1" applyAlignment="1">
      <alignment wrapText="1"/>
    </xf>
    <xf numFmtId="0" fontId="63" fillId="0" borderId="0" xfId="0" applyFont="1" applyAlignment="1">
      <alignment/>
    </xf>
    <xf numFmtId="0" fontId="75" fillId="0" borderId="0" xfId="0" applyFont="1" applyAlignment="1">
      <alignment/>
    </xf>
    <xf numFmtId="0" fontId="20" fillId="0" borderId="0" xfId="0" applyFont="1" applyAlignment="1">
      <alignment/>
    </xf>
    <xf numFmtId="1" fontId="20" fillId="0" borderId="0" xfId="0" applyNumberFormat="1" applyFont="1" applyAlignment="1">
      <alignment/>
    </xf>
    <xf numFmtId="0" fontId="21" fillId="0" borderId="0" xfId="0" applyFont="1" applyAlignment="1">
      <alignment/>
    </xf>
    <xf numFmtId="1" fontId="20" fillId="0" borderId="0" xfId="0" applyNumberFormat="1" applyFont="1" applyFill="1" applyAlignment="1">
      <alignment/>
    </xf>
    <xf numFmtId="3" fontId="12" fillId="0" borderId="42" xfId="0" applyNumberFormat="1" applyFont="1" applyBorder="1" applyAlignment="1">
      <alignment/>
    </xf>
    <xf numFmtId="0" fontId="115" fillId="0" borderId="11" xfId="0" applyFont="1" applyBorder="1" applyAlignment="1">
      <alignment horizontal="right" vertical="center"/>
    </xf>
    <xf numFmtId="3" fontId="116" fillId="0" borderId="42" xfId="0" applyNumberFormat="1" applyFont="1" applyBorder="1" applyAlignment="1">
      <alignment/>
    </xf>
    <xf numFmtId="3" fontId="116" fillId="0" borderId="16" xfId="0" applyNumberFormat="1" applyFont="1" applyBorder="1" applyAlignment="1">
      <alignment horizontal="left"/>
    </xf>
    <xf numFmtId="0" fontId="117" fillId="0" borderId="11" xfId="0" applyFont="1" applyBorder="1" applyAlignment="1">
      <alignment/>
    </xf>
    <xf numFmtId="0" fontId="118" fillId="0" borderId="11" xfId="0" applyFont="1" applyBorder="1" applyAlignment="1">
      <alignment/>
    </xf>
    <xf numFmtId="0" fontId="114" fillId="0" borderId="11" xfId="0" applyFont="1" applyBorder="1" applyAlignment="1">
      <alignment/>
    </xf>
    <xf numFmtId="0" fontId="119" fillId="0" borderId="0" xfId="0" applyFont="1" applyAlignment="1">
      <alignment/>
    </xf>
    <xf numFmtId="0" fontId="119" fillId="0" borderId="11" xfId="0" applyFont="1" applyBorder="1" applyAlignment="1">
      <alignment/>
    </xf>
    <xf numFmtId="0" fontId="18" fillId="0" borderId="0" xfId="0" applyFont="1" applyAlignment="1">
      <alignment horizontal="center"/>
    </xf>
    <xf numFmtId="0" fontId="64" fillId="0" borderId="11" xfId="0" applyFont="1" applyFill="1" applyBorder="1" applyAlignment="1">
      <alignment horizontal="right"/>
    </xf>
    <xf numFmtId="0" fontId="12" fillId="0" borderId="11" xfId="0" applyFont="1" applyBorder="1" applyAlignment="1">
      <alignment/>
    </xf>
    <xf numFmtId="0" fontId="64" fillId="0" borderId="11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25" xfId="0" applyFont="1" applyFill="1" applyBorder="1" applyAlignment="1" quotePrefix="1">
      <alignment horizontal="center" vertical="center"/>
    </xf>
    <xf numFmtId="0" fontId="19" fillId="0" borderId="24" xfId="0" applyFont="1" applyFill="1" applyBorder="1" applyAlignment="1" quotePrefix="1">
      <alignment horizontal="center" vertical="center"/>
    </xf>
    <xf numFmtId="0" fontId="19" fillId="0" borderId="25" xfId="0" applyFont="1" applyFill="1" applyBorder="1" applyAlignment="1">
      <alignment horizontal="left" vertical="center" wrapText="1"/>
    </xf>
    <xf numFmtId="0" fontId="19" fillId="0" borderId="34" xfId="0" applyFont="1" applyFill="1" applyBorder="1" applyAlignment="1">
      <alignment horizontal="left" vertical="center" wrapText="1"/>
    </xf>
    <xf numFmtId="0" fontId="19" fillId="0" borderId="24" xfId="0" applyFont="1" applyFill="1" applyBorder="1" applyAlignment="1">
      <alignment horizontal="left" vertical="center" wrapText="1"/>
    </xf>
    <xf numFmtId="0" fontId="19" fillId="0" borderId="25" xfId="0" applyFont="1" applyFill="1" applyBorder="1" applyAlignment="1">
      <alignment horizontal="left" vertical="center"/>
    </xf>
    <xf numFmtId="0" fontId="19" fillId="0" borderId="34" xfId="0" applyFont="1" applyFill="1" applyBorder="1" applyAlignment="1">
      <alignment horizontal="left" vertical="center"/>
    </xf>
    <xf numFmtId="0" fontId="19" fillId="0" borderId="24" xfId="0" applyFont="1" applyFill="1" applyBorder="1" applyAlignment="1">
      <alignment horizontal="left" vertical="center"/>
    </xf>
    <xf numFmtId="0" fontId="19" fillId="0" borderId="11" xfId="0" applyFont="1" applyFill="1" applyBorder="1" applyAlignment="1" quotePrefix="1">
      <alignment horizontal="center" vertical="center"/>
    </xf>
    <xf numFmtId="175" fontId="19" fillId="0" borderId="25" xfId="0" applyNumberFormat="1" applyFont="1" applyFill="1" applyBorder="1" applyAlignment="1">
      <alignment horizontal="left" vertical="center" wrapText="1"/>
    </xf>
    <xf numFmtId="175" fontId="19" fillId="0" borderId="34" xfId="0" applyNumberFormat="1" applyFont="1" applyFill="1" applyBorder="1" applyAlignment="1">
      <alignment horizontal="left" vertical="center" wrapText="1"/>
    </xf>
    <xf numFmtId="175" fontId="19" fillId="0" borderId="24" xfId="0" applyNumberFormat="1" applyFont="1" applyFill="1" applyBorder="1" applyAlignment="1">
      <alignment horizontal="left" vertical="center" wrapText="1"/>
    </xf>
    <xf numFmtId="0" fontId="64" fillId="0" borderId="25" xfId="0" applyFont="1" applyFill="1" applyBorder="1" applyAlignment="1" quotePrefix="1">
      <alignment horizontal="center" vertical="center"/>
    </xf>
    <xf numFmtId="0" fontId="64" fillId="0" borderId="24" xfId="0" applyFont="1" applyFill="1" applyBorder="1" applyAlignment="1" quotePrefix="1">
      <alignment horizontal="center" vertical="center"/>
    </xf>
    <xf numFmtId="0" fontId="64" fillId="0" borderId="25" xfId="0" applyFont="1" applyFill="1" applyBorder="1" applyAlignment="1">
      <alignment horizontal="left" vertical="center" wrapText="1"/>
    </xf>
    <xf numFmtId="0" fontId="64" fillId="0" borderId="34" xfId="0" applyFont="1" applyFill="1" applyBorder="1" applyAlignment="1">
      <alignment horizontal="left" vertical="center" wrapText="1"/>
    </xf>
    <xf numFmtId="0" fontId="64" fillId="0" borderId="24" xfId="0" applyFont="1" applyFill="1" applyBorder="1" applyAlignment="1">
      <alignment horizontal="left" vertical="center" wrapText="1"/>
    </xf>
    <xf numFmtId="0" fontId="64" fillId="0" borderId="25" xfId="0" applyFont="1" applyFill="1" applyBorder="1" applyAlignment="1">
      <alignment horizontal="left" vertical="center"/>
    </xf>
    <xf numFmtId="0" fontId="64" fillId="0" borderId="34" xfId="0" applyFont="1" applyFill="1" applyBorder="1" applyAlignment="1">
      <alignment horizontal="left" vertical="center"/>
    </xf>
    <xf numFmtId="0" fontId="64" fillId="0" borderId="24" xfId="0" applyFont="1" applyFill="1" applyBorder="1" applyAlignment="1">
      <alignment horizontal="left" vertical="center"/>
    </xf>
    <xf numFmtId="3" fontId="10" fillId="35" borderId="11" xfId="57" applyNumberFormat="1" applyFont="1" applyFill="1" applyBorder="1" applyAlignment="1">
      <alignment horizontal="center" vertical="center" wrapText="1"/>
      <protection/>
    </xf>
    <xf numFmtId="0" fontId="65" fillId="0" borderId="11" xfId="0" applyFont="1" applyBorder="1" applyAlignment="1">
      <alignment horizontal="center" vertical="center" wrapText="1"/>
    </xf>
    <xf numFmtId="0" fontId="19" fillId="33" borderId="25" xfId="0" applyFont="1" applyFill="1" applyBorder="1" applyAlignment="1">
      <alignment horizontal="left" vertical="center" wrapText="1"/>
    </xf>
    <xf numFmtId="0" fontId="19" fillId="33" borderId="34" xfId="0" applyFont="1" applyFill="1" applyBorder="1" applyAlignment="1">
      <alignment horizontal="left" vertical="center" wrapText="1"/>
    </xf>
    <xf numFmtId="0" fontId="19" fillId="33" borderId="24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vertical="center" wrapText="1"/>
    </xf>
    <xf numFmtId="0" fontId="10" fillId="0" borderId="34" xfId="0" applyFont="1" applyFill="1" applyBorder="1" applyAlignment="1">
      <alignment vertical="center" wrapText="1"/>
    </xf>
    <xf numFmtId="0" fontId="10" fillId="0" borderId="24" xfId="0" applyFont="1" applyFill="1" applyBorder="1" applyAlignment="1">
      <alignment vertical="center" wrapText="1"/>
    </xf>
    <xf numFmtId="0" fontId="10" fillId="0" borderId="25" xfId="0" applyFont="1" applyFill="1" applyBorder="1" applyAlignment="1">
      <alignment horizontal="left" vertical="center"/>
    </xf>
    <xf numFmtId="0" fontId="10" fillId="0" borderId="34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0" fillId="33" borderId="25" xfId="0" applyFont="1" applyFill="1" applyBorder="1" applyAlignment="1">
      <alignment horizontal="left" vertical="center" wrapText="1"/>
    </xf>
    <xf numFmtId="0" fontId="10" fillId="33" borderId="34" xfId="0" applyFont="1" applyFill="1" applyBorder="1" applyAlignment="1">
      <alignment horizontal="left" vertical="center" wrapText="1"/>
    </xf>
    <xf numFmtId="0" fontId="10" fillId="33" borderId="24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 quotePrefix="1">
      <alignment horizontal="center" vertical="center"/>
    </xf>
    <xf numFmtId="0" fontId="12" fillId="0" borderId="25" xfId="0" applyFont="1" applyFill="1" applyBorder="1" applyAlignment="1">
      <alignment vertical="center" wrapText="1"/>
    </xf>
    <xf numFmtId="0" fontId="12" fillId="0" borderId="34" xfId="0" applyFont="1" applyFill="1" applyBorder="1" applyAlignment="1">
      <alignment vertical="center" wrapText="1"/>
    </xf>
    <xf numFmtId="0" fontId="12" fillId="0" borderId="24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9" fillId="0" borderId="25" xfId="0" applyFont="1" applyFill="1" applyBorder="1" applyAlignment="1">
      <alignment vertical="center" wrapText="1"/>
    </xf>
    <xf numFmtId="0" fontId="19" fillId="0" borderId="34" xfId="0" applyFont="1" applyFill="1" applyBorder="1" applyAlignment="1">
      <alignment vertical="center" wrapText="1"/>
    </xf>
    <xf numFmtId="0" fontId="19" fillId="0" borderId="24" xfId="0" applyFont="1" applyFill="1" applyBorder="1" applyAlignment="1">
      <alignment vertical="center" wrapText="1"/>
    </xf>
    <xf numFmtId="0" fontId="19" fillId="36" borderId="11" xfId="56" applyFont="1" applyFill="1" applyBorder="1" applyAlignment="1">
      <alignment horizontal="center" vertical="center" wrapText="1"/>
      <protection/>
    </xf>
    <xf numFmtId="0" fontId="64" fillId="0" borderId="25" xfId="0" applyFont="1" applyFill="1" applyBorder="1" applyAlignment="1">
      <alignment vertical="center" wrapText="1"/>
    </xf>
    <xf numFmtId="0" fontId="64" fillId="0" borderId="34" xfId="0" applyFont="1" applyFill="1" applyBorder="1" applyAlignment="1">
      <alignment vertical="center" wrapText="1"/>
    </xf>
    <xf numFmtId="0" fontId="64" fillId="0" borderId="24" xfId="0" applyFont="1" applyFill="1" applyBorder="1" applyAlignment="1">
      <alignment vertical="center" wrapText="1"/>
    </xf>
    <xf numFmtId="0" fontId="64" fillId="0" borderId="11" xfId="0" applyFont="1" applyFill="1" applyBorder="1" applyAlignment="1" quotePrefix="1">
      <alignment horizontal="center" vertical="center"/>
    </xf>
    <xf numFmtId="0" fontId="10" fillId="0" borderId="11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 quotePrefix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 quotePrefix="1">
      <alignment horizontal="center" vertical="center"/>
    </xf>
    <xf numFmtId="0" fontId="64" fillId="0" borderId="11" xfId="0" applyFont="1" applyFill="1" applyBorder="1" applyAlignment="1" quotePrefix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0" fontId="64" fillId="0" borderId="11" xfId="0" applyFont="1" applyFill="1" applyBorder="1" applyAlignment="1">
      <alignment horizontal="left" vertical="center" wrapText="1"/>
    </xf>
    <xf numFmtId="3" fontId="10" fillId="35" borderId="11" xfId="57" applyNumberFormat="1" applyFont="1" applyFill="1" applyBorder="1" applyAlignment="1">
      <alignment horizontal="center" vertical="center" wrapText="1"/>
      <protection/>
    </xf>
    <xf numFmtId="0" fontId="65" fillId="0" borderId="11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64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/>
    </xf>
    <xf numFmtId="0" fontId="64" fillId="0" borderId="11" xfId="0" applyFont="1" applyFill="1" applyBorder="1" applyAlignment="1">
      <alignment horizontal="left" vertical="center"/>
    </xf>
    <xf numFmtId="0" fontId="65" fillId="0" borderId="11" xfId="0" applyFont="1" applyBorder="1" applyAlignment="1">
      <alignment horizontal="center" vertical="center" wrapText="1"/>
    </xf>
    <xf numFmtId="175" fontId="19" fillId="0" borderId="11" xfId="0" applyNumberFormat="1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19" fillId="0" borderId="11" xfId="56" applyFont="1" applyFill="1" applyBorder="1" applyAlignment="1">
      <alignment horizontal="center" vertical="center" wrapText="1"/>
      <protection/>
    </xf>
    <xf numFmtId="0" fontId="19" fillId="0" borderId="11" xfId="0" applyFont="1" applyFill="1" applyBorder="1" applyAlignment="1">
      <alignment vertical="center" wrapText="1"/>
    </xf>
    <xf numFmtId="0" fontId="64" fillId="0" borderId="11" xfId="0" applyFont="1" applyFill="1" applyBorder="1" applyAlignment="1">
      <alignment vertical="center" wrapText="1"/>
    </xf>
    <xf numFmtId="3" fontId="12" fillId="0" borderId="61" xfId="0" applyNumberFormat="1" applyFont="1" applyBorder="1" applyAlignment="1">
      <alignment horizontal="center" wrapText="1"/>
    </xf>
    <xf numFmtId="3" fontId="12" fillId="0" borderId="28" xfId="0" applyNumberFormat="1" applyFont="1" applyBorder="1" applyAlignment="1">
      <alignment horizontal="center" wrapText="1"/>
    </xf>
    <xf numFmtId="3" fontId="12" fillId="0" borderId="38" xfId="0" applyNumberFormat="1" applyFont="1" applyBorder="1" applyAlignment="1">
      <alignment horizontal="center" wrapText="1"/>
    </xf>
    <xf numFmtId="0" fontId="50" fillId="0" borderId="21" xfId="0" applyFont="1" applyBorder="1" applyAlignment="1">
      <alignment horizontal="right" vertical="center"/>
    </xf>
    <xf numFmtId="0" fontId="50" fillId="0" borderId="27" xfId="0" applyFont="1" applyBorder="1" applyAlignment="1">
      <alignment horizontal="right" vertical="center"/>
    </xf>
    <xf numFmtId="0" fontId="42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3" fontId="18" fillId="0" borderId="21" xfId="0" applyNumberFormat="1" applyFont="1" applyBorder="1" applyAlignment="1">
      <alignment horizontal="center"/>
    </xf>
    <xf numFmtId="3" fontId="18" fillId="0" borderId="55" xfId="0" applyNumberFormat="1" applyFont="1" applyBorder="1" applyAlignment="1">
      <alignment horizontal="center"/>
    </xf>
    <xf numFmtId="3" fontId="18" fillId="0" borderId="27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3" fontId="2" fillId="0" borderId="21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0" fontId="8" fillId="0" borderId="59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20" fillId="0" borderId="59" xfId="0" applyFont="1" applyBorder="1" applyAlignment="1">
      <alignment wrapText="1"/>
    </xf>
    <xf numFmtId="0" fontId="120" fillId="0" borderId="0" xfId="0" applyFont="1" applyBorder="1" applyAlignment="1">
      <alignment wrapText="1"/>
    </xf>
    <xf numFmtId="0" fontId="24" fillId="0" borderId="11" xfId="0" applyFont="1" applyFill="1" applyBorder="1" applyAlignment="1">
      <alignment vertical="top" wrapText="1"/>
    </xf>
    <xf numFmtId="0" fontId="24" fillId="0" borderId="11" xfId="0" applyFont="1" applyFill="1" applyBorder="1" applyAlignment="1">
      <alignment horizontal="left" vertical="top" wrapText="1"/>
    </xf>
    <xf numFmtId="0" fontId="26" fillId="0" borderId="11" xfId="0" applyFont="1" applyFill="1" applyBorder="1" applyAlignment="1">
      <alignment vertical="top" wrapText="1"/>
    </xf>
    <xf numFmtId="0" fontId="0" fillId="0" borderId="21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3" fontId="8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8" fillId="0" borderId="21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10" fillId="0" borderId="24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10" fillId="0" borderId="59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0" fillId="0" borderId="59" xfId="0" applyFont="1" applyBorder="1" applyAlignment="1">
      <alignment wrapText="1"/>
    </xf>
    <xf numFmtId="0" fontId="0" fillId="0" borderId="0" xfId="0" applyFont="1" applyAlignment="1">
      <alignment wrapText="1"/>
    </xf>
    <xf numFmtId="3" fontId="8" fillId="0" borderId="25" xfId="0" applyNumberFormat="1" applyFont="1" applyBorder="1" applyAlignment="1">
      <alignment horizontal="center" wrapText="1"/>
    </xf>
    <xf numFmtId="3" fontId="8" fillId="0" borderId="24" xfId="0" applyNumberFormat="1" applyFont="1" applyBorder="1" applyAlignment="1">
      <alignment horizontal="center" wrapText="1"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12_urlap_Mérleg_MJEL 01R_ABCDEF_2014re_nov19" xfId="56"/>
    <cellStyle name="Normál_12dmelléklet" xfId="57"/>
    <cellStyle name="Normál_Munka1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styles" Target="styles.xml" /><Relationship Id="rId78" Type="http://schemas.openxmlformats.org/officeDocument/2006/relationships/sharedStrings" Target="sharedStrings.xml" /><Relationship Id="rId79" Type="http://schemas.openxmlformats.org/officeDocument/2006/relationships/externalLink" Target="externalLinks/externalLink1.xml" /><Relationship Id="rId80" Type="http://schemas.openxmlformats.org/officeDocument/2006/relationships/externalLink" Target="externalLinks/externalLink2.xml" /><Relationship Id="rId81" Type="http://schemas.openxmlformats.org/officeDocument/2006/relationships/externalLink" Target="externalLinks/externalLink3.xml" /><Relationship Id="rId82" Type="http://schemas.openxmlformats.org/officeDocument/2006/relationships/externalLink" Target="externalLinks/externalLink4.xml" /><Relationship Id="rId83" Type="http://schemas.openxmlformats.org/officeDocument/2006/relationships/externalLink" Target="externalLinks/externalLink5.xml" /><Relationship Id="rId84" Type="http://schemas.openxmlformats.org/officeDocument/2006/relationships/externalLink" Target="externalLinks/externalLink6.xml" /><Relationship Id="rId8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&#246;ztisztvisel&#337;i%20illetm&#233;ny%202013.ktgv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&#246;lts&#233;gvet&#233;s%202013\K&#246;lts&#233;gvet&#233;s%202013.02.17\Mell&#233;klapok%20a%20megnyit&#225;shoz\K&#246;ztisztvisel&#337;i%20illetm&#233;nykorr.%202013.ktgv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&#233;rt&#225;bla%202014%20&#233;vi%20k&#246;lts&#233;gvet&#233;shez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GEVSZ%20bev&#233;telek%202015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endszergazda\Desktop\2015.%20&#233;vi%20k&#246;lts&#233;gvet&#233;s\b&#233;rt&#225;bla%202014%20&#233;vi%20k&#246;lts&#233;gvet&#233;shez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GEVSZ%20bev&#233;telek%202016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lletm."/>
      <sheetName val="ph."/>
      <sheetName val="khiv."/>
      <sheetName val="GEVSZ"/>
    </sheetNames>
    <sheetDataSet>
      <sheetData sheetId="3">
        <row r="10">
          <cell r="K10">
            <v>351000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lletm."/>
      <sheetName val="ph."/>
      <sheetName val="khiv."/>
      <sheetName val="GEVSZ"/>
    </sheetNames>
    <sheetDataSet>
      <sheetData sheetId="3">
        <row r="14">
          <cell r="J14">
            <v>6115500</v>
          </cell>
        </row>
        <row r="15">
          <cell r="J15">
            <v>371550</v>
          </cell>
        </row>
        <row r="16">
          <cell r="J16">
            <v>556560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EVSZ"/>
      <sheetName val="Óvoda"/>
      <sheetName val="Munka3"/>
    </sheetNames>
    <sheetDataSet>
      <sheetData sheetId="0">
        <row r="7">
          <cell r="P7">
            <v>607800</v>
          </cell>
        </row>
        <row r="9">
          <cell r="P9">
            <v>11218505</v>
          </cell>
        </row>
        <row r="11">
          <cell r="P11">
            <v>1970900</v>
          </cell>
        </row>
        <row r="13">
          <cell r="P13">
            <v>1412000</v>
          </cell>
        </row>
        <row r="15">
          <cell r="P15">
            <v>1214500</v>
          </cell>
        </row>
        <row r="17">
          <cell r="P17">
            <v>2063280</v>
          </cell>
        </row>
        <row r="19">
          <cell r="P19">
            <v>1412000</v>
          </cell>
        </row>
        <row r="20">
          <cell r="P20">
            <v>1059000</v>
          </cell>
        </row>
        <row r="27">
          <cell r="P27">
            <v>5990500</v>
          </cell>
        </row>
      </sheetData>
      <sheetData sheetId="1">
        <row r="7">
          <cell r="Q7">
            <v>1481500</v>
          </cell>
        </row>
        <row r="9">
          <cell r="P9">
            <v>16582138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ett bevétel"/>
      <sheetName val="682001"/>
      <sheetName val="682002"/>
      <sheetName val="370000"/>
      <sheetName val="910502"/>
      <sheetName val="841403"/>
      <sheetName val="940000"/>
      <sheetName val="841154"/>
      <sheetName val="Munka1"/>
    </sheetNames>
    <sheetDataSet>
      <sheetData sheetId="5">
        <row r="17">
          <cell r="G17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EVSZ"/>
      <sheetName val="Óvoda"/>
      <sheetName val="jutalom 2014 Óvoda"/>
      <sheetName val="jutalom 2014 GEVSZ"/>
      <sheetName val="KÖH"/>
    </sheetNames>
    <sheetDataSet>
      <sheetData sheetId="0">
        <row r="35">
          <cell r="P35">
            <v>9076200</v>
          </cell>
        </row>
        <row r="40">
          <cell r="P40">
            <v>4236000</v>
          </cell>
        </row>
        <row r="45">
          <cell r="P45">
            <v>4145200</v>
          </cell>
        </row>
        <row r="49">
          <cell r="P49">
            <v>2824000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ett bevétel"/>
      <sheetName val="851011_091110"/>
      <sheetName val="Alap"/>
      <sheetName val="370000"/>
      <sheetName val="37000_052020"/>
      <sheetName val="381103_051030"/>
      <sheetName val="562912_096010"/>
      <sheetName val="562913_096020"/>
      <sheetName val="562916_081071"/>
      <sheetName val="562917_999999"/>
      <sheetName val="680001"/>
      <sheetName val="680001_013350"/>
      <sheetName val="680002"/>
      <sheetName val="680002_013350"/>
      <sheetName val="841154"/>
      <sheetName val="841154_013350"/>
      <sheetName val="841403"/>
      <sheetName val="841403_066020"/>
      <sheetName val="889921_107051"/>
      <sheetName val="890442_041231"/>
      <sheetName val="890444_041231"/>
      <sheetName val="910502"/>
      <sheetName val="910502_082092"/>
      <sheetName val="940000"/>
      <sheetName val="940000_013390"/>
      <sheetName val="960302_013320"/>
    </sheetNames>
    <sheetDataSet>
      <sheetData sheetId="4">
        <row r="31">
          <cell r="E31">
            <v>7209</v>
          </cell>
        </row>
      </sheetData>
      <sheetData sheetId="5">
        <row r="32">
          <cell r="E32">
            <v>4445</v>
          </cell>
        </row>
      </sheetData>
      <sheetData sheetId="6">
        <row r="32">
          <cell r="E32">
            <v>1668</v>
          </cell>
        </row>
      </sheetData>
      <sheetData sheetId="7">
        <row r="32">
          <cell r="E32">
            <v>7558</v>
          </cell>
        </row>
      </sheetData>
      <sheetData sheetId="8">
        <row r="32">
          <cell r="E32">
            <v>5243</v>
          </cell>
        </row>
      </sheetData>
      <sheetData sheetId="9">
        <row r="32">
          <cell r="E32">
            <v>4477</v>
          </cell>
        </row>
      </sheetData>
      <sheetData sheetId="11">
        <row r="32">
          <cell r="E32">
            <v>3200</v>
          </cell>
        </row>
      </sheetData>
      <sheetData sheetId="13">
        <row r="32">
          <cell r="E32">
            <v>13062</v>
          </cell>
        </row>
      </sheetData>
      <sheetData sheetId="15">
        <row r="33">
          <cell r="E33">
            <v>22934</v>
          </cell>
        </row>
      </sheetData>
      <sheetData sheetId="18">
        <row r="32">
          <cell r="J32">
            <v>2307</v>
          </cell>
        </row>
      </sheetData>
      <sheetData sheetId="19">
        <row r="32">
          <cell r="E32">
            <v>3537</v>
          </cell>
        </row>
      </sheetData>
      <sheetData sheetId="20">
        <row r="32">
          <cell r="E32">
            <v>2238</v>
          </cell>
        </row>
      </sheetData>
      <sheetData sheetId="22">
        <row r="30">
          <cell r="E30">
            <v>450</v>
          </cell>
        </row>
      </sheetData>
      <sheetData sheetId="24">
        <row r="32">
          <cell r="E32">
            <v>800</v>
          </cell>
        </row>
      </sheetData>
      <sheetData sheetId="25">
        <row r="32">
          <cell r="E32">
            <v>185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52"/>
  <sheetViews>
    <sheetView view="pageBreakPreview" zoomScale="80" zoomScaleSheetLayoutView="80" zoomScalePageLayoutView="0" workbookViewId="0" topLeftCell="A1">
      <selection activeCell="D41" sqref="D41"/>
    </sheetView>
  </sheetViews>
  <sheetFormatPr defaultColWidth="8.66015625" defaultRowHeight="18"/>
  <cols>
    <col min="1" max="1" width="8.91015625" style="7" customWidth="1"/>
    <col min="2" max="2" width="35.75" style="7" customWidth="1"/>
    <col min="3" max="4" width="8.91015625" style="21" customWidth="1"/>
    <col min="5" max="16384" width="8.91015625" style="7" customWidth="1"/>
  </cols>
  <sheetData>
    <row r="1" spans="1:5" ht="18.75">
      <c r="A1" s="55"/>
      <c r="B1" s="56" t="s">
        <v>1549</v>
      </c>
      <c r="C1" s="57"/>
      <c r="D1" s="322"/>
      <c r="E1" s="57"/>
    </row>
    <row r="2" spans="1:5" ht="18.75">
      <c r="A2" s="58"/>
      <c r="B2" s="59"/>
      <c r="C2" s="57"/>
      <c r="D2" s="322"/>
      <c r="E2" s="57"/>
    </row>
    <row r="3" spans="1:5" ht="18.75">
      <c r="A3" s="60" t="s">
        <v>227</v>
      </c>
      <c r="B3" s="56"/>
      <c r="C3" s="61" t="s">
        <v>228</v>
      </c>
      <c r="D3" s="323" t="s">
        <v>229</v>
      </c>
      <c r="E3" s="61"/>
    </row>
    <row r="4" spans="1:5" ht="18.75">
      <c r="A4" s="55"/>
      <c r="B4" s="62"/>
      <c r="C4" s="152" t="s">
        <v>308</v>
      </c>
      <c r="D4" s="324" t="s">
        <v>308</v>
      </c>
      <c r="E4" s="57"/>
    </row>
    <row r="5" spans="1:5" ht="15.75" customHeight="1">
      <c r="A5" s="55"/>
      <c r="B5" s="62"/>
      <c r="C5" s="57"/>
      <c r="D5" s="57"/>
      <c r="E5" s="57"/>
    </row>
    <row r="6" spans="1:5" ht="15.75" customHeight="1">
      <c r="A6" s="63"/>
      <c r="B6" s="64"/>
      <c r="C6" s="65"/>
      <c r="D6" s="65"/>
      <c r="E6" s="57"/>
    </row>
    <row r="7" spans="1:5" ht="15.75" customHeight="1">
      <c r="A7" s="63" t="s">
        <v>293</v>
      </c>
      <c r="B7" s="64"/>
      <c r="C7" s="65"/>
      <c r="D7" s="65"/>
      <c r="E7" s="57"/>
    </row>
    <row r="8" spans="1:5" ht="15.75" customHeight="1">
      <c r="A8" s="63">
        <v>851011</v>
      </c>
      <c r="B8" s="64" t="s">
        <v>320</v>
      </c>
      <c r="C8" s="65">
        <f>'851011'!H76</f>
        <v>462</v>
      </c>
      <c r="D8" s="65">
        <f>'851011_091110'!E102</f>
        <v>47066.7</v>
      </c>
      <c r="E8" s="57"/>
    </row>
    <row r="9" spans="1:5" ht="20.25" customHeight="1">
      <c r="A9" s="63">
        <v>841907</v>
      </c>
      <c r="B9" s="64"/>
      <c r="C9" s="65"/>
      <c r="D9" s="65"/>
      <c r="E9" s="57"/>
    </row>
    <row r="10" spans="1:5" ht="15.75" customHeight="1">
      <c r="A10" s="155"/>
      <c r="B10" s="156"/>
      <c r="C10" s="157"/>
      <c r="D10" s="158"/>
      <c r="E10" s="57"/>
    </row>
    <row r="11" spans="1:5" ht="15.75" customHeight="1" thickBot="1">
      <c r="A11" s="155" t="s">
        <v>319</v>
      </c>
      <c r="B11" s="156"/>
      <c r="C11" s="157"/>
      <c r="D11" s="158"/>
      <c r="E11" s="57"/>
    </row>
    <row r="12" spans="1:5" ht="15.75" customHeight="1">
      <c r="A12" s="67">
        <v>370000</v>
      </c>
      <c r="B12" s="68" t="s">
        <v>235</v>
      </c>
      <c r="C12" s="79">
        <f>'[6]37000_052020'!$E$31</f>
        <v>7209</v>
      </c>
      <c r="D12" s="69">
        <f>'370000_052020'!E101</f>
        <v>5676</v>
      </c>
      <c r="E12" s="57"/>
    </row>
    <row r="13" spans="1:5" ht="15.75" customHeight="1">
      <c r="A13" s="159">
        <v>381103</v>
      </c>
      <c r="B13" s="160" t="s">
        <v>312</v>
      </c>
      <c r="C13" s="161">
        <f>'[6]381103_051030'!$E$32</f>
        <v>4445</v>
      </c>
      <c r="D13" s="531">
        <f>'381103_051030'!E101</f>
        <v>21680.395</v>
      </c>
      <c r="E13" s="57"/>
    </row>
    <row r="14" spans="1:5" ht="15.75" customHeight="1">
      <c r="A14" s="159">
        <v>522000</v>
      </c>
      <c r="B14" s="160" t="s">
        <v>313</v>
      </c>
      <c r="C14" s="161"/>
      <c r="D14" s="162">
        <f>'522000_045160'!E101</f>
        <v>10110.73</v>
      </c>
      <c r="E14" s="57"/>
    </row>
    <row r="15" spans="1:5" ht="15.75" customHeight="1">
      <c r="A15" s="159">
        <v>562912</v>
      </c>
      <c r="B15" s="160" t="s">
        <v>275</v>
      </c>
      <c r="C15" s="161">
        <f>'[6]562912_096010'!$E$32</f>
        <v>1668</v>
      </c>
      <c r="D15" s="162">
        <f>'562912_096010'!E101</f>
        <v>4517</v>
      </c>
      <c r="E15" s="57"/>
    </row>
    <row r="16" spans="1:5" ht="15.75" customHeight="1">
      <c r="A16" s="159">
        <v>562913</v>
      </c>
      <c r="B16" s="160" t="s">
        <v>276</v>
      </c>
      <c r="C16" s="161">
        <f>'[6]562913_096020'!$E$32</f>
        <v>7558</v>
      </c>
      <c r="D16" s="162">
        <f>'562913_096020'!E102</f>
        <v>28440.37</v>
      </c>
      <c r="E16" s="57"/>
    </row>
    <row r="17" spans="1:5" ht="15.75" customHeight="1">
      <c r="A17" s="159">
        <v>562916</v>
      </c>
      <c r="B17" s="160" t="s">
        <v>321</v>
      </c>
      <c r="C17" s="161">
        <f>'[6]562916_081071'!$E$32</f>
        <v>5243</v>
      </c>
      <c r="D17" s="162">
        <f>'562916_081071'!E101</f>
        <v>2652</v>
      </c>
      <c r="E17" s="57"/>
    </row>
    <row r="18" spans="1:5" ht="15.75" customHeight="1">
      <c r="A18" s="159">
        <v>562917</v>
      </c>
      <c r="B18" s="160" t="s">
        <v>277</v>
      </c>
      <c r="C18" s="161">
        <f>'[6]562917_999999'!$E$32</f>
        <v>4477</v>
      </c>
      <c r="D18" s="162">
        <f>'562917_999999'!E101</f>
        <v>3305</v>
      </c>
      <c r="E18" s="57"/>
    </row>
    <row r="19" spans="1:5" ht="15.75" customHeight="1">
      <c r="A19" s="70">
        <v>682001</v>
      </c>
      <c r="B19" s="64" t="s">
        <v>236</v>
      </c>
      <c r="C19" s="65">
        <f>'[6]680001_013350'!$E$32</f>
        <v>3200</v>
      </c>
      <c r="D19" s="71">
        <f>'680001_013350'!E101</f>
        <v>254</v>
      </c>
      <c r="E19" s="57"/>
    </row>
    <row r="20" spans="1:5" ht="15.75" customHeight="1">
      <c r="A20" s="70">
        <v>682002</v>
      </c>
      <c r="B20" s="64" t="s">
        <v>237</v>
      </c>
      <c r="C20" s="65">
        <f>'[6]680002_013350'!$E$32</f>
        <v>13062</v>
      </c>
      <c r="D20" s="71">
        <f>'680002_013350'!E101</f>
        <v>4826</v>
      </c>
      <c r="E20" s="57"/>
    </row>
    <row r="21" spans="1:5" ht="15.75" customHeight="1">
      <c r="A21" s="70">
        <v>750000</v>
      </c>
      <c r="B21" s="64" t="s">
        <v>238</v>
      </c>
      <c r="C21" s="65"/>
      <c r="D21" s="71">
        <f>'750000_042180'!E101</f>
        <v>250</v>
      </c>
      <c r="E21" s="57"/>
    </row>
    <row r="22" spans="1:5" ht="15.75" customHeight="1">
      <c r="A22" s="70">
        <v>841358</v>
      </c>
      <c r="B22" s="64" t="s">
        <v>620</v>
      </c>
      <c r="C22" s="65"/>
      <c r="D22" s="71">
        <f>'841358_047320'!E101</f>
        <v>3600</v>
      </c>
      <c r="E22" s="57"/>
    </row>
    <row r="23" spans="1:5" ht="15.75" customHeight="1">
      <c r="A23" s="70">
        <v>811000</v>
      </c>
      <c r="B23" s="64" t="s">
        <v>314</v>
      </c>
      <c r="C23" s="65"/>
      <c r="D23" s="71">
        <f>'811000_013350'!E102</f>
        <v>7503.395</v>
      </c>
      <c r="E23" s="57"/>
    </row>
    <row r="24" spans="1:5" ht="15.75" customHeight="1">
      <c r="A24" s="70">
        <v>813000</v>
      </c>
      <c r="B24" s="64" t="s">
        <v>315</v>
      </c>
      <c r="C24" s="65"/>
      <c r="D24" s="533">
        <f>'813000_066010'!E102</f>
        <v>29655.41</v>
      </c>
      <c r="E24" s="57"/>
    </row>
    <row r="25" spans="1:5" ht="15.75" customHeight="1">
      <c r="A25" s="70">
        <v>841154</v>
      </c>
      <c r="B25" s="64" t="s">
        <v>601</v>
      </c>
      <c r="C25" s="65">
        <f>'[6]841154_013350'!$E$33</f>
        <v>22934</v>
      </c>
      <c r="D25" s="71">
        <f>'841154_013350'!E101</f>
        <v>39448.3</v>
      </c>
      <c r="E25" s="57"/>
    </row>
    <row r="26" spans="1:5" ht="15.75" customHeight="1">
      <c r="A26" s="70">
        <v>841402</v>
      </c>
      <c r="B26" s="64" t="s">
        <v>230</v>
      </c>
      <c r="C26" s="65"/>
      <c r="D26" s="71">
        <f>'841402_064010'!E101</f>
        <v>17302</v>
      </c>
      <c r="E26" s="57"/>
    </row>
    <row r="27" spans="1:5" ht="15.75" customHeight="1">
      <c r="A27" s="70">
        <v>841403</v>
      </c>
      <c r="B27" s="64" t="s">
        <v>239</v>
      </c>
      <c r="C27" s="65">
        <f>'[4]841403'!$G$17</f>
        <v>0</v>
      </c>
      <c r="D27" s="71">
        <f>'841403_066020'!E101</f>
        <v>24276.5025</v>
      </c>
      <c r="E27" s="57"/>
    </row>
    <row r="28" spans="1:5" ht="15.75" customHeight="1">
      <c r="A28" s="70">
        <v>842155</v>
      </c>
      <c r="B28" s="64" t="s">
        <v>222</v>
      </c>
      <c r="C28" s="65"/>
      <c r="D28" s="71">
        <f>'842155_086030'!E101</f>
        <v>635</v>
      </c>
      <c r="E28" s="57"/>
    </row>
    <row r="29" spans="1:5" ht="15.75" customHeight="1">
      <c r="A29" s="70">
        <v>852011</v>
      </c>
      <c r="B29" s="64" t="s">
        <v>323</v>
      </c>
      <c r="C29" s="65"/>
      <c r="D29" s="71">
        <f>'852011_013350'!E101</f>
        <v>8223</v>
      </c>
      <c r="E29" s="57">
        <v>1</v>
      </c>
    </row>
    <row r="30" spans="1:5" ht="15.75" customHeight="1">
      <c r="A30" s="70">
        <v>862101</v>
      </c>
      <c r="B30" s="64" t="s">
        <v>240</v>
      </c>
      <c r="C30" s="65"/>
      <c r="D30" s="71">
        <f>'862101_072111'!E101</f>
        <v>7647.975</v>
      </c>
      <c r="E30" s="57"/>
    </row>
    <row r="31" spans="1:5" ht="15.75" customHeight="1">
      <c r="A31" s="70">
        <v>862102</v>
      </c>
      <c r="B31" s="64" t="s">
        <v>208</v>
      </c>
      <c r="C31" s="65"/>
      <c r="D31" s="71">
        <f>'862102_072112'!E101</f>
        <v>1550</v>
      </c>
      <c r="E31" s="57"/>
    </row>
    <row r="32" spans="1:5" ht="15.75" customHeight="1">
      <c r="A32" s="70">
        <v>862231</v>
      </c>
      <c r="B32" s="64" t="s">
        <v>241</v>
      </c>
      <c r="C32" s="65"/>
      <c r="D32" s="71">
        <f>'862231_074011'!E101</f>
        <v>300</v>
      </c>
      <c r="E32" s="57"/>
    </row>
    <row r="33" spans="1:5" ht="15.75" customHeight="1">
      <c r="A33" s="70">
        <v>862301</v>
      </c>
      <c r="B33" s="64" t="s">
        <v>206</v>
      </c>
      <c r="C33" s="65"/>
      <c r="D33" s="71">
        <f>'862301_072311'!E101</f>
        <v>1200</v>
      </c>
      <c r="E33" s="57"/>
    </row>
    <row r="34" spans="1:5" ht="15.75" customHeight="1">
      <c r="A34" s="70">
        <v>869041</v>
      </c>
      <c r="B34" s="64" t="s">
        <v>242</v>
      </c>
      <c r="C34" s="65"/>
      <c r="D34" s="71">
        <f>'869041_074031'!E101</f>
        <v>4292.495</v>
      </c>
      <c r="E34" s="57"/>
    </row>
    <row r="35" spans="1:6" ht="15.75" customHeight="1">
      <c r="A35" s="75">
        <v>889921</v>
      </c>
      <c r="B35" s="76" t="s">
        <v>278</v>
      </c>
      <c r="C35" s="77">
        <f>'[6]889921_107051'!$J$32</f>
        <v>2307</v>
      </c>
      <c r="D35" s="78">
        <f>'889921_107051'!E101</f>
        <v>1421</v>
      </c>
      <c r="E35" s="57">
        <f>C35+C18+C17+C16+C15</f>
        <v>21253</v>
      </c>
      <c r="F35" s="57">
        <f>D35+D18+D17+D16+D15</f>
        <v>40335.369999999995</v>
      </c>
    </row>
    <row r="36" spans="1:5" ht="15.75" customHeight="1">
      <c r="A36" s="75">
        <v>889924</v>
      </c>
      <c r="B36" s="76" t="s">
        <v>243</v>
      </c>
      <c r="C36" s="77"/>
      <c r="D36" s="78">
        <f>'889924_107054'!E101</f>
        <v>372</v>
      </c>
      <c r="E36" s="57"/>
    </row>
    <row r="37" spans="1:5" ht="15.75" customHeight="1">
      <c r="A37" s="75">
        <v>889928</v>
      </c>
      <c r="B37" s="76" t="s">
        <v>244</v>
      </c>
      <c r="C37" s="77"/>
      <c r="D37" s="78">
        <f>'889928_107055'!E101</f>
        <v>4237.835</v>
      </c>
      <c r="E37" s="57"/>
    </row>
    <row r="38" spans="1:5" ht="15.75" customHeight="1">
      <c r="A38" s="75">
        <v>890301</v>
      </c>
      <c r="B38" s="76" t="s">
        <v>209</v>
      </c>
      <c r="C38" s="77"/>
      <c r="D38" s="530">
        <f>'890301_084031'!E101</f>
        <v>910</v>
      </c>
      <c r="E38" s="57"/>
    </row>
    <row r="39" spans="1:5" ht="31.5" customHeight="1">
      <c r="A39" s="95" t="s">
        <v>611</v>
      </c>
      <c r="B39" s="64" t="s">
        <v>264</v>
      </c>
      <c r="C39" s="65">
        <f>'[6]890442_041231'!$E$32+'[6]890444_041231'!$E$32</f>
        <v>5775</v>
      </c>
      <c r="D39" s="71">
        <f>'889442_041231'!E102+'890444_041231'!E102</f>
        <v>8875</v>
      </c>
      <c r="E39" s="57"/>
    </row>
    <row r="40" spans="1:5" ht="15.75" customHeight="1">
      <c r="A40" s="75">
        <v>910123</v>
      </c>
      <c r="B40" s="76" t="s">
        <v>245</v>
      </c>
      <c r="C40" s="77"/>
      <c r="D40" s="530">
        <f>'910123_082092'!E101</f>
        <v>1130.6</v>
      </c>
      <c r="E40" s="57"/>
    </row>
    <row r="41" spans="1:5" ht="15.75" customHeight="1">
      <c r="A41" s="75">
        <v>910502</v>
      </c>
      <c r="B41" s="76" t="s">
        <v>246</v>
      </c>
      <c r="C41" s="77">
        <f>'[6]910502_082092'!$E$30</f>
        <v>450</v>
      </c>
      <c r="D41" s="530">
        <f>'910502_082902'!E101</f>
        <v>10634.555</v>
      </c>
      <c r="E41" s="57"/>
    </row>
    <row r="42" spans="1:5" ht="15.75" customHeight="1">
      <c r="A42" s="75">
        <v>932911</v>
      </c>
      <c r="B42" s="76" t="s">
        <v>316</v>
      </c>
      <c r="C42" s="77"/>
      <c r="D42" s="78">
        <f>'932911_081061'!E101</f>
        <v>534</v>
      </c>
      <c r="E42" s="57"/>
    </row>
    <row r="43" spans="1:5" ht="15.75" customHeight="1">
      <c r="A43" s="75">
        <v>940000</v>
      </c>
      <c r="B43" s="76" t="s">
        <v>307</v>
      </c>
      <c r="C43" s="77">
        <f>'[6]940000_013390'!$E$32</f>
        <v>800</v>
      </c>
      <c r="D43" s="78">
        <f>'940000_013390'!E101</f>
        <v>800</v>
      </c>
      <c r="E43" s="57"/>
    </row>
    <row r="44" spans="1:5" ht="15.75" customHeight="1">
      <c r="A44" s="75">
        <v>960302</v>
      </c>
      <c r="B44" s="76" t="s">
        <v>279</v>
      </c>
      <c r="C44" s="77">
        <f>'[6]960302_013320'!$E$32</f>
        <v>185</v>
      </c>
      <c r="D44" s="78">
        <f>'960302_013320'!E101</f>
        <v>1367.9</v>
      </c>
      <c r="E44" s="57"/>
    </row>
    <row r="45" spans="1:5" s="3" customFormat="1" ht="15.75" customHeight="1">
      <c r="A45" s="163"/>
      <c r="B45" s="164" t="s">
        <v>322</v>
      </c>
      <c r="C45" s="165">
        <f>SUM(C12:C44)</f>
        <v>79313</v>
      </c>
      <c r="D45" s="165">
        <f>SUM(D12:D44)</f>
        <v>257628.4625</v>
      </c>
      <c r="E45" s="66"/>
    </row>
    <row r="46" spans="1:5" ht="15.75" customHeight="1">
      <c r="A46" s="75">
        <v>841907</v>
      </c>
      <c r="B46" s="76" t="s">
        <v>602</v>
      </c>
      <c r="C46" s="77">
        <f>D45-C45</f>
        <v>178315.4625</v>
      </c>
      <c r="D46" s="78"/>
      <c r="E46" s="57"/>
    </row>
    <row r="47" spans="1:5" ht="15.75" customHeight="1">
      <c r="A47" s="75"/>
      <c r="B47" s="76" t="s">
        <v>322</v>
      </c>
      <c r="C47" s="77">
        <f>SUM(C45:C46)</f>
        <v>257628.4625</v>
      </c>
      <c r="D47" s="77">
        <f>SUM(D45:D46)</f>
        <v>257628.4625</v>
      </c>
      <c r="E47" s="57"/>
    </row>
    <row r="48" spans="1:5" ht="15.75" customHeight="1">
      <c r="A48" s="75"/>
      <c r="B48" s="76"/>
      <c r="C48" s="77"/>
      <c r="D48" s="77"/>
      <c r="E48" s="57"/>
    </row>
    <row r="49" spans="1:5" ht="15.75" customHeight="1">
      <c r="A49" s="75"/>
      <c r="B49" s="76" t="s">
        <v>606</v>
      </c>
      <c r="C49" s="77"/>
      <c r="D49" s="77"/>
      <c r="E49" s="57"/>
    </row>
    <row r="50" spans="1:5" ht="15.75" customHeight="1">
      <c r="A50" s="75"/>
      <c r="B50" s="76"/>
      <c r="C50" s="77"/>
      <c r="D50" s="77"/>
      <c r="E50" s="57"/>
    </row>
    <row r="51" spans="1:5" ht="15.75" customHeight="1" thickBot="1">
      <c r="A51" s="72"/>
      <c r="B51" s="73" t="s">
        <v>605</v>
      </c>
      <c r="C51" s="74">
        <f>SUM(C45+C8)</f>
        <v>79775</v>
      </c>
      <c r="D51" s="74">
        <f>SUM(D45+D8)</f>
        <v>304695.1625</v>
      </c>
      <c r="E51" s="57"/>
    </row>
    <row r="52" spans="1:5" ht="15.75" customHeight="1">
      <c r="A52" s="55"/>
      <c r="B52" s="62"/>
      <c r="C52" s="57"/>
      <c r="D52" s="57"/>
      <c r="E52" s="57"/>
    </row>
  </sheetData>
  <sheetProtection/>
  <printOptions/>
  <pageMargins left="0.7" right="0.7" top="0.75" bottom="0.75" header="0.3" footer="0.3"/>
  <pageSetup horizontalDpi="300" verticalDpi="3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2:J101"/>
  <sheetViews>
    <sheetView zoomScalePageLayoutView="0" workbookViewId="0" topLeftCell="A71">
      <selection activeCell="E74" sqref="E74"/>
    </sheetView>
  </sheetViews>
  <sheetFormatPr defaultColWidth="8.41015625" defaultRowHeight="18"/>
  <cols>
    <col min="1" max="1" width="8.41015625" style="21" customWidth="1"/>
    <col min="2" max="2" width="29.41015625" style="21" customWidth="1"/>
    <col min="3" max="3" width="8" style="382" customWidth="1"/>
    <col min="4" max="4" width="7.33203125" style="21" customWidth="1"/>
    <col min="5" max="5" width="7.75" style="21" customWidth="1"/>
    <col min="6" max="249" width="7.08203125" style="21" customWidth="1"/>
    <col min="250" max="16384" width="8.41015625" style="21" customWidth="1"/>
  </cols>
  <sheetData>
    <row r="2" spans="1:5" ht="18.75">
      <c r="A2" s="620" t="s">
        <v>1331</v>
      </c>
      <c r="B2" s="620"/>
      <c r="C2" s="620"/>
      <c r="D2" s="620"/>
      <c r="E2" s="620"/>
    </row>
    <row r="3" ht="19.5" thickBot="1">
      <c r="C3" s="243"/>
    </row>
    <row r="4" spans="1:5" ht="19.5" thickBot="1">
      <c r="A4" s="244">
        <v>381103</v>
      </c>
      <c r="B4" s="245" t="s">
        <v>1373</v>
      </c>
      <c r="C4" s="421" t="s">
        <v>616</v>
      </c>
      <c r="D4" s="41" t="s">
        <v>626</v>
      </c>
      <c r="E4" s="34">
        <v>2016</v>
      </c>
    </row>
    <row r="5" spans="1:5" ht="19.5" thickBot="1">
      <c r="A5" s="210" t="s">
        <v>1376</v>
      </c>
      <c r="B5" s="210" t="s">
        <v>1419</v>
      </c>
      <c r="C5" s="295"/>
      <c r="D5" s="34"/>
      <c r="E5" s="34"/>
    </row>
    <row r="6" spans="1:5" ht="18.75">
      <c r="A6" s="249" t="s">
        <v>819</v>
      </c>
      <c r="B6" s="250" t="s">
        <v>1418</v>
      </c>
      <c r="C6" s="376">
        <v>4380</v>
      </c>
      <c r="D6" s="565"/>
      <c r="E6" s="565">
        <v>4623</v>
      </c>
    </row>
    <row r="7" spans="1:5" ht="18.75">
      <c r="A7" s="253" t="s">
        <v>822</v>
      </c>
      <c r="B7" s="254" t="s">
        <v>821</v>
      </c>
      <c r="C7" s="377"/>
      <c r="D7" s="34"/>
      <c r="E7" s="34"/>
    </row>
    <row r="8" spans="1:5" ht="18.75">
      <c r="A8" s="253" t="s">
        <v>823</v>
      </c>
      <c r="B8" s="254" t="s">
        <v>820</v>
      </c>
      <c r="C8" s="377"/>
      <c r="D8" s="34"/>
      <c r="E8" s="381"/>
    </row>
    <row r="9" spans="1:5" ht="18.75">
      <c r="A9" s="253" t="s">
        <v>825</v>
      </c>
      <c r="B9" s="254" t="s">
        <v>824</v>
      </c>
      <c r="C9" s="377">
        <v>452</v>
      </c>
      <c r="D9" s="34"/>
      <c r="E9" s="34"/>
    </row>
    <row r="10" spans="1:5" ht="18.75">
      <c r="A10" s="253" t="s">
        <v>826</v>
      </c>
      <c r="B10" s="260" t="s">
        <v>1239</v>
      </c>
      <c r="C10" s="377"/>
      <c r="D10" s="34"/>
      <c r="E10" s="34"/>
    </row>
    <row r="11" spans="1:5" ht="18.75">
      <c r="A11" s="253" t="s">
        <v>1233</v>
      </c>
      <c r="B11" s="260" t="s">
        <v>1240</v>
      </c>
      <c r="C11" s="378"/>
      <c r="D11" s="34"/>
      <c r="E11" s="34"/>
    </row>
    <row r="12" spans="1:5" ht="18.75">
      <c r="A12" s="253" t="s">
        <v>1241</v>
      </c>
      <c r="B12" s="262" t="s">
        <v>1234</v>
      </c>
      <c r="C12" s="377">
        <v>450</v>
      </c>
      <c r="D12" s="34"/>
      <c r="E12" s="34">
        <v>96</v>
      </c>
    </row>
    <row r="13" spans="1:5" ht="18.75">
      <c r="A13" s="253" t="s">
        <v>1242</v>
      </c>
      <c r="B13" s="262" t="s">
        <v>1235</v>
      </c>
      <c r="C13" s="377"/>
      <c r="D13" s="34"/>
      <c r="E13" s="34">
        <v>354</v>
      </c>
    </row>
    <row r="14" spans="1:5" ht="18.75">
      <c r="A14" s="253" t="s">
        <v>1243</v>
      </c>
      <c r="B14" s="254" t="s">
        <v>528</v>
      </c>
      <c r="C14" s="377"/>
      <c r="D14" s="34"/>
      <c r="E14" s="34"/>
    </row>
    <row r="15" spans="1:5" ht="18.75">
      <c r="A15" s="253" t="s">
        <v>1244</v>
      </c>
      <c r="B15" s="254" t="s">
        <v>1236</v>
      </c>
      <c r="C15" s="377"/>
      <c r="D15" s="34"/>
      <c r="E15" s="34"/>
    </row>
    <row r="16" spans="1:5" ht="19.5" thickBot="1">
      <c r="A16" s="264" t="s">
        <v>1245</v>
      </c>
      <c r="B16" s="265" t="s">
        <v>791</v>
      </c>
      <c r="C16" s="377"/>
      <c r="D16" s="34"/>
      <c r="E16" s="34">
        <v>387</v>
      </c>
    </row>
    <row r="17" spans="1:5" ht="19.5" thickBot="1">
      <c r="A17" s="568" t="s">
        <v>1327</v>
      </c>
      <c r="B17" s="569" t="s">
        <v>1249</v>
      </c>
      <c r="C17" s="379">
        <f>SUM(C6:C16)</f>
        <v>5282</v>
      </c>
      <c r="D17" s="379">
        <f>SUM(D6:D16)</f>
        <v>0</v>
      </c>
      <c r="E17" s="379">
        <f>SUM(E6:E16)</f>
        <v>5460</v>
      </c>
    </row>
    <row r="18" spans="1:5" ht="19.5" thickBot="1">
      <c r="A18" s="557" t="s">
        <v>1329</v>
      </c>
      <c r="B18" s="558" t="s">
        <v>1248</v>
      </c>
      <c r="C18" s="377"/>
      <c r="D18" s="34"/>
      <c r="E18" s="34"/>
    </row>
    <row r="19" spans="1:5" ht="19.5" thickBot="1">
      <c r="A19" s="557" t="s">
        <v>1328</v>
      </c>
      <c r="B19" s="558" t="s">
        <v>1246</v>
      </c>
      <c r="C19" s="377"/>
      <c r="D19" s="34"/>
      <c r="E19" s="34"/>
    </row>
    <row r="20" spans="1:5" ht="19.5" thickBot="1">
      <c r="A20" s="557" t="s">
        <v>1253</v>
      </c>
      <c r="B20" s="558" t="s">
        <v>19</v>
      </c>
      <c r="C20" s="377"/>
      <c r="D20" s="34"/>
      <c r="E20" s="34"/>
    </row>
    <row r="21" spans="1:5" ht="19.5" thickBot="1">
      <c r="A21" s="557" t="s">
        <v>1254</v>
      </c>
      <c r="B21" s="558" t="s">
        <v>889</v>
      </c>
      <c r="C21" s="377"/>
      <c r="D21" s="34"/>
      <c r="E21" s="34"/>
    </row>
    <row r="22" spans="1:5" ht="19.5" thickBot="1">
      <c r="A22" s="568" t="s">
        <v>1330</v>
      </c>
      <c r="B22" s="569" t="s">
        <v>1247</v>
      </c>
      <c r="C22" s="377">
        <f>SUM(C18:C21)</f>
        <v>0</v>
      </c>
      <c r="D22" s="377">
        <f>SUM(D18:D21)</f>
        <v>0</v>
      </c>
      <c r="E22" s="377">
        <f>SUM(E18:E21)</f>
        <v>0</v>
      </c>
    </row>
    <row r="23" spans="1:5" ht="27" customHeight="1" thickBot="1">
      <c r="A23" s="268" t="s">
        <v>1250</v>
      </c>
      <c r="B23" s="269" t="s">
        <v>1237</v>
      </c>
      <c r="C23" s="379">
        <f>SUM(C22,C17)</f>
        <v>5282</v>
      </c>
      <c r="D23" s="379">
        <f>SUM(D22,D17)</f>
        <v>0</v>
      </c>
      <c r="E23" s="379">
        <f>SUM(E22,E17)</f>
        <v>5460</v>
      </c>
    </row>
    <row r="24" spans="1:5" ht="19.5" thickBot="1">
      <c r="A24" s="270"/>
      <c r="B24" s="271"/>
      <c r="C24" s="377"/>
      <c r="D24" s="34"/>
      <c r="E24" s="34"/>
    </row>
    <row r="25" spans="1:6" ht="18.75">
      <c r="A25" s="272" t="s">
        <v>1255</v>
      </c>
      <c r="B25" s="97" t="s">
        <v>590</v>
      </c>
      <c r="C25" s="275"/>
      <c r="D25" s="44"/>
      <c r="E25" s="44">
        <f>F25*27%</f>
        <v>1352.7</v>
      </c>
      <c r="F25" s="21">
        <f>E16+E11+E10+E9+E8+E7+E6</f>
        <v>5010</v>
      </c>
    </row>
    <row r="26" spans="1:5" ht="18.75">
      <c r="A26" s="559" t="s">
        <v>1256</v>
      </c>
      <c r="B26" s="97" t="s">
        <v>1251</v>
      </c>
      <c r="C26" s="275"/>
      <c r="D26" s="44"/>
      <c r="E26" s="44"/>
    </row>
    <row r="27" spans="1:6" ht="18.75">
      <c r="A27" s="276" t="s">
        <v>1252</v>
      </c>
      <c r="B27" s="255" t="s">
        <v>4</v>
      </c>
      <c r="C27" s="378"/>
      <c r="D27" s="34"/>
      <c r="E27" s="44">
        <f>F27*16.67%</f>
        <v>75.015</v>
      </c>
      <c r="F27" s="21">
        <f>E12+E13</f>
        <v>450</v>
      </c>
    </row>
    <row r="28" spans="1:5" ht="19.5" thickBot="1">
      <c r="A28" s="462" t="s">
        <v>1257</v>
      </c>
      <c r="B28" s="255" t="s">
        <v>635</v>
      </c>
      <c r="C28" s="378"/>
      <c r="D28" s="34"/>
      <c r="E28" s="118">
        <f>F27*19.04%</f>
        <v>85.67999999999999</v>
      </c>
    </row>
    <row r="29" spans="1:5" ht="19.5" thickBot="1">
      <c r="A29" s="582" t="s">
        <v>1258</v>
      </c>
      <c r="B29" s="583" t="s">
        <v>69</v>
      </c>
      <c r="C29" s="378">
        <f>SUM(C25:C28)</f>
        <v>0</v>
      </c>
      <c r="D29" s="378">
        <f>SUM(D25:D28)</f>
        <v>0</v>
      </c>
      <c r="E29" s="378">
        <f>SUM(E25:E28)</f>
        <v>1513.3950000000002</v>
      </c>
    </row>
    <row r="30" spans="1:5" ht="19.5" thickBot="1">
      <c r="A30" s="282"/>
      <c r="B30" s="283"/>
      <c r="C30" s="377"/>
      <c r="D30" s="34"/>
      <c r="E30" s="34"/>
    </row>
    <row r="31" spans="1:5" ht="18.75">
      <c r="A31" s="249" t="s">
        <v>1259</v>
      </c>
      <c r="B31" s="291" t="s">
        <v>533</v>
      </c>
      <c r="C31" s="377"/>
      <c r="D31" s="34"/>
      <c r="E31" s="34"/>
    </row>
    <row r="32" spans="1:5" ht="18.75">
      <c r="A32" s="253" t="s">
        <v>1260</v>
      </c>
      <c r="B32" s="254" t="s">
        <v>534</v>
      </c>
      <c r="C32" s="377"/>
      <c r="D32" s="41"/>
      <c r="E32" s="34"/>
    </row>
    <row r="33" spans="1:5" ht="18.75">
      <c r="A33" s="253" t="s">
        <v>1262</v>
      </c>
      <c r="B33" s="254" t="s">
        <v>1261</v>
      </c>
      <c r="C33" s="377"/>
      <c r="D33" s="41"/>
      <c r="E33" s="34"/>
    </row>
    <row r="34" spans="1:5" ht="18.75">
      <c r="A34" s="253" t="s">
        <v>1263</v>
      </c>
      <c r="B34" s="254" t="s">
        <v>124</v>
      </c>
      <c r="C34" s="377"/>
      <c r="D34" s="41"/>
      <c r="E34" s="34"/>
    </row>
    <row r="35" spans="1:5" ht="18.75">
      <c r="A35" s="253" t="s">
        <v>1264</v>
      </c>
      <c r="B35" s="254" t="s">
        <v>1265</v>
      </c>
      <c r="C35" s="570"/>
      <c r="D35" s="41"/>
      <c r="E35" s="34"/>
    </row>
    <row r="36" spans="1:5" ht="18.75">
      <c r="A36" s="253" t="s">
        <v>1335</v>
      </c>
      <c r="B36" s="562" t="s">
        <v>548</v>
      </c>
      <c r="C36" s="570">
        <f>SUM(C31:C35)</f>
        <v>0</v>
      </c>
      <c r="D36" s="570">
        <f>SUM(D31:D35)</f>
        <v>0</v>
      </c>
      <c r="E36" s="570">
        <f>SUM(E31:E35)</f>
        <v>0</v>
      </c>
    </row>
    <row r="37" spans="1:5" ht="18.75">
      <c r="A37" s="253" t="s">
        <v>1342</v>
      </c>
      <c r="B37" s="254" t="s">
        <v>1343</v>
      </c>
      <c r="C37" s="570"/>
      <c r="D37" s="570"/>
      <c r="E37" s="570"/>
    </row>
    <row r="38" spans="1:5" ht="18.75">
      <c r="A38" s="253" t="s">
        <v>1344</v>
      </c>
      <c r="B38" s="254" t="s">
        <v>1267</v>
      </c>
      <c r="C38" s="570"/>
      <c r="D38" s="34"/>
      <c r="E38" s="34"/>
    </row>
    <row r="39" spans="1:5" ht="18.75">
      <c r="A39" s="253" t="s">
        <v>1345</v>
      </c>
      <c r="B39" s="254" t="s">
        <v>88</v>
      </c>
      <c r="C39" s="570">
        <v>1600</v>
      </c>
      <c r="D39" s="34">
        <v>1360</v>
      </c>
      <c r="E39" s="34">
        <v>1500</v>
      </c>
    </row>
    <row r="40" spans="1:5" ht="18.75">
      <c r="A40" s="253" t="s">
        <v>1346</v>
      </c>
      <c r="B40" s="254" t="s">
        <v>1268</v>
      </c>
      <c r="C40" s="377">
        <v>120</v>
      </c>
      <c r="D40" s="34">
        <v>95</v>
      </c>
      <c r="E40" s="34">
        <v>120</v>
      </c>
    </row>
    <row r="41" spans="1:6" ht="19.5" thickBot="1">
      <c r="A41" s="288" t="s">
        <v>1347</v>
      </c>
      <c r="B41" s="289" t="s">
        <v>1269</v>
      </c>
      <c r="C41" s="377">
        <v>215</v>
      </c>
      <c r="D41" s="34">
        <v>473</v>
      </c>
      <c r="E41" s="34">
        <f>50+300</f>
        <v>350</v>
      </c>
      <c r="F41" t="s">
        <v>1513</v>
      </c>
    </row>
    <row r="42" spans="1:5" ht="17.25" customHeight="1" thickBot="1">
      <c r="A42" s="268" t="s">
        <v>1266</v>
      </c>
      <c r="B42" s="571" t="s">
        <v>1270</v>
      </c>
      <c r="C42" s="377">
        <f>SUM(C37:C41)</f>
        <v>1935</v>
      </c>
      <c r="D42" s="377">
        <f>SUM(D38:D41)</f>
        <v>1928</v>
      </c>
      <c r="E42" s="377">
        <f>SUM(E38:E41)</f>
        <v>1970</v>
      </c>
    </row>
    <row r="43" spans="1:5" ht="22.5" customHeight="1" thickBot="1">
      <c r="A43" s="572" t="s">
        <v>1300</v>
      </c>
      <c r="B43" s="573" t="s">
        <v>595</v>
      </c>
      <c r="C43" s="574">
        <f>SUM(C42,C36)</f>
        <v>1935</v>
      </c>
      <c r="D43" s="574">
        <f>SUM(D42,D36)</f>
        <v>1928</v>
      </c>
      <c r="E43" s="574">
        <f>SUM(E42,E36)</f>
        <v>1970</v>
      </c>
    </row>
    <row r="44" spans="1:5" ht="18.75">
      <c r="A44" s="249" t="s">
        <v>1271</v>
      </c>
      <c r="B44" s="291" t="s">
        <v>1348</v>
      </c>
      <c r="C44" s="377"/>
      <c r="D44" s="34"/>
      <c r="E44" s="34"/>
    </row>
    <row r="45" spans="1:5" ht="18.75">
      <c r="A45" s="494" t="s">
        <v>1350</v>
      </c>
      <c r="B45" s="590" t="s">
        <v>1351</v>
      </c>
      <c r="C45" s="377"/>
      <c r="D45" s="34"/>
      <c r="E45" s="34"/>
    </row>
    <row r="46" spans="1:5" ht="18.75">
      <c r="A46" s="253" t="s">
        <v>1272</v>
      </c>
      <c r="B46" s="254" t="s">
        <v>1349</v>
      </c>
      <c r="C46" s="295"/>
      <c r="D46" s="566"/>
      <c r="E46" s="34"/>
    </row>
    <row r="47" spans="1:5" ht="18.75">
      <c r="A47" s="575" t="s">
        <v>1301</v>
      </c>
      <c r="B47" s="576" t="s">
        <v>1366</v>
      </c>
      <c r="C47" s="577">
        <f>SUM(C44:C46)</f>
        <v>0</v>
      </c>
      <c r="D47" s="577">
        <f>SUM(D44:D46)</f>
        <v>0</v>
      </c>
      <c r="E47" s="577">
        <f>SUM(E44:E46)</f>
        <v>0</v>
      </c>
    </row>
    <row r="48" spans="1:5" ht="18.75">
      <c r="A48" s="253" t="s">
        <v>1275</v>
      </c>
      <c r="B48" s="254" t="s">
        <v>544</v>
      </c>
      <c r="C48" s="295"/>
      <c r="D48" s="566"/>
      <c r="E48" s="34"/>
    </row>
    <row r="49" spans="1:5" ht="18.75">
      <c r="A49" s="253" t="s">
        <v>1274</v>
      </c>
      <c r="B49" s="254" t="s">
        <v>543</v>
      </c>
      <c r="C49" s="295"/>
      <c r="D49" s="34"/>
      <c r="E49" s="34"/>
    </row>
    <row r="50" spans="1:5" ht="18.75">
      <c r="A50" s="253" t="s">
        <v>1276</v>
      </c>
      <c r="B50" s="254" t="s">
        <v>503</v>
      </c>
      <c r="C50" s="295"/>
      <c r="D50" s="34"/>
      <c r="E50" s="34"/>
    </row>
    <row r="51" spans="1:5" ht="18.75">
      <c r="A51" s="575" t="s">
        <v>1273</v>
      </c>
      <c r="B51" s="576" t="s">
        <v>1277</v>
      </c>
      <c r="C51" s="577">
        <f>SUM(C48:C50)</f>
        <v>0</v>
      </c>
      <c r="D51" s="577">
        <f>SUM(D48:D50)</f>
        <v>0</v>
      </c>
      <c r="E51" s="577">
        <f>SUM(E48:E50)</f>
        <v>0</v>
      </c>
    </row>
    <row r="52" spans="1:5" ht="18.75">
      <c r="A52" s="253" t="s">
        <v>1332</v>
      </c>
      <c r="B52" s="254" t="s">
        <v>1278</v>
      </c>
      <c r="C52" s="295"/>
      <c r="D52" s="34"/>
      <c r="E52" s="34"/>
    </row>
    <row r="53" spans="1:5" ht="18.75">
      <c r="A53" s="253" t="s">
        <v>1280</v>
      </c>
      <c r="B53" s="254" t="s">
        <v>26</v>
      </c>
      <c r="C53" s="295"/>
      <c r="D53" s="41"/>
      <c r="E53" s="34"/>
    </row>
    <row r="54" spans="1:6" ht="18.75">
      <c r="A54" s="253" t="s">
        <v>1281</v>
      </c>
      <c r="B54" s="254" t="s">
        <v>1352</v>
      </c>
      <c r="C54" s="377">
        <v>720</v>
      </c>
      <c r="D54" s="34">
        <v>185</v>
      </c>
      <c r="E54" s="34">
        <v>1100</v>
      </c>
      <c r="F54" t="s">
        <v>1514</v>
      </c>
    </row>
    <row r="55" spans="1:5" ht="18.75">
      <c r="A55" s="575" t="s">
        <v>1283</v>
      </c>
      <c r="B55" s="576" t="s">
        <v>1282</v>
      </c>
      <c r="C55" s="574">
        <f>SUM(C53:C54)</f>
        <v>720</v>
      </c>
      <c r="D55" s="574">
        <f>SUM(D53:D54)</f>
        <v>185</v>
      </c>
      <c r="E55" s="574">
        <f>SUM(E53:E54)</f>
        <v>1100</v>
      </c>
    </row>
    <row r="56" spans="1:6" ht="18.75">
      <c r="A56" s="575" t="s">
        <v>1284</v>
      </c>
      <c r="B56" s="588" t="s">
        <v>1333</v>
      </c>
      <c r="C56" s="589">
        <v>1500</v>
      </c>
      <c r="D56" s="589">
        <v>2811</v>
      </c>
      <c r="E56" s="589">
        <v>3000</v>
      </c>
      <c r="F56" t="s">
        <v>1515</v>
      </c>
    </row>
    <row r="57" spans="1:5" ht="18.75">
      <c r="A57" s="288"/>
      <c r="B57" s="554" t="s">
        <v>943</v>
      </c>
      <c r="C57" s="554"/>
      <c r="D57" s="554"/>
      <c r="E57" s="554"/>
    </row>
    <row r="58" spans="1:6" ht="18.75">
      <c r="A58" s="288" t="s">
        <v>1353</v>
      </c>
      <c r="B58" s="554" t="s">
        <v>547</v>
      </c>
      <c r="C58" s="554">
        <v>5000</v>
      </c>
      <c r="D58" s="554">
        <v>5100</v>
      </c>
      <c r="E58" s="554">
        <v>5400</v>
      </c>
      <c r="F58" t="s">
        <v>1516</v>
      </c>
    </row>
    <row r="59" spans="1:5" ht="18.75">
      <c r="A59" s="288" t="s">
        <v>1354</v>
      </c>
      <c r="B59" s="554" t="s">
        <v>1517</v>
      </c>
      <c r="C59" s="554"/>
      <c r="D59" s="554"/>
      <c r="E59" s="554"/>
    </row>
    <row r="60" spans="1:5" ht="27" customHeight="1">
      <c r="A60" s="561" t="s">
        <v>1285</v>
      </c>
      <c r="B60" s="552" t="s">
        <v>945</v>
      </c>
      <c r="C60" s="591">
        <f>SUM(C58:C59)</f>
        <v>5000</v>
      </c>
      <c r="D60" s="591">
        <f>SUM(D58:D59)</f>
        <v>5100</v>
      </c>
      <c r="E60" s="591">
        <f>SUM(E58:E59)</f>
        <v>5400</v>
      </c>
    </row>
    <row r="61" spans="1:5" ht="23.25" customHeight="1">
      <c r="A61" s="462" t="s">
        <v>1356</v>
      </c>
      <c r="B61" s="553" t="s">
        <v>1362</v>
      </c>
      <c r="C61" s="591"/>
      <c r="D61" s="591"/>
      <c r="E61" s="591"/>
    </row>
    <row r="62" spans="1:5" ht="23.25" customHeight="1">
      <c r="A62" s="462" t="s">
        <v>1357</v>
      </c>
      <c r="B62" s="553" t="s">
        <v>1358</v>
      </c>
      <c r="C62" s="591"/>
      <c r="D62" s="591"/>
      <c r="E62" s="591"/>
    </row>
    <row r="63" spans="1:5" ht="23.25" customHeight="1">
      <c r="A63" s="462" t="s">
        <v>1359</v>
      </c>
      <c r="B63" s="553" t="s">
        <v>9</v>
      </c>
      <c r="C63" s="591"/>
      <c r="D63" s="591">
        <v>5</v>
      </c>
      <c r="E63" s="591"/>
    </row>
    <row r="64" spans="1:6" ht="23.25" customHeight="1" thickBot="1">
      <c r="A64" s="462" t="s">
        <v>1360</v>
      </c>
      <c r="B64" s="553" t="s">
        <v>1361</v>
      </c>
      <c r="C64" s="591"/>
      <c r="D64" s="591"/>
      <c r="E64" s="591"/>
      <c r="F64" s="21" t="s">
        <v>1368</v>
      </c>
    </row>
    <row r="65" spans="1:5" ht="17.25" customHeight="1" thickBot="1">
      <c r="A65" s="298" t="s">
        <v>1286</v>
      </c>
      <c r="B65" s="552" t="s">
        <v>948</v>
      </c>
      <c r="C65" s="591">
        <f>SUM(C61:C64)</f>
        <v>0</v>
      </c>
      <c r="D65" s="591">
        <f>SUM(D61:D64)</f>
        <v>5</v>
      </c>
      <c r="E65" s="591">
        <f>SUM(E61:E64)</f>
        <v>0</v>
      </c>
    </row>
    <row r="66" spans="1:5" ht="25.5" customHeight="1">
      <c r="A66" s="578" t="s">
        <v>1279</v>
      </c>
      <c r="B66" s="579" t="s">
        <v>1287</v>
      </c>
      <c r="C66" s="579">
        <f>SUM(C65+C60+C56+C55+C52)</f>
        <v>7220</v>
      </c>
      <c r="D66" s="579">
        <f>SUM(D65+D60+D56+D55+D52)</f>
        <v>8101</v>
      </c>
      <c r="E66" s="603">
        <f>SUM(E65+E60+E56+E55+E51)</f>
        <v>9500</v>
      </c>
    </row>
    <row r="67" spans="1:5" ht="18.75">
      <c r="A67" s="253" t="s">
        <v>1288</v>
      </c>
      <c r="B67" s="553" t="s">
        <v>952</v>
      </c>
      <c r="C67" s="553"/>
      <c r="D67" s="553"/>
      <c r="E67" s="553"/>
    </row>
    <row r="68" spans="1:5" ht="18.75">
      <c r="A68" s="253" t="s">
        <v>1289</v>
      </c>
      <c r="B68" s="553" t="s">
        <v>954</v>
      </c>
      <c r="C68" s="553"/>
      <c r="D68" s="553"/>
      <c r="E68" s="553"/>
    </row>
    <row r="69" spans="1:5" ht="24" customHeight="1">
      <c r="A69" s="575" t="s">
        <v>1291</v>
      </c>
      <c r="B69" s="579" t="s">
        <v>1290</v>
      </c>
      <c r="C69" s="579">
        <f>SUM(C67:C68)</f>
        <v>0</v>
      </c>
      <c r="D69" s="579">
        <f>SUM(D67:D68)</f>
        <v>0</v>
      </c>
      <c r="E69" s="579">
        <f>SUM(E67:E68)</f>
        <v>0</v>
      </c>
    </row>
    <row r="70" spans="1:7" ht="26.25" customHeight="1" thickBot="1">
      <c r="A70" s="561" t="s">
        <v>1294</v>
      </c>
      <c r="B70" s="552" t="s">
        <v>958</v>
      </c>
      <c r="C70" s="552">
        <v>2472</v>
      </c>
      <c r="D70" s="552">
        <v>2309</v>
      </c>
      <c r="E70" s="552">
        <v>3127</v>
      </c>
      <c r="F70" s="597">
        <f>E43+E47+E66+E76</f>
        <v>11580</v>
      </c>
      <c r="G70" s="21">
        <f>F70*27%</f>
        <v>3126.6000000000004</v>
      </c>
    </row>
    <row r="71" spans="1:5" ht="27" customHeight="1" thickBot="1">
      <c r="A71" s="268" t="s">
        <v>1295</v>
      </c>
      <c r="B71" s="552" t="s">
        <v>960</v>
      </c>
      <c r="C71" s="552"/>
      <c r="D71" s="552"/>
      <c r="E71" s="552"/>
    </row>
    <row r="72" spans="1:5" ht="19.5" thickBot="1">
      <c r="A72" s="210" t="s">
        <v>1296</v>
      </c>
      <c r="B72" s="552" t="s">
        <v>1293</v>
      </c>
      <c r="C72" s="552"/>
      <c r="D72" s="552"/>
      <c r="E72" s="552"/>
    </row>
    <row r="73" spans="1:5" ht="24.75" customHeight="1">
      <c r="A73" s="593" t="s">
        <v>1298</v>
      </c>
      <c r="B73" s="594" t="s">
        <v>1363</v>
      </c>
      <c r="C73" s="594"/>
      <c r="D73" s="552"/>
      <c r="E73" s="552"/>
    </row>
    <row r="74" spans="1:6" ht="24.75" customHeight="1">
      <c r="A74" s="592" t="s">
        <v>1364</v>
      </c>
      <c r="B74" s="563" t="s">
        <v>1365</v>
      </c>
      <c r="C74" s="563">
        <v>115</v>
      </c>
      <c r="D74" s="553">
        <v>110</v>
      </c>
      <c r="E74" s="553">
        <v>110</v>
      </c>
      <c r="F74" s="21" t="s">
        <v>1369</v>
      </c>
    </row>
    <row r="75" spans="1:5" ht="24.75" customHeight="1">
      <c r="A75" s="592" t="s">
        <v>1370</v>
      </c>
      <c r="B75" s="563" t="s">
        <v>1367</v>
      </c>
      <c r="C75" s="563"/>
      <c r="D75" s="553"/>
      <c r="E75" s="553"/>
    </row>
    <row r="76" spans="1:5" ht="18.75">
      <c r="A76" s="98" t="s">
        <v>1297</v>
      </c>
      <c r="B76" s="552" t="s">
        <v>970</v>
      </c>
      <c r="C76" s="552">
        <f>SUM(C74:C75)</f>
        <v>115</v>
      </c>
      <c r="D76" s="552">
        <f>SUM(D74:D75)</f>
        <v>110</v>
      </c>
      <c r="E76" s="552">
        <f>SUM(E74:E75)</f>
        <v>110</v>
      </c>
    </row>
    <row r="77" spans="1:5" ht="24.75" customHeight="1">
      <c r="A77" s="580" t="s">
        <v>1292</v>
      </c>
      <c r="B77" s="579" t="s">
        <v>1334</v>
      </c>
      <c r="C77" s="579">
        <f>C76+C73+C72+C71+C70</f>
        <v>2587</v>
      </c>
      <c r="D77" s="579">
        <f>D76+D73+D72+D71+D70</f>
        <v>2419</v>
      </c>
      <c r="E77" s="579">
        <f>E76+E73+E72+E71+E70</f>
        <v>3237</v>
      </c>
    </row>
    <row r="78" spans="1:10" ht="24.75" customHeight="1">
      <c r="A78" s="587" t="s">
        <v>1299</v>
      </c>
      <c r="B78" s="585" t="s">
        <v>70</v>
      </c>
      <c r="C78" s="579">
        <f>SUM(C77+C69+C66+C47+C43)</f>
        <v>11742</v>
      </c>
      <c r="D78" s="579">
        <f>SUM(D77+D69+D66+D47+D43)</f>
        <v>12448</v>
      </c>
      <c r="E78" s="579">
        <f>SUM(E77+E69+E66+E47+E43)</f>
        <v>14707</v>
      </c>
      <c r="F78" s="560"/>
      <c r="G78" s="560"/>
      <c r="H78" s="560"/>
      <c r="I78" s="560"/>
      <c r="J78" s="560"/>
    </row>
    <row r="79" spans="1:10" ht="24.75" customHeight="1">
      <c r="A79" s="98" t="s">
        <v>1307</v>
      </c>
      <c r="B79" s="553" t="s">
        <v>1302</v>
      </c>
      <c r="C79" s="552"/>
      <c r="D79" s="552"/>
      <c r="E79" s="552"/>
      <c r="F79" s="560"/>
      <c r="G79" s="560"/>
      <c r="H79" s="560"/>
      <c r="I79" s="560"/>
      <c r="J79" s="560"/>
    </row>
    <row r="80" spans="1:10" ht="24.75" customHeight="1">
      <c r="A80" s="98" t="s">
        <v>1306</v>
      </c>
      <c r="B80" s="553" t="s">
        <v>1308</v>
      </c>
      <c r="C80" s="552"/>
      <c r="D80" s="552"/>
      <c r="E80" s="552"/>
      <c r="F80" s="560"/>
      <c r="G80" s="560"/>
      <c r="H80" s="560"/>
      <c r="I80" s="560"/>
      <c r="J80" s="560"/>
    </row>
    <row r="81" spans="1:10" ht="24.75" customHeight="1">
      <c r="A81" s="98"/>
      <c r="B81" s="97" t="s">
        <v>1304</v>
      </c>
      <c r="C81" s="552"/>
      <c r="D81" s="552"/>
      <c r="E81" s="552"/>
      <c r="F81" s="560"/>
      <c r="G81" s="560"/>
      <c r="H81" s="560"/>
      <c r="I81" s="560"/>
      <c r="J81" s="560"/>
    </row>
    <row r="82" spans="1:5" ht="18.75">
      <c r="A82" s="98"/>
      <c r="B82" s="97" t="s">
        <v>1303</v>
      </c>
      <c r="C82" s="377"/>
      <c r="D82" s="34"/>
      <c r="E82" s="34"/>
    </row>
    <row r="83" spans="1:5" ht="18.75">
      <c r="A83" s="98"/>
      <c r="B83" s="567" t="s">
        <v>1305</v>
      </c>
      <c r="C83" s="377"/>
      <c r="D83" s="34"/>
      <c r="E83" s="34"/>
    </row>
    <row r="84" spans="1:5" ht="25.5">
      <c r="A84" s="580" t="s">
        <v>1341</v>
      </c>
      <c r="B84" s="579" t="s">
        <v>1337</v>
      </c>
      <c r="C84" s="377">
        <f>SUM(C80:C83)</f>
        <v>0</v>
      </c>
      <c r="D84" s="377">
        <f>SUM(D80:D83)</f>
        <v>0</v>
      </c>
      <c r="E84" s="377">
        <f>SUM(E80:E83)</f>
        <v>0</v>
      </c>
    </row>
    <row r="85" spans="1:5" s="564" customFormat="1" ht="18.75">
      <c r="A85" s="587" t="s">
        <v>1336</v>
      </c>
      <c r="B85" s="587" t="s">
        <v>1340</v>
      </c>
      <c r="C85" s="574">
        <f>SUM(C79+C84)</f>
        <v>0</v>
      </c>
      <c r="D85" s="574">
        <f>SUM(D79+D84)</f>
        <v>0</v>
      </c>
      <c r="E85" s="574">
        <f>SUM(E79+E84)</f>
        <v>0</v>
      </c>
    </row>
    <row r="86" spans="1:5" ht="18.75">
      <c r="A86" s="97" t="s">
        <v>1309</v>
      </c>
      <c r="B86" s="553" t="s">
        <v>1113</v>
      </c>
      <c r="C86" s="553"/>
      <c r="D86" s="553"/>
      <c r="E86" s="553"/>
    </row>
    <row r="87" spans="1:5" s="382" customFormat="1" ht="15">
      <c r="A87" s="97" t="s">
        <v>1310</v>
      </c>
      <c r="B87" s="553" t="s">
        <v>1371</v>
      </c>
      <c r="C87" s="553"/>
      <c r="D87" s="553"/>
      <c r="E87" s="553"/>
    </row>
    <row r="88" spans="1:5" ht="18.75">
      <c r="A88" s="172" t="s">
        <v>1311</v>
      </c>
      <c r="B88" s="553" t="s">
        <v>1117</v>
      </c>
      <c r="C88" s="553"/>
      <c r="D88" s="553"/>
      <c r="E88" s="553"/>
    </row>
    <row r="89" spans="1:5" ht="24" customHeight="1">
      <c r="A89" s="172" t="s">
        <v>1312</v>
      </c>
      <c r="B89" s="553" t="s">
        <v>1118</v>
      </c>
      <c r="C89" s="553"/>
      <c r="D89" s="553"/>
      <c r="E89" s="553"/>
    </row>
    <row r="90" spans="1:5" ht="26.25" customHeight="1">
      <c r="A90" s="172" t="s">
        <v>1313</v>
      </c>
      <c r="B90" s="553" t="s">
        <v>1120</v>
      </c>
      <c r="C90" s="553"/>
      <c r="D90" s="553"/>
      <c r="E90" s="553"/>
    </row>
    <row r="91" spans="1:5" ht="25.5" customHeight="1">
      <c r="A91" s="172" t="s">
        <v>1314</v>
      </c>
      <c r="B91" s="553" t="s">
        <v>1126</v>
      </c>
      <c r="C91" s="553"/>
      <c r="D91" s="553"/>
      <c r="E91" s="553"/>
    </row>
    <row r="92" spans="1:5" ht="18.75">
      <c r="A92" s="584" t="s">
        <v>1315</v>
      </c>
      <c r="B92" s="585" t="s">
        <v>1339</v>
      </c>
      <c r="C92" s="552">
        <f>SUM(C86:C91)</f>
        <v>0</v>
      </c>
      <c r="D92" s="552">
        <f>SUM(D86:D91)</f>
        <v>0</v>
      </c>
      <c r="E92" s="552">
        <f>SUM(E86:E91)</f>
        <v>0</v>
      </c>
    </row>
    <row r="93" spans="1:5" ht="18.75">
      <c r="A93" s="172" t="s">
        <v>1316</v>
      </c>
      <c r="B93" s="553" t="s">
        <v>1130</v>
      </c>
      <c r="C93" s="553"/>
      <c r="D93" s="553"/>
      <c r="E93" s="553"/>
    </row>
    <row r="94" spans="1:5" ht="18.75">
      <c r="A94" s="172" t="s">
        <v>1317</v>
      </c>
      <c r="B94" s="553" t="s">
        <v>1132</v>
      </c>
      <c r="C94" s="553"/>
      <c r="D94" s="553"/>
      <c r="E94" s="553"/>
    </row>
    <row r="95" spans="1:5" ht="18.75">
      <c r="A95" s="172" t="s">
        <v>1318</v>
      </c>
      <c r="B95" s="553" t="s">
        <v>1134</v>
      </c>
      <c r="C95" s="553"/>
      <c r="D95" s="553"/>
      <c r="E95" s="553"/>
    </row>
    <row r="96" spans="1:5" ht="24" customHeight="1">
      <c r="A96" s="172" t="s">
        <v>1319</v>
      </c>
      <c r="B96" s="553" t="s">
        <v>1136</v>
      </c>
      <c r="C96" s="553"/>
      <c r="D96" s="553"/>
      <c r="E96" s="553"/>
    </row>
    <row r="97" spans="1:5" ht="18.75">
      <c r="A97" s="584" t="s">
        <v>1320</v>
      </c>
      <c r="B97" s="585" t="s">
        <v>1338</v>
      </c>
      <c r="C97" s="552">
        <f>SUM(C93:C96)</f>
        <v>0</v>
      </c>
      <c r="D97" s="552">
        <f>SUM(D93:D96)</f>
        <v>0</v>
      </c>
      <c r="E97" s="552">
        <f>SUM(E93:E96)</f>
        <v>0</v>
      </c>
    </row>
    <row r="98" spans="1:5" ht="25.5" customHeight="1">
      <c r="A98" s="172" t="s">
        <v>1323</v>
      </c>
      <c r="B98" s="555" t="s">
        <v>1325</v>
      </c>
      <c r="C98" s="555"/>
      <c r="D98" s="555"/>
      <c r="E98" s="555"/>
    </row>
    <row r="99" spans="1:5" ht="27" customHeight="1">
      <c r="A99" s="457" t="s">
        <v>1322</v>
      </c>
      <c r="B99" s="553" t="s">
        <v>1321</v>
      </c>
      <c r="C99" s="553"/>
      <c r="D99" s="553"/>
      <c r="E99" s="553"/>
    </row>
    <row r="100" spans="1:5" ht="18.75">
      <c r="A100" s="584" t="s">
        <v>1326</v>
      </c>
      <c r="B100" s="586" t="s">
        <v>1324</v>
      </c>
      <c r="C100" s="295">
        <f>SUM(C98:C99)</f>
        <v>0</v>
      </c>
      <c r="D100" s="295">
        <f>SUM(D98:D99)</f>
        <v>0</v>
      </c>
      <c r="E100" s="295">
        <f>SUM(E98:E99)</f>
        <v>0</v>
      </c>
    </row>
    <row r="101" spans="1:5" ht="18.75">
      <c r="A101" s="34"/>
      <c r="B101" s="36" t="s">
        <v>118</v>
      </c>
      <c r="C101" s="581">
        <f>SUM(C100+C97+C92+C85+C78+C29+C23)</f>
        <v>17024</v>
      </c>
      <c r="D101" s="581">
        <f>SUM(D100+D97+D92+D85+D78+D29+D23)</f>
        <v>12448</v>
      </c>
      <c r="E101" s="581">
        <f>SUM(E100+E97+E92+E85+E78+E29+E23)</f>
        <v>21680.395</v>
      </c>
    </row>
  </sheetData>
  <sheetProtection/>
  <mergeCells count="1">
    <mergeCell ref="A2:E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2:I38"/>
  <sheetViews>
    <sheetView view="pageBreakPreview" zoomScale="60" zoomScalePageLayoutView="0" workbookViewId="0" topLeftCell="A13">
      <selection activeCell="J17" sqref="J17"/>
    </sheetView>
  </sheetViews>
  <sheetFormatPr defaultColWidth="8.66015625" defaultRowHeight="18"/>
  <cols>
    <col min="1" max="1" width="17.33203125" style="170" customWidth="1"/>
    <col min="2" max="2" width="41.75" style="30" customWidth="1"/>
    <col min="3" max="3" width="8.25" style="30" customWidth="1"/>
    <col min="4" max="4" width="8" style="177" customWidth="1"/>
    <col min="5" max="5" width="11.25" style="30" bestFit="1" customWidth="1"/>
    <col min="6" max="16384" width="8.91015625" style="30" customWidth="1"/>
  </cols>
  <sheetData>
    <row r="2" spans="1:8" ht="18">
      <c r="A2" s="468">
        <v>522000</v>
      </c>
      <c r="B2" s="469" t="s">
        <v>351</v>
      </c>
      <c r="C2" s="469" t="s">
        <v>262</v>
      </c>
      <c r="D2" s="470" t="s">
        <v>281</v>
      </c>
      <c r="E2" s="241">
        <v>41695</v>
      </c>
      <c r="F2" s="173" t="s">
        <v>708</v>
      </c>
      <c r="G2" s="173" t="s">
        <v>709</v>
      </c>
      <c r="H2" s="173"/>
    </row>
    <row r="3" spans="1:8" ht="18">
      <c r="A3" s="472"/>
      <c r="B3" s="469"/>
      <c r="C3" s="469"/>
      <c r="D3" s="173"/>
      <c r="E3" s="173"/>
      <c r="F3" s="173"/>
      <c r="G3" s="173"/>
      <c r="H3" s="173"/>
    </row>
    <row r="4" spans="1:8" ht="18">
      <c r="A4" s="472">
        <v>5111112</v>
      </c>
      <c r="B4" s="173" t="s">
        <v>350</v>
      </c>
      <c r="C4" s="173"/>
      <c r="D4" s="473">
        <v>2776</v>
      </c>
      <c r="E4" s="475">
        <f>'[5]GEVSZ'!$P$49/1000</f>
        <v>2824</v>
      </c>
      <c r="F4" s="173"/>
      <c r="G4" s="173">
        <v>3160</v>
      </c>
      <c r="H4" s="173"/>
    </row>
    <row r="5" spans="1:8" ht="18">
      <c r="A5" s="472">
        <v>512141</v>
      </c>
      <c r="B5" s="173" t="s">
        <v>130</v>
      </c>
      <c r="C5" s="173"/>
      <c r="D5" s="173">
        <v>50</v>
      </c>
      <c r="E5" s="475">
        <v>50</v>
      </c>
      <c r="F5" s="173"/>
      <c r="G5" s="173"/>
      <c r="H5" s="173"/>
    </row>
    <row r="6" spans="1:8" ht="18">
      <c r="A6" s="472"/>
      <c r="B6" s="173" t="s">
        <v>220</v>
      </c>
      <c r="C6" s="173"/>
      <c r="D6" s="173"/>
      <c r="E6" s="475">
        <v>20</v>
      </c>
      <c r="F6" s="173"/>
      <c r="G6" s="173">
        <v>57</v>
      </c>
      <c r="H6" s="173"/>
    </row>
    <row r="7" spans="1:8" ht="18">
      <c r="A7" s="472">
        <v>512192</v>
      </c>
      <c r="B7" s="173" t="s">
        <v>793</v>
      </c>
      <c r="C7" s="173"/>
      <c r="D7" s="173">
        <v>20</v>
      </c>
      <c r="E7" s="475">
        <v>10</v>
      </c>
      <c r="F7" s="173"/>
      <c r="G7" s="173">
        <v>264</v>
      </c>
      <c r="H7" s="173"/>
    </row>
    <row r="8" spans="1:8" ht="18">
      <c r="A8" s="472">
        <v>514142</v>
      </c>
      <c r="B8" s="173" t="s">
        <v>39</v>
      </c>
      <c r="C8" s="173"/>
      <c r="D8" s="173">
        <v>180</v>
      </c>
      <c r="E8" s="475">
        <v>180</v>
      </c>
      <c r="F8" s="173"/>
      <c r="G8" s="173">
        <v>300</v>
      </c>
      <c r="H8" s="173"/>
    </row>
    <row r="9" spans="1:8" ht="18">
      <c r="A9" s="468"/>
      <c r="B9" s="469" t="s">
        <v>710</v>
      </c>
      <c r="C9" s="469">
        <v>3596</v>
      </c>
      <c r="D9" s="474">
        <f>SUM(D4:D8)</f>
        <v>3026</v>
      </c>
      <c r="E9" s="474">
        <f>SUM(E4:E8)</f>
        <v>3084</v>
      </c>
      <c r="F9" s="474">
        <f>SUM(F4:F8)</f>
        <v>0</v>
      </c>
      <c r="G9" s="474">
        <f>SUM(G4:G8)</f>
        <v>3781</v>
      </c>
      <c r="H9" s="173"/>
    </row>
    <row r="10" spans="1:8" ht="18">
      <c r="A10" s="468"/>
      <c r="B10" s="469"/>
      <c r="C10" s="469"/>
      <c r="D10" s="173"/>
      <c r="E10" s="475"/>
      <c r="F10" s="173"/>
      <c r="G10" s="173"/>
      <c r="H10" s="173"/>
    </row>
    <row r="11" spans="1:8" ht="18">
      <c r="A11" s="472">
        <v>53111</v>
      </c>
      <c r="B11" s="173" t="s">
        <v>567</v>
      </c>
      <c r="C11" s="173"/>
      <c r="D11" s="173">
        <v>735</v>
      </c>
      <c r="E11" s="470">
        <f>(E4+E5+E7)*27%</f>
        <v>778.6800000000001</v>
      </c>
      <c r="F11" s="173"/>
      <c r="G11" s="173">
        <f>H11*27%</f>
        <v>939.8700000000001</v>
      </c>
      <c r="H11" s="173">
        <f>G9-G8</f>
        <v>3481</v>
      </c>
    </row>
    <row r="12" spans="1:8" ht="18">
      <c r="A12" s="472">
        <v>531121</v>
      </c>
      <c r="B12" s="476" t="s">
        <v>568</v>
      </c>
      <c r="C12" s="476"/>
      <c r="D12" s="173">
        <v>42</v>
      </c>
      <c r="E12" s="475">
        <v>31</v>
      </c>
      <c r="F12" s="173"/>
      <c r="G12" s="173">
        <v>50</v>
      </c>
      <c r="H12" s="173"/>
    </row>
    <row r="13" spans="1:8" ht="18">
      <c r="A13" s="472"/>
      <c r="B13" s="476" t="s">
        <v>635</v>
      </c>
      <c r="C13" s="476"/>
      <c r="D13" s="173"/>
      <c r="E13" s="475"/>
      <c r="F13" s="173"/>
      <c r="G13" s="173">
        <v>58</v>
      </c>
      <c r="H13" s="173"/>
    </row>
    <row r="14" spans="1:8" ht="18">
      <c r="A14" s="468"/>
      <c r="B14" s="469" t="s">
        <v>339</v>
      </c>
      <c r="C14" s="469">
        <v>916</v>
      </c>
      <c r="D14" s="469">
        <v>777</v>
      </c>
      <c r="E14" s="470">
        <f>SUM(E11:E12)</f>
        <v>809.6800000000001</v>
      </c>
      <c r="F14" s="470">
        <f>SUM(F11:F12)</f>
        <v>0</v>
      </c>
      <c r="G14" s="470">
        <f>SUM(G11:G13)</f>
        <v>1047.8700000000001</v>
      </c>
      <c r="H14" s="173"/>
    </row>
    <row r="15" spans="1:8" ht="18">
      <c r="A15" s="468"/>
      <c r="B15" s="469"/>
      <c r="C15" s="469"/>
      <c r="D15" s="477"/>
      <c r="E15" s="475"/>
      <c r="F15" s="173"/>
      <c r="G15" s="173"/>
      <c r="H15" s="173"/>
    </row>
    <row r="16" spans="1:9" ht="18">
      <c r="A16" s="472">
        <v>5481</v>
      </c>
      <c r="B16" s="173" t="s">
        <v>28</v>
      </c>
      <c r="C16" s="173">
        <v>90</v>
      </c>
      <c r="D16" s="173">
        <v>60</v>
      </c>
      <c r="E16" s="475">
        <v>60</v>
      </c>
      <c r="F16" s="173">
        <v>60</v>
      </c>
      <c r="G16" s="173">
        <v>80</v>
      </c>
      <c r="H16" s="173"/>
      <c r="I16" s="30" t="s">
        <v>711</v>
      </c>
    </row>
    <row r="17" spans="1:8" ht="18">
      <c r="A17" s="472">
        <v>54913</v>
      </c>
      <c r="B17" s="173" t="s">
        <v>349</v>
      </c>
      <c r="C17" s="173"/>
      <c r="D17" s="173">
        <v>400</v>
      </c>
      <c r="E17" s="475">
        <v>400</v>
      </c>
      <c r="F17" s="173">
        <v>380</v>
      </c>
      <c r="G17" s="173">
        <v>400</v>
      </c>
      <c r="H17" s="173"/>
    </row>
    <row r="18" spans="1:8" ht="18">
      <c r="A18" s="472">
        <v>54913</v>
      </c>
      <c r="B18" s="173" t="s">
        <v>348</v>
      </c>
      <c r="C18" s="173"/>
      <c r="D18" s="173">
        <v>350</v>
      </c>
      <c r="E18" s="475">
        <v>350</v>
      </c>
      <c r="F18" s="173">
        <v>187</v>
      </c>
      <c r="G18" s="173">
        <v>400</v>
      </c>
      <c r="H18" s="173"/>
    </row>
    <row r="19" spans="1:9" ht="18">
      <c r="A19" s="472">
        <v>54913</v>
      </c>
      <c r="B19" s="173" t="s">
        <v>569</v>
      </c>
      <c r="C19" s="173">
        <v>880</v>
      </c>
      <c r="D19" s="173">
        <v>150</v>
      </c>
      <c r="E19" s="475">
        <v>300</v>
      </c>
      <c r="F19" s="173"/>
      <c r="G19" s="173">
        <v>450</v>
      </c>
      <c r="H19" s="173"/>
      <c r="I19" s="30" t="s">
        <v>712</v>
      </c>
    </row>
    <row r="20" spans="1:8" ht="18">
      <c r="A20" s="472"/>
      <c r="B20" s="469" t="s">
        <v>347</v>
      </c>
      <c r="C20" s="469">
        <f>SUM(C16:C19)</f>
        <v>970</v>
      </c>
      <c r="D20" s="469">
        <f>SUM(D16:D19)</f>
        <v>960</v>
      </c>
      <c r="E20" s="469">
        <f>SUM(E16:E19)</f>
        <v>1110</v>
      </c>
      <c r="F20" s="469">
        <f>SUM(F16:F19)</f>
        <v>627</v>
      </c>
      <c r="G20" s="469">
        <f>SUM(G16:G19)</f>
        <v>1330</v>
      </c>
      <c r="H20" s="173"/>
    </row>
    <row r="21" spans="1:8" ht="18">
      <c r="A21" s="472"/>
      <c r="B21" s="173"/>
      <c r="C21" s="173"/>
      <c r="D21" s="477"/>
      <c r="E21" s="475"/>
      <c r="F21" s="173"/>
      <c r="G21" s="173"/>
      <c r="H21" s="173"/>
    </row>
    <row r="22" spans="1:8" ht="18">
      <c r="A22" s="472">
        <v>552129</v>
      </c>
      <c r="B22" s="173" t="s">
        <v>346</v>
      </c>
      <c r="C22" s="173">
        <v>220</v>
      </c>
      <c r="D22" s="173">
        <v>180</v>
      </c>
      <c r="E22" s="475">
        <v>200</v>
      </c>
      <c r="F22" s="173">
        <v>80</v>
      </c>
      <c r="G22" s="173">
        <v>200</v>
      </c>
      <c r="H22" s="173"/>
    </row>
    <row r="23" spans="1:8" ht="18">
      <c r="A23" s="472">
        <v>552129</v>
      </c>
      <c r="B23" s="173" t="s">
        <v>345</v>
      </c>
      <c r="C23" s="173"/>
      <c r="D23" s="173">
        <v>320</v>
      </c>
      <c r="E23" s="475">
        <v>380</v>
      </c>
      <c r="F23" s="173">
        <v>110</v>
      </c>
      <c r="G23" s="173">
        <v>380</v>
      </c>
      <c r="H23" s="173"/>
    </row>
    <row r="24" spans="1:8" ht="18">
      <c r="A24" s="472">
        <v>55213</v>
      </c>
      <c r="B24" s="173" t="s">
        <v>344</v>
      </c>
      <c r="C24" s="173">
        <v>100</v>
      </c>
      <c r="D24" s="173">
        <v>150</v>
      </c>
      <c r="E24" s="475">
        <v>150</v>
      </c>
      <c r="F24" s="173">
        <v>210</v>
      </c>
      <c r="G24" s="173">
        <v>150</v>
      </c>
      <c r="H24" s="173"/>
    </row>
    <row r="25" spans="1:8" ht="72">
      <c r="A25" s="472">
        <v>552181</v>
      </c>
      <c r="B25" s="471" t="s">
        <v>713</v>
      </c>
      <c r="C25" s="173">
        <v>493</v>
      </c>
      <c r="D25" s="173">
        <v>350</v>
      </c>
      <c r="E25" s="475">
        <v>1600</v>
      </c>
      <c r="F25" s="173">
        <v>187</v>
      </c>
      <c r="G25" s="173">
        <v>2000</v>
      </c>
      <c r="H25" s="173"/>
    </row>
    <row r="26" spans="1:8" ht="18">
      <c r="A26" s="472"/>
      <c r="B26" s="469" t="s">
        <v>64</v>
      </c>
      <c r="C26" s="469"/>
      <c r="D26" s="474">
        <f>SUM(D22:D25)</f>
        <v>1000</v>
      </c>
      <c r="E26" s="474">
        <f>SUM(E22:E25)</f>
        <v>2330</v>
      </c>
      <c r="F26" s="474">
        <f>SUM(F22:F25)</f>
        <v>587</v>
      </c>
      <c r="G26" s="474">
        <f>SUM(G22:G25)</f>
        <v>2730</v>
      </c>
      <c r="H26" s="173"/>
    </row>
    <row r="27" spans="1:8" ht="18">
      <c r="A27" s="472"/>
      <c r="B27" s="469"/>
      <c r="C27" s="469"/>
      <c r="D27" s="478"/>
      <c r="E27" s="475"/>
      <c r="F27" s="173"/>
      <c r="G27" s="173"/>
      <c r="H27" s="173"/>
    </row>
    <row r="28" spans="1:8" ht="18">
      <c r="A28" s="472">
        <v>5721</v>
      </c>
      <c r="B28" s="173" t="s">
        <v>333</v>
      </c>
      <c r="C28" s="173">
        <v>47</v>
      </c>
      <c r="D28" s="173">
        <v>43</v>
      </c>
      <c r="E28" s="470">
        <f>E8*19.04%</f>
        <v>34.272</v>
      </c>
      <c r="F28" s="173"/>
      <c r="G28" s="173"/>
      <c r="H28" s="173"/>
    </row>
    <row r="29" spans="1:8" ht="18">
      <c r="A29" s="472">
        <v>56111</v>
      </c>
      <c r="B29" s="173" t="s">
        <v>343</v>
      </c>
      <c r="C29" s="173">
        <v>481</v>
      </c>
      <c r="D29" s="173">
        <f>(D20+D26)*25%</f>
        <v>490</v>
      </c>
      <c r="E29" s="470">
        <f>(E20+E26)*27%</f>
        <v>928.8000000000001</v>
      </c>
      <c r="F29" s="173">
        <v>280</v>
      </c>
      <c r="G29" s="173">
        <v>948</v>
      </c>
      <c r="H29" s="173"/>
    </row>
    <row r="30" spans="1:8" ht="18">
      <c r="A30" s="472"/>
      <c r="B30" s="469" t="s">
        <v>20</v>
      </c>
      <c r="C30" s="469">
        <f>SUM(C28:C29)</f>
        <v>528</v>
      </c>
      <c r="D30" s="469">
        <f>SUM(D28:D29)</f>
        <v>533</v>
      </c>
      <c r="E30" s="469">
        <f>SUM(E28:E29)</f>
        <v>963.0720000000001</v>
      </c>
      <c r="F30" s="469">
        <f>SUM(F28:F29)</f>
        <v>280</v>
      </c>
      <c r="G30" s="469">
        <f>SUM(G28:G29)</f>
        <v>948</v>
      </c>
      <c r="H30" s="173"/>
    </row>
    <row r="31" spans="1:8" ht="18">
      <c r="A31" s="472"/>
      <c r="B31" s="173"/>
      <c r="C31" s="173"/>
      <c r="D31" s="173"/>
      <c r="E31" s="475"/>
      <c r="F31" s="173"/>
      <c r="G31" s="173"/>
      <c r="H31" s="173"/>
    </row>
    <row r="32" spans="1:8" ht="18">
      <c r="A32" s="472"/>
      <c r="B32" s="469" t="s">
        <v>29</v>
      </c>
      <c r="C32" s="474">
        <f>SUM(C20+C26+C30)</f>
        <v>1498</v>
      </c>
      <c r="D32" s="474">
        <f>SUM(D20+D26+D30)</f>
        <v>2493</v>
      </c>
      <c r="E32" s="474">
        <f>SUM(E20+E26+E30)</f>
        <v>4403.072</v>
      </c>
      <c r="F32" s="474">
        <f>SUM(F20+F26+F30)</f>
        <v>1494</v>
      </c>
      <c r="G32" s="474">
        <f>SUM(G20+G26+G30)</f>
        <v>5008</v>
      </c>
      <c r="H32" s="173"/>
    </row>
    <row r="33" spans="1:8" ht="18">
      <c r="A33" s="472"/>
      <c r="B33" s="469"/>
      <c r="C33" s="474"/>
      <c r="D33" s="474"/>
      <c r="E33" s="474"/>
      <c r="F33" s="474"/>
      <c r="G33" s="474"/>
      <c r="H33" s="173"/>
    </row>
    <row r="34" spans="1:8" ht="18">
      <c r="A34" s="472"/>
      <c r="B34" s="469" t="s">
        <v>743</v>
      </c>
      <c r="C34" s="474"/>
      <c r="D34" s="474"/>
      <c r="E34" s="474"/>
      <c r="F34" s="474">
        <v>1720</v>
      </c>
      <c r="G34" s="474"/>
      <c r="H34" s="173"/>
    </row>
    <row r="35" spans="1:8" ht="18">
      <c r="A35" s="472"/>
      <c r="B35" s="469" t="s">
        <v>232</v>
      </c>
      <c r="C35" s="474"/>
      <c r="D35" s="474"/>
      <c r="E35" s="474"/>
      <c r="F35" s="474">
        <v>462</v>
      </c>
      <c r="G35" s="474"/>
      <c r="H35" s="173"/>
    </row>
    <row r="36" spans="1:8" ht="18">
      <c r="A36" s="472"/>
      <c r="B36" s="173" t="s">
        <v>169</v>
      </c>
      <c r="C36" s="173"/>
      <c r="D36" s="173"/>
      <c r="E36" s="475"/>
      <c r="F36" s="173">
        <f>SUM(F34:F35)</f>
        <v>2182</v>
      </c>
      <c r="G36" s="173"/>
      <c r="H36" s="173"/>
    </row>
    <row r="37" spans="1:8" ht="18">
      <c r="A37" s="472"/>
      <c r="B37" s="173"/>
      <c r="C37" s="173"/>
      <c r="D37" s="173"/>
      <c r="E37" s="475"/>
      <c r="F37" s="173"/>
      <c r="G37" s="173"/>
      <c r="H37" s="173"/>
    </row>
    <row r="38" spans="1:8" ht="18">
      <c r="A38" s="472"/>
      <c r="B38" s="469" t="s">
        <v>0</v>
      </c>
      <c r="C38" s="474">
        <f>+C32+C9+C14</f>
        <v>6010</v>
      </c>
      <c r="D38" s="474">
        <f>+D32+D9+D14</f>
        <v>6296</v>
      </c>
      <c r="E38" s="474">
        <f>+E32+E9+E14</f>
        <v>8296.752</v>
      </c>
      <c r="F38" s="474">
        <f>+F32+F9+F14+F36</f>
        <v>3676</v>
      </c>
      <c r="G38" s="474">
        <f>+G32+G9+G14</f>
        <v>9836.87</v>
      </c>
      <c r="H38" s="173"/>
    </row>
  </sheetData>
  <sheetProtection/>
  <printOptions/>
  <pageMargins left="0.7" right="0.7" top="0.75" bottom="0.75" header="0.3" footer="0.3"/>
  <pageSetup horizontalDpi="300" verticalDpi="300" orientation="portrait" paperSize="9" scale="4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</sheetPr>
  <dimension ref="A2:J101"/>
  <sheetViews>
    <sheetView zoomScalePageLayoutView="0" workbookViewId="0" topLeftCell="A91">
      <selection activeCell="E72" sqref="E72"/>
    </sheetView>
  </sheetViews>
  <sheetFormatPr defaultColWidth="8.41015625" defaultRowHeight="18"/>
  <cols>
    <col min="1" max="1" width="8.41015625" style="21" customWidth="1"/>
    <col min="2" max="2" width="29.41015625" style="21" customWidth="1"/>
    <col min="3" max="3" width="8" style="382" customWidth="1"/>
    <col min="4" max="4" width="7.33203125" style="21" customWidth="1"/>
    <col min="5" max="5" width="7.75" style="21" customWidth="1"/>
    <col min="6" max="249" width="7.08203125" style="21" customWidth="1"/>
    <col min="250" max="16384" width="8.41015625" style="21" customWidth="1"/>
  </cols>
  <sheetData>
    <row r="2" spans="1:5" ht="18.75">
      <c r="A2" s="620" t="s">
        <v>1331</v>
      </c>
      <c r="B2" s="620"/>
      <c r="C2" s="620"/>
      <c r="D2" s="620"/>
      <c r="E2" s="620"/>
    </row>
    <row r="3" ht="19.5" thickBot="1">
      <c r="C3" s="243"/>
    </row>
    <row r="4" spans="1:5" ht="19.5" thickBot="1">
      <c r="A4" s="595">
        <v>522000</v>
      </c>
      <c r="B4" s="245" t="s">
        <v>313</v>
      </c>
      <c r="C4" s="421" t="s">
        <v>616</v>
      </c>
      <c r="D4" s="41" t="s">
        <v>626</v>
      </c>
      <c r="E4" s="34">
        <v>2016</v>
      </c>
    </row>
    <row r="5" spans="1:5" ht="19.5" thickBot="1">
      <c r="A5" s="596" t="s">
        <v>1377</v>
      </c>
      <c r="B5" s="210" t="s">
        <v>1420</v>
      </c>
      <c r="C5" s="295"/>
      <c r="D5" s="34"/>
      <c r="E5" s="34"/>
    </row>
    <row r="6" spans="1:5" ht="18.75">
      <c r="A6" s="249" t="s">
        <v>819</v>
      </c>
      <c r="B6" s="250" t="s">
        <v>1238</v>
      </c>
      <c r="C6" s="376">
        <v>3160</v>
      </c>
      <c r="D6" s="565"/>
      <c r="E6" s="565">
        <v>3322</v>
      </c>
    </row>
    <row r="7" spans="1:5" ht="18.75">
      <c r="A7" s="253" t="s">
        <v>822</v>
      </c>
      <c r="B7" s="254" t="s">
        <v>821</v>
      </c>
      <c r="C7" s="377"/>
      <c r="D7" s="34"/>
      <c r="E7" s="34"/>
    </row>
    <row r="8" spans="1:5" ht="18.75">
      <c r="A8" s="253" t="s">
        <v>823</v>
      </c>
      <c r="B8" s="254" t="s">
        <v>820</v>
      </c>
      <c r="C8" s="377"/>
      <c r="D8" s="34"/>
      <c r="E8" s="381"/>
    </row>
    <row r="9" spans="1:5" ht="18.75">
      <c r="A9" s="253" t="s">
        <v>825</v>
      </c>
      <c r="B9" s="254" t="s">
        <v>824</v>
      </c>
      <c r="C9" s="377">
        <v>57</v>
      </c>
      <c r="D9" s="34"/>
      <c r="E9" s="34"/>
    </row>
    <row r="10" spans="1:5" ht="18.75">
      <c r="A10" s="253" t="s">
        <v>826</v>
      </c>
      <c r="B10" s="260" t="s">
        <v>1239</v>
      </c>
      <c r="C10" s="377"/>
      <c r="D10" s="34"/>
      <c r="E10" s="34"/>
    </row>
    <row r="11" spans="1:5" ht="18.75">
      <c r="A11" s="253" t="s">
        <v>1233</v>
      </c>
      <c r="B11" s="260" t="s">
        <v>1240</v>
      </c>
      <c r="C11" s="378"/>
      <c r="D11" s="34"/>
      <c r="E11" s="34"/>
    </row>
    <row r="12" spans="1:5" ht="18.75">
      <c r="A12" s="253" t="s">
        <v>1241</v>
      </c>
      <c r="B12" s="262" t="s">
        <v>1234</v>
      </c>
      <c r="C12" s="377">
        <v>300</v>
      </c>
      <c r="D12" s="34"/>
      <c r="E12" s="34">
        <v>96</v>
      </c>
    </row>
    <row r="13" spans="1:5" ht="18.75">
      <c r="A13" s="253" t="s">
        <v>1242</v>
      </c>
      <c r="B13" s="262" t="s">
        <v>1235</v>
      </c>
      <c r="C13" s="377"/>
      <c r="D13" s="34"/>
      <c r="E13" s="34">
        <v>204</v>
      </c>
    </row>
    <row r="14" spans="1:5" ht="18.75">
      <c r="A14" s="253" t="s">
        <v>1243</v>
      </c>
      <c r="B14" s="254" t="s">
        <v>528</v>
      </c>
      <c r="C14" s="377">
        <v>264</v>
      </c>
      <c r="D14" s="34"/>
      <c r="E14" s="34"/>
    </row>
    <row r="15" spans="1:5" ht="18.75">
      <c r="A15" s="253" t="s">
        <v>1244</v>
      </c>
      <c r="B15" s="254" t="s">
        <v>1236</v>
      </c>
      <c r="C15" s="377"/>
      <c r="D15" s="34"/>
      <c r="E15" s="34"/>
    </row>
    <row r="16" spans="1:5" ht="19.5" thickBot="1">
      <c r="A16" s="264" t="s">
        <v>1245</v>
      </c>
      <c r="B16" s="265" t="s">
        <v>791</v>
      </c>
      <c r="C16" s="377"/>
      <c r="D16" s="34"/>
      <c r="E16" s="34">
        <v>258</v>
      </c>
    </row>
    <row r="17" spans="1:5" ht="19.5" thickBot="1">
      <c r="A17" s="568" t="s">
        <v>1327</v>
      </c>
      <c r="B17" s="569" t="s">
        <v>1249</v>
      </c>
      <c r="C17" s="379">
        <f>SUM(C6:C16)</f>
        <v>3781</v>
      </c>
      <c r="D17" s="379">
        <f>SUM(D6:D16)</f>
        <v>0</v>
      </c>
      <c r="E17" s="379">
        <f>SUM(E6:E16)</f>
        <v>3880</v>
      </c>
    </row>
    <row r="18" spans="1:5" ht="19.5" thickBot="1">
      <c r="A18" s="557" t="s">
        <v>1329</v>
      </c>
      <c r="B18" s="558" t="s">
        <v>1248</v>
      </c>
      <c r="C18" s="377"/>
      <c r="D18" s="34"/>
      <c r="E18" s="34"/>
    </row>
    <row r="19" spans="1:5" ht="19.5" thickBot="1">
      <c r="A19" s="557" t="s">
        <v>1328</v>
      </c>
      <c r="B19" s="558" t="s">
        <v>1246</v>
      </c>
      <c r="C19" s="377"/>
      <c r="D19" s="34"/>
      <c r="E19" s="34"/>
    </row>
    <row r="20" spans="1:5" ht="19.5" thickBot="1">
      <c r="A20" s="557" t="s">
        <v>1253</v>
      </c>
      <c r="B20" s="558" t="s">
        <v>19</v>
      </c>
      <c r="C20" s="377"/>
      <c r="D20" s="34"/>
      <c r="E20" s="34"/>
    </row>
    <row r="21" spans="1:5" ht="19.5" thickBot="1">
      <c r="A21" s="557" t="s">
        <v>1254</v>
      </c>
      <c r="B21" s="558" t="s">
        <v>889</v>
      </c>
      <c r="C21" s="377"/>
      <c r="D21" s="34"/>
      <c r="E21" s="34"/>
    </row>
    <row r="22" spans="1:5" ht="19.5" thickBot="1">
      <c r="A22" s="568" t="s">
        <v>1330</v>
      </c>
      <c r="B22" s="569" t="s">
        <v>1247</v>
      </c>
      <c r="C22" s="377">
        <f>SUM(C18:C21)</f>
        <v>0</v>
      </c>
      <c r="D22" s="377">
        <f>SUM(D18:D21)</f>
        <v>0</v>
      </c>
      <c r="E22" s="377">
        <f>SUM(E18:E21)</f>
        <v>0</v>
      </c>
    </row>
    <row r="23" spans="1:5" ht="27" customHeight="1" thickBot="1">
      <c r="A23" s="268" t="s">
        <v>1250</v>
      </c>
      <c r="B23" s="269" t="s">
        <v>1237</v>
      </c>
      <c r="C23" s="379">
        <f>SUM(C22,C17)</f>
        <v>3781</v>
      </c>
      <c r="D23" s="379">
        <f>SUM(D22,D17)</f>
        <v>0</v>
      </c>
      <c r="E23" s="379">
        <f>SUM(E22,E17)</f>
        <v>3880</v>
      </c>
    </row>
    <row r="24" spans="1:5" ht="19.5" thickBot="1">
      <c r="A24" s="270"/>
      <c r="B24" s="271"/>
      <c r="C24" s="377"/>
      <c r="D24" s="34"/>
      <c r="E24" s="34"/>
    </row>
    <row r="25" spans="1:6" ht="18.75">
      <c r="A25" s="272" t="s">
        <v>1255</v>
      </c>
      <c r="B25" s="97" t="s">
        <v>590</v>
      </c>
      <c r="C25" s="275">
        <v>940</v>
      </c>
      <c r="D25" s="44"/>
      <c r="E25" s="118">
        <f>F25*27%</f>
        <v>966.6</v>
      </c>
      <c r="F25" s="21">
        <f>E6+E7+E8+E9+E10+E11+E16+E22</f>
        <v>3580</v>
      </c>
    </row>
    <row r="26" spans="1:6" ht="18.75">
      <c r="A26" s="559" t="s">
        <v>1256</v>
      </c>
      <c r="B26" s="97" t="s">
        <v>1251</v>
      </c>
      <c r="C26" s="275"/>
      <c r="D26" s="44"/>
      <c r="E26" s="118"/>
      <c r="F26" s="21">
        <f>E12+E13</f>
        <v>300</v>
      </c>
    </row>
    <row r="27" spans="1:5" ht="18.75">
      <c r="A27" s="276" t="s">
        <v>1252</v>
      </c>
      <c r="B27" s="255" t="s">
        <v>4</v>
      </c>
      <c r="C27" s="378">
        <v>50</v>
      </c>
      <c r="D27" s="34"/>
      <c r="E27" s="118">
        <f>F26*16.67%</f>
        <v>50.010000000000005</v>
      </c>
    </row>
    <row r="28" spans="1:5" ht="19.5" thickBot="1">
      <c r="A28" s="462" t="s">
        <v>1257</v>
      </c>
      <c r="B28" s="255" t="s">
        <v>635</v>
      </c>
      <c r="C28" s="378">
        <v>58</v>
      </c>
      <c r="D28" s="34"/>
      <c r="E28" s="118">
        <f>F26*19.04%</f>
        <v>57.12</v>
      </c>
    </row>
    <row r="29" spans="1:5" ht="19.5" thickBot="1">
      <c r="A29" s="582" t="s">
        <v>1258</v>
      </c>
      <c r="B29" s="583" t="s">
        <v>69</v>
      </c>
      <c r="C29" s="378">
        <f>SUM(C25:C28)</f>
        <v>1048</v>
      </c>
      <c r="D29" s="378">
        <f>SUM(D25:D28)</f>
        <v>0</v>
      </c>
      <c r="E29" s="378">
        <f>SUM(E25:E28)</f>
        <v>1073.73</v>
      </c>
    </row>
    <row r="30" spans="1:5" ht="19.5" thickBot="1">
      <c r="A30" s="282"/>
      <c r="B30" s="283"/>
      <c r="C30" s="377"/>
      <c r="D30" s="34"/>
      <c r="E30" s="34"/>
    </row>
    <row r="31" spans="1:5" ht="18.75">
      <c r="A31" s="249" t="s">
        <v>1259</v>
      </c>
      <c r="B31" s="291" t="s">
        <v>533</v>
      </c>
      <c r="C31" s="377"/>
      <c r="D31" s="34"/>
      <c r="E31" s="34"/>
    </row>
    <row r="32" spans="1:5" ht="18.75">
      <c r="A32" s="253" t="s">
        <v>1260</v>
      </c>
      <c r="B32" s="254" t="s">
        <v>534</v>
      </c>
      <c r="C32" s="377"/>
      <c r="D32" s="41"/>
      <c r="E32" s="34"/>
    </row>
    <row r="33" spans="1:5" ht="18.75">
      <c r="A33" s="253" t="s">
        <v>1262</v>
      </c>
      <c r="B33" s="254" t="s">
        <v>1261</v>
      </c>
      <c r="C33" s="377"/>
      <c r="D33" s="41"/>
      <c r="E33" s="34"/>
    </row>
    <row r="34" spans="1:5" ht="18.75">
      <c r="A34" s="253" t="s">
        <v>1263</v>
      </c>
      <c r="B34" s="254" t="s">
        <v>124</v>
      </c>
      <c r="C34" s="377"/>
      <c r="D34" s="41"/>
      <c r="E34" s="34"/>
    </row>
    <row r="35" spans="1:5" ht="18.75">
      <c r="A35" s="253" t="s">
        <v>1264</v>
      </c>
      <c r="B35" s="254" t="s">
        <v>1265</v>
      </c>
      <c r="C35" s="570"/>
      <c r="D35" s="41"/>
      <c r="E35" s="34"/>
    </row>
    <row r="36" spans="1:5" ht="18.75">
      <c r="A36" s="253" t="s">
        <v>1335</v>
      </c>
      <c r="B36" s="562" t="s">
        <v>548</v>
      </c>
      <c r="C36" s="570">
        <f>SUM(C31:C35)</f>
        <v>0</v>
      </c>
      <c r="D36" s="570">
        <f>SUM(D31:D35)</f>
        <v>0</v>
      </c>
      <c r="E36" s="570">
        <f>SUM(E31:E35)</f>
        <v>0</v>
      </c>
    </row>
    <row r="37" spans="1:5" ht="18.75">
      <c r="A37" s="253" t="s">
        <v>1342</v>
      </c>
      <c r="B37" s="254" t="s">
        <v>1343</v>
      </c>
      <c r="C37" s="570"/>
      <c r="D37" s="570"/>
      <c r="E37" s="570"/>
    </row>
    <row r="38" spans="1:5" ht="18.75">
      <c r="A38" s="253" t="s">
        <v>1344</v>
      </c>
      <c r="B38" s="254" t="s">
        <v>1267</v>
      </c>
      <c r="C38" s="570"/>
      <c r="D38" s="34"/>
      <c r="E38" s="34"/>
    </row>
    <row r="39" spans="1:5" ht="18.75">
      <c r="A39" s="253" t="s">
        <v>1345</v>
      </c>
      <c r="B39" s="254" t="s">
        <v>88</v>
      </c>
      <c r="C39" s="570"/>
      <c r="D39" s="34"/>
      <c r="E39" s="34"/>
    </row>
    <row r="40" spans="1:5" ht="18.75">
      <c r="A40" s="253" t="s">
        <v>1346</v>
      </c>
      <c r="B40" s="254" t="s">
        <v>1268</v>
      </c>
      <c r="C40" s="377">
        <v>80</v>
      </c>
      <c r="D40" s="34">
        <v>80</v>
      </c>
      <c r="E40" s="34">
        <v>80</v>
      </c>
    </row>
    <row r="41" spans="1:6" ht="19.5" thickBot="1">
      <c r="A41" s="288" t="s">
        <v>1347</v>
      </c>
      <c r="B41" s="289" t="s">
        <v>1269</v>
      </c>
      <c r="C41" s="377">
        <v>1250</v>
      </c>
      <c r="D41" s="34">
        <v>780</v>
      </c>
      <c r="E41" s="34">
        <v>1250</v>
      </c>
      <c r="F41" t="s">
        <v>1518</v>
      </c>
    </row>
    <row r="42" spans="1:5" ht="17.25" customHeight="1" thickBot="1">
      <c r="A42" s="268" t="s">
        <v>1266</v>
      </c>
      <c r="B42" s="571" t="s">
        <v>1270</v>
      </c>
      <c r="C42" s="377">
        <f>SUM(C37:C41)</f>
        <v>1330</v>
      </c>
      <c r="D42" s="377">
        <f>SUM(D38:D41)</f>
        <v>860</v>
      </c>
      <c r="E42" s="377">
        <f>SUM(E38:E41)</f>
        <v>1330</v>
      </c>
    </row>
    <row r="43" spans="1:5" ht="22.5" customHeight="1" thickBot="1">
      <c r="A43" s="572" t="s">
        <v>1300</v>
      </c>
      <c r="B43" s="573" t="s">
        <v>595</v>
      </c>
      <c r="C43" s="574">
        <f>SUM(C42,C36)</f>
        <v>1330</v>
      </c>
      <c r="D43" s="574">
        <f>SUM(D42,D36)</f>
        <v>860</v>
      </c>
      <c r="E43" s="574">
        <f>SUM(E42,E36)</f>
        <v>1330</v>
      </c>
    </row>
    <row r="44" spans="1:5" ht="18.75">
      <c r="A44" s="249" t="s">
        <v>1271</v>
      </c>
      <c r="B44" s="291" t="s">
        <v>1348</v>
      </c>
      <c r="C44" s="377"/>
      <c r="D44" s="34"/>
      <c r="E44" s="34"/>
    </row>
    <row r="45" spans="1:5" ht="18.75">
      <c r="A45" s="494" t="s">
        <v>1350</v>
      </c>
      <c r="B45" s="590" t="s">
        <v>1351</v>
      </c>
      <c r="C45" s="377"/>
      <c r="D45" s="34"/>
      <c r="E45" s="34"/>
    </row>
    <row r="46" spans="1:5" ht="18.75">
      <c r="A46" s="253" t="s">
        <v>1272</v>
      </c>
      <c r="B46" s="254" t="s">
        <v>1349</v>
      </c>
      <c r="C46" s="295"/>
      <c r="D46" s="566"/>
      <c r="E46" s="34"/>
    </row>
    <row r="47" spans="1:5" ht="18.75">
      <c r="A47" s="575" t="s">
        <v>1301</v>
      </c>
      <c r="B47" s="576" t="s">
        <v>1366</v>
      </c>
      <c r="C47" s="577">
        <f>SUM(C44:C46)</f>
        <v>0</v>
      </c>
      <c r="D47" s="577">
        <f>SUM(D44:D46)</f>
        <v>0</v>
      </c>
      <c r="E47" s="577">
        <f>SUM(E44:E46)</f>
        <v>0</v>
      </c>
    </row>
    <row r="48" spans="1:5" ht="18.75">
      <c r="A48" s="253" t="s">
        <v>1275</v>
      </c>
      <c r="B48" s="254" t="s">
        <v>544</v>
      </c>
      <c r="C48" s="295"/>
      <c r="D48" s="566"/>
      <c r="E48" s="34"/>
    </row>
    <row r="49" spans="1:5" ht="18.75">
      <c r="A49" s="253" t="s">
        <v>1274</v>
      </c>
      <c r="B49" s="254" t="s">
        <v>543</v>
      </c>
      <c r="C49" s="295"/>
      <c r="D49" s="34"/>
      <c r="E49" s="34"/>
    </row>
    <row r="50" spans="1:5" ht="18.75">
      <c r="A50" s="253" t="s">
        <v>1276</v>
      </c>
      <c r="B50" s="254" t="s">
        <v>503</v>
      </c>
      <c r="C50" s="295"/>
      <c r="D50" s="34"/>
      <c r="E50" s="34"/>
    </row>
    <row r="51" spans="1:5" ht="18.75">
      <c r="A51" s="575" t="s">
        <v>1273</v>
      </c>
      <c r="B51" s="576" t="s">
        <v>1277</v>
      </c>
      <c r="C51" s="577">
        <f>SUM(C48:C50)</f>
        <v>0</v>
      </c>
      <c r="D51" s="577">
        <f>SUM(D48:D50)</f>
        <v>0</v>
      </c>
      <c r="E51" s="577">
        <f>SUM(E48:E50)</f>
        <v>0</v>
      </c>
    </row>
    <row r="52" spans="1:6" ht="18.75">
      <c r="A52" s="611" t="s">
        <v>1332</v>
      </c>
      <c r="B52" s="562" t="s">
        <v>1278</v>
      </c>
      <c r="C52" s="295">
        <v>580</v>
      </c>
      <c r="D52" s="34">
        <v>330</v>
      </c>
      <c r="E52" s="34">
        <v>580</v>
      </c>
      <c r="F52" t="s">
        <v>1519</v>
      </c>
    </row>
    <row r="53" spans="1:6" ht="18.75">
      <c r="A53" s="253" t="s">
        <v>1280</v>
      </c>
      <c r="B53" s="254" t="s">
        <v>26</v>
      </c>
      <c r="C53" s="295">
        <v>2000</v>
      </c>
      <c r="D53" s="41">
        <v>1300</v>
      </c>
      <c r="E53" s="34">
        <v>2000</v>
      </c>
      <c r="F53" t="s">
        <v>1520</v>
      </c>
    </row>
    <row r="54" spans="1:5" ht="18.75">
      <c r="A54" s="253" t="s">
        <v>1281</v>
      </c>
      <c r="B54" s="254" t="s">
        <v>1352</v>
      </c>
      <c r="C54" s="377"/>
      <c r="D54" s="34"/>
      <c r="E54" s="34"/>
    </row>
    <row r="55" spans="1:5" ht="18.75">
      <c r="A55" s="575" t="s">
        <v>1283</v>
      </c>
      <c r="B55" s="576" t="s">
        <v>1282</v>
      </c>
      <c r="C55" s="574">
        <f>SUM(C53:C54)</f>
        <v>2000</v>
      </c>
      <c r="D55" s="574">
        <f>SUM(D53:D54)</f>
        <v>1300</v>
      </c>
      <c r="E55" s="574">
        <f>SUM(E53:E54)</f>
        <v>2000</v>
      </c>
    </row>
    <row r="56" spans="1:5" ht="18.75">
      <c r="A56" s="575" t="s">
        <v>1284</v>
      </c>
      <c r="B56" s="588" t="s">
        <v>1333</v>
      </c>
      <c r="C56" s="589"/>
      <c r="D56" s="589"/>
      <c r="E56" s="589"/>
    </row>
    <row r="57" spans="1:5" ht="18.75">
      <c r="A57" s="288"/>
      <c r="B57" s="554" t="s">
        <v>943</v>
      </c>
      <c r="C57" s="554"/>
      <c r="D57" s="554"/>
      <c r="E57" s="554"/>
    </row>
    <row r="58" spans="1:5" ht="18.75">
      <c r="A58" s="288" t="s">
        <v>1353</v>
      </c>
      <c r="B58" s="554" t="s">
        <v>547</v>
      </c>
      <c r="C58" s="554"/>
      <c r="D58" s="554"/>
      <c r="E58" s="554"/>
    </row>
    <row r="59" spans="1:5" ht="18.75">
      <c r="A59" s="288" t="s">
        <v>1354</v>
      </c>
      <c r="B59" s="554" t="s">
        <v>1355</v>
      </c>
      <c r="C59" s="554"/>
      <c r="D59" s="554"/>
      <c r="E59" s="554"/>
    </row>
    <row r="60" spans="1:5" ht="27" customHeight="1">
      <c r="A60" s="561" t="s">
        <v>1285</v>
      </c>
      <c r="B60" s="552" t="s">
        <v>945</v>
      </c>
      <c r="C60" s="591">
        <f>SUM(C58:C59)</f>
        <v>0</v>
      </c>
      <c r="D60" s="591">
        <f>SUM(D58:D59)</f>
        <v>0</v>
      </c>
      <c r="E60" s="591">
        <f>SUM(E58:E59)</f>
        <v>0</v>
      </c>
    </row>
    <row r="61" spans="1:5" ht="23.25" customHeight="1">
      <c r="A61" s="462" t="s">
        <v>1356</v>
      </c>
      <c r="B61" s="553" t="s">
        <v>1362</v>
      </c>
      <c r="C61" s="591"/>
      <c r="D61" s="591"/>
      <c r="E61" s="591"/>
    </row>
    <row r="62" spans="1:5" ht="23.25" customHeight="1">
      <c r="A62" s="462" t="s">
        <v>1357</v>
      </c>
      <c r="B62" s="553" t="s">
        <v>1358</v>
      </c>
      <c r="C62" s="591"/>
      <c r="D62" s="591"/>
      <c r="E62" s="591"/>
    </row>
    <row r="63" spans="1:6" ht="23.25" customHeight="1">
      <c r="A63" s="462" t="s">
        <v>1359</v>
      </c>
      <c r="B63" s="553" t="s">
        <v>9</v>
      </c>
      <c r="C63" s="591">
        <v>150</v>
      </c>
      <c r="D63" s="591">
        <v>150</v>
      </c>
      <c r="E63" s="591">
        <v>150</v>
      </c>
      <c r="F63" t="s">
        <v>1521</v>
      </c>
    </row>
    <row r="64" spans="1:6" ht="23.25" customHeight="1" thickBot="1">
      <c r="A64" s="462" t="s">
        <v>1360</v>
      </c>
      <c r="B64" s="553" t="s">
        <v>1361</v>
      </c>
      <c r="C64" s="591"/>
      <c r="D64" s="591"/>
      <c r="E64" s="591"/>
      <c r="F64" s="21" t="s">
        <v>1368</v>
      </c>
    </row>
    <row r="65" spans="1:5" ht="17.25" customHeight="1" thickBot="1">
      <c r="A65" s="298" t="s">
        <v>1286</v>
      </c>
      <c r="B65" s="552" t="s">
        <v>948</v>
      </c>
      <c r="C65" s="591">
        <f>SUM(C61:C64)</f>
        <v>150</v>
      </c>
      <c r="D65" s="591">
        <f>SUM(D61:D64)</f>
        <v>150</v>
      </c>
      <c r="E65" s="591">
        <f>SUM(E61:E64)</f>
        <v>150</v>
      </c>
    </row>
    <row r="66" spans="1:5" ht="25.5" customHeight="1">
      <c r="A66" s="578" t="s">
        <v>1279</v>
      </c>
      <c r="B66" s="579" t="s">
        <v>1287</v>
      </c>
      <c r="C66" s="603">
        <f>SUM(C65+C60+C56+C55+C52)</f>
        <v>2730</v>
      </c>
      <c r="D66" s="603">
        <f>SUM(D65+D60+D56+D55+D52+D51)</f>
        <v>1780</v>
      </c>
      <c r="E66" s="603">
        <f>SUM(E65+E60+E56+E55+E52)</f>
        <v>2730</v>
      </c>
    </row>
    <row r="67" spans="1:5" ht="18.75">
      <c r="A67" s="253" t="s">
        <v>1288</v>
      </c>
      <c r="B67" s="553" t="s">
        <v>952</v>
      </c>
      <c r="C67" s="553"/>
      <c r="D67" s="553"/>
      <c r="E67" s="553"/>
    </row>
    <row r="68" spans="1:5" ht="18.75">
      <c r="A68" s="253" t="s">
        <v>1289</v>
      </c>
      <c r="B68" s="553" t="s">
        <v>954</v>
      </c>
      <c r="C68" s="553"/>
      <c r="D68" s="553"/>
      <c r="E68" s="553"/>
    </row>
    <row r="69" spans="1:5" ht="24" customHeight="1">
      <c r="A69" s="575" t="s">
        <v>1291</v>
      </c>
      <c r="B69" s="579" t="s">
        <v>1290</v>
      </c>
      <c r="C69" s="579">
        <f>SUM(C67:C68)</f>
        <v>0</v>
      </c>
      <c r="D69" s="579">
        <f>SUM(D67:D68)</f>
        <v>0</v>
      </c>
      <c r="E69" s="579">
        <f>SUM(E67:E68)</f>
        <v>0</v>
      </c>
    </row>
    <row r="70" spans="1:7" ht="26.25" customHeight="1" thickBot="1">
      <c r="A70" s="561" t="s">
        <v>1294</v>
      </c>
      <c r="B70" s="552" t="s">
        <v>958</v>
      </c>
      <c r="C70" s="552">
        <v>948</v>
      </c>
      <c r="D70" s="552">
        <v>668</v>
      </c>
      <c r="E70" s="552">
        <v>1097</v>
      </c>
      <c r="F70" s="597">
        <f>E43+E47+E66+E74+E75</f>
        <v>4060</v>
      </c>
      <c r="G70" s="21">
        <f>F70*27%</f>
        <v>1096.2</v>
      </c>
    </row>
    <row r="71" spans="1:5" ht="27" customHeight="1" thickBot="1">
      <c r="A71" s="268" t="s">
        <v>1295</v>
      </c>
      <c r="B71" s="552" t="s">
        <v>960</v>
      </c>
      <c r="C71" s="552"/>
      <c r="D71" s="552"/>
      <c r="E71" s="552"/>
    </row>
    <row r="72" spans="1:5" ht="19.5" thickBot="1">
      <c r="A72" s="210" t="s">
        <v>1296</v>
      </c>
      <c r="B72" s="552" t="s">
        <v>1293</v>
      </c>
      <c r="C72" s="552"/>
      <c r="D72" s="552"/>
      <c r="E72" s="552"/>
    </row>
    <row r="73" spans="1:5" ht="24.75" customHeight="1">
      <c r="A73" s="593" t="s">
        <v>1298</v>
      </c>
      <c r="B73" s="594" t="s">
        <v>1363</v>
      </c>
      <c r="C73" s="594"/>
      <c r="D73" s="552"/>
      <c r="E73" s="552"/>
    </row>
    <row r="74" spans="1:6" ht="24.75" customHeight="1">
      <c r="A74" s="592" t="s">
        <v>1364</v>
      </c>
      <c r="B74" s="563" t="s">
        <v>1365</v>
      </c>
      <c r="C74" s="563"/>
      <c r="D74" s="553"/>
      <c r="E74" s="553"/>
      <c r="F74" s="21" t="s">
        <v>1369</v>
      </c>
    </row>
    <row r="75" spans="1:5" ht="24.75" customHeight="1">
      <c r="A75" s="592" t="s">
        <v>1370</v>
      </c>
      <c r="B75" s="563" t="s">
        <v>1367</v>
      </c>
      <c r="C75" s="563"/>
      <c r="D75" s="553"/>
      <c r="E75" s="553"/>
    </row>
    <row r="76" spans="1:5" ht="18.75">
      <c r="A76" s="98" t="s">
        <v>1297</v>
      </c>
      <c r="B76" s="552" t="s">
        <v>970</v>
      </c>
      <c r="C76" s="552">
        <f>SUM(C74:C75)</f>
        <v>0</v>
      </c>
      <c r="D76" s="552">
        <f>SUM(D74:D75)</f>
        <v>0</v>
      </c>
      <c r="E76" s="552">
        <f>SUM(E74:E75)</f>
        <v>0</v>
      </c>
    </row>
    <row r="77" spans="1:5" ht="24.75" customHeight="1">
      <c r="A77" s="580" t="s">
        <v>1292</v>
      </c>
      <c r="B77" s="579" t="s">
        <v>1334</v>
      </c>
      <c r="C77" s="579">
        <f>C76+C73+C72+C71+C70</f>
        <v>948</v>
      </c>
      <c r="D77" s="579">
        <f>D76+D73+D72+D71+D70</f>
        <v>668</v>
      </c>
      <c r="E77" s="579">
        <f>E76+E73+E72+E71+E70</f>
        <v>1097</v>
      </c>
    </row>
    <row r="78" spans="1:10" ht="24.75" customHeight="1">
      <c r="A78" s="587" t="s">
        <v>1299</v>
      </c>
      <c r="B78" s="585" t="s">
        <v>70</v>
      </c>
      <c r="C78" s="579">
        <f>SUM(C77+C69+C66+C47+C43)</f>
        <v>5008</v>
      </c>
      <c r="D78" s="579">
        <f>SUM(D77+D69+D66+D47+D43)</f>
        <v>3308</v>
      </c>
      <c r="E78" s="579">
        <f>SUM(E77+E69+E66+E47+E43)</f>
        <v>5157</v>
      </c>
      <c r="F78" s="560"/>
      <c r="G78" s="560"/>
      <c r="H78" s="560"/>
      <c r="I78" s="560"/>
      <c r="J78" s="560"/>
    </row>
    <row r="79" spans="1:10" ht="24.75" customHeight="1">
      <c r="A79" s="98" t="s">
        <v>1307</v>
      </c>
      <c r="B79" s="553" t="s">
        <v>1302</v>
      </c>
      <c r="C79" s="552"/>
      <c r="D79" s="552"/>
      <c r="E79" s="552"/>
      <c r="F79" s="560"/>
      <c r="G79" s="560"/>
      <c r="H79" s="560"/>
      <c r="I79" s="560"/>
      <c r="J79" s="560"/>
    </row>
    <row r="80" spans="1:10" ht="24.75" customHeight="1">
      <c r="A80" s="98" t="s">
        <v>1306</v>
      </c>
      <c r="B80" s="553" t="s">
        <v>1308</v>
      </c>
      <c r="C80" s="552"/>
      <c r="D80" s="552"/>
      <c r="E80" s="552"/>
      <c r="F80" s="560"/>
      <c r="G80" s="560"/>
      <c r="H80" s="560"/>
      <c r="I80" s="560"/>
      <c r="J80" s="560"/>
    </row>
    <row r="81" spans="1:10" ht="24.75" customHeight="1">
      <c r="A81" s="98"/>
      <c r="B81" s="97" t="s">
        <v>1304</v>
      </c>
      <c r="C81" s="552"/>
      <c r="D81" s="552"/>
      <c r="E81" s="552"/>
      <c r="F81" s="560"/>
      <c r="G81" s="560"/>
      <c r="H81" s="560"/>
      <c r="I81" s="560"/>
      <c r="J81" s="560"/>
    </row>
    <row r="82" spans="1:5" ht="18.75">
      <c r="A82" s="98"/>
      <c r="B82" s="97" t="s">
        <v>1303</v>
      </c>
      <c r="C82" s="377"/>
      <c r="D82" s="34"/>
      <c r="E82" s="34"/>
    </row>
    <row r="83" spans="1:5" ht="18.75">
      <c r="A83" s="98"/>
      <c r="B83" s="567" t="s">
        <v>1305</v>
      </c>
      <c r="C83" s="377"/>
      <c r="D83" s="34"/>
      <c r="E83" s="34"/>
    </row>
    <row r="84" spans="1:5" ht="25.5">
      <c r="A84" s="580" t="s">
        <v>1341</v>
      </c>
      <c r="B84" s="579" t="s">
        <v>1337</v>
      </c>
      <c r="C84" s="377">
        <f>SUM(C80:C83)</f>
        <v>0</v>
      </c>
      <c r="D84" s="377">
        <f>SUM(D80:D83)</f>
        <v>0</v>
      </c>
      <c r="E84" s="377">
        <f>SUM(E80:E83)</f>
        <v>0</v>
      </c>
    </row>
    <row r="85" spans="1:5" s="564" customFormat="1" ht="18.75">
      <c r="A85" s="587" t="s">
        <v>1336</v>
      </c>
      <c r="B85" s="587" t="s">
        <v>1340</v>
      </c>
      <c r="C85" s="574">
        <f>SUM(C79+C84)</f>
        <v>0</v>
      </c>
      <c r="D85" s="574">
        <f>SUM(D79+D84)</f>
        <v>0</v>
      </c>
      <c r="E85" s="574">
        <f>SUM(E79+E84)</f>
        <v>0</v>
      </c>
    </row>
    <row r="86" spans="1:5" ht="18.75">
      <c r="A86" s="97" t="s">
        <v>1309</v>
      </c>
      <c r="B86" s="553" t="s">
        <v>1113</v>
      </c>
      <c r="C86" s="553"/>
      <c r="D86" s="553"/>
      <c r="E86" s="553"/>
    </row>
    <row r="87" spans="1:5" s="382" customFormat="1" ht="15">
      <c r="A87" s="97" t="s">
        <v>1310</v>
      </c>
      <c r="B87" s="553" t="s">
        <v>1371</v>
      </c>
      <c r="C87" s="553"/>
      <c r="D87" s="553"/>
      <c r="E87" s="553"/>
    </row>
    <row r="88" spans="1:5" ht="18.75">
      <c r="A88" s="172" t="s">
        <v>1311</v>
      </c>
      <c r="B88" s="553" t="s">
        <v>1117</v>
      </c>
      <c r="C88" s="553"/>
      <c r="D88" s="553"/>
      <c r="E88" s="553"/>
    </row>
    <row r="89" spans="1:5" ht="24" customHeight="1">
      <c r="A89" s="172" t="s">
        <v>1312</v>
      </c>
      <c r="B89" s="553" t="s">
        <v>1118</v>
      </c>
      <c r="C89" s="553"/>
      <c r="D89" s="553"/>
      <c r="E89" s="553"/>
    </row>
    <row r="90" spans="1:5" ht="26.25" customHeight="1">
      <c r="A90" s="172" t="s">
        <v>1313</v>
      </c>
      <c r="B90" s="553" t="s">
        <v>1120</v>
      </c>
      <c r="C90" s="553"/>
      <c r="D90" s="553"/>
      <c r="E90" s="553"/>
    </row>
    <row r="91" spans="1:5" ht="25.5" customHeight="1">
      <c r="A91" s="172" t="s">
        <v>1314</v>
      </c>
      <c r="B91" s="553" t="s">
        <v>1126</v>
      </c>
      <c r="C91" s="553"/>
      <c r="D91" s="553"/>
      <c r="E91" s="553"/>
    </row>
    <row r="92" spans="1:5" ht="18.75">
      <c r="A92" s="584" t="s">
        <v>1315</v>
      </c>
      <c r="B92" s="585" t="s">
        <v>1339</v>
      </c>
      <c r="C92" s="552">
        <f>SUM(C86:C91)</f>
        <v>0</v>
      </c>
      <c r="D92" s="552">
        <f>SUM(D86:D91)</f>
        <v>0</v>
      </c>
      <c r="E92" s="552">
        <f>SUM(E86:E91)</f>
        <v>0</v>
      </c>
    </row>
    <row r="93" spans="1:5" ht="18.75">
      <c r="A93" s="172" t="s">
        <v>1316</v>
      </c>
      <c r="B93" s="553" t="s">
        <v>1130</v>
      </c>
      <c r="C93" s="553"/>
      <c r="D93" s="553"/>
      <c r="E93" s="553"/>
    </row>
    <row r="94" spans="1:5" ht="18.75">
      <c r="A94" s="172" t="s">
        <v>1317</v>
      </c>
      <c r="B94" s="553" t="s">
        <v>1132</v>
      </c>
      <c r="C94" s="553"/>
      <c r="D94" s="553"/>
      <c r="E94" s="553"/>
    </row>
    <row r="95" spans="1:5" ht="18.75">
      <c r="A95" s="172" t="s">
        <v>1318</v>
      </c>
      <c r="B95" s="553" t="s">
        <v>1134</v>
      </c>
      <c r="C95" s="553"/>
      <c r="D95" s="553"/>
      <c r="E95" s="553"/>
    </row>
    <row r="96" spans="1:5" ht="24" customHeight="1">
      <c r="A96" s="172" t="s">
        <v>1319</v>
      </c>
      <c r="B96" s="553" t="s">
        <v>1136</v>
      </c>
      <c r="C96" s="553"/>
      <c r="D96" s="553"/>
      <c r="E96" s="553"/>
    </row>
    <row r="97" spans="1:5" ht="18.75">
      <c r="A97" s="584" t="s">
        <v>1320</v>
      </c>
      <c r="B97" s="585" t="s">
        <v>1338</v>
      </c>
      <c r="C97" s="552">
        <f>SUM(C93:C96)</f>
        <v>0</v>
      </c>
      <c r="D97" s="552">
        <f>SUM(D93:D96)</f>
        <v>0</v>
      </c>
      <c r="E97" s="552">
        <f>SUM(E93:E96)</f>
        <v>0</v>
      </c>
    </row>
    <row r="98" spans="1:5" ht="25.5" customHeight="1">
      <c r="A98" s="172" t="s">
        <v>1323</v>
      </c>
      <c r="B98" s="555" t="s">
        <v>1325</v>
      </c>
      <c r="C98" s="555"/>
      <c r="D98" s="555"/>
      <c r="E98" s="555"/>
    </row>
    <row r="99" spans="1:5" ht="27" customHeight="1">
      <c r="A99" s="457" t="s">
        <v>1322</v>
      </c>
      <c r="B99" s="553" t="s">
        <v>1321</v>
      </c>
      <c r="C99" s="553"/>
      <c r="D99" s="553"/>
      <c r="E99" s="553"/>
    </row>
    <row r="100" spans="1:5" ht="18.75">
      <c r="A100" s="584" t="s">
        <v>1326</v>
      </c>
      <c r="B100" s="586" t="s">
        <v>1324</v>
      </c>
      <c r="C100" s="295">
        <f>SUM(C98:C99)</f>
        <v>0</v>
      </c>
      <c r="D100" s="295">
        <f>SUM(D98:D99)</f>
        <v>0</v>
      </c>
      <c r="E100" s="295">
        <f>SUM(E98:E99)</f>
        <v>0</v>
      </c>
    </row>
    <row r="101" spans="1:5" ht="18.75">
      <c r="A101" s="34"/>
      <c r="B101" s="36" t="s">
        <v>118</v>
      </c>
      <c r="C101" s="581">
        <f>SUM(C100+C97+C92+C85+C78+C29+C23)</f>
        <v>9837</v>
      </c>
      <c r="D101" s="581">
        <f>SUM(D100+D97+D92+D85+D78+D29+D23)</f>
        <v>3308</v>
      </c>
      <c r="E101" s="581">
        <f>SUM(E100+E97+E92+E85+E78+E29+E23)</f>
        <v>10110.73</v>
      </c>
    </row>
  </sheetData>
  <sheetProtection/>
  <mergeCells count="1">
    <mergeCell ref="A2:E2"/>
  </mergeCells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2:L43"/>
  <sheetViews>
    <sheetView view="pageBreakPreview" zoomScale="60" zoomScalePageLayoutView="0" workbookViewId="0" topLeftCell="A1">
      <selection activeCell="I29" sqref="I29"/>
    </sheetView>
  </sheetViews>
  <sheetFormatPr defaultColWidth="8.66015625" defaultRowHeight="18"/>
  <cols>
    <col min="1" max="1" width="9" style="178" bestFit="1" customWidth="1"/>
    <col min="2" max="2" width="27.91015625" style="178" customWidth="1"/>
    <col min="3" max="4" width="7.66015625" style="178" customWidth="1"/>
    <col min="5" max="5" width="10.33203125" style="178" customWidth="1"/>
    <col min="6" max="6" width="2.25" style="195" customWidth="1"/>
    <col min="7" max="7" width="6.75" style="178" customWidth="1"/>
    <col min="8" max="8" width="11.33203125" style="178" customWidth="1"/>
    <col min="9" max="16384" width="8.91015625" style="178" customWidth="1"/>
  </cols>
  <sheetData>
    <row r="2" spans="1:9" ht="15.75">
      <c r="A2" s="187">
        <v>562912</v>
      </c>
      <c r="B2" s="187" t="s">
        <v>361</v>
      </c>
      <c r="D2" s="347" t="s">
        <v>282</v>
      </c>
      <c r="E2" s="347" t="s">
        <v>561</v>
      </c>
      <c r="F2" s="349">
        <v>41666</v>
      </c>
      <c r="G2" s="349" t="s">
        <v>614</v>
      </c>
      <c r="H2" s="184" t="s">
        <v>618</v>
      </c>
      <c r="I2" s="184" t="s">
        <v>616</v>
      </c>
    </row>
    <row r="3" spans="1:9" ht="15.75">
      <c r="A3" s="187"/>
      <c r="B3" s="187"/>
      <c r="C3" s="347"/>
      <c r="D3" s="347"/>
      <c r="E3" s="347"/>
      <c r="F3" s="346"/>
      <c r="G3" s="346"/>
      <c r="H3" s="184"/>
      <c r="I3" s="184"/>
    </row>
    <row r="4" spans="1:9" ht="15.75">
      <c r="A4" s="184"/>
      <c r="B4" s="184"/>
      <c r="C4" s="184"/>
      <c r="D4" s="184"/>
      <c r="E4" s="184"/>
      <c r="F4" s="346"/>
      <c r="G4" s="346"/>
      <c r="H4" s="184"/>
      <c r="I4" s="184"/>
    </row>
    <row r="5" spans="1:9" ht="15.75">
      <c r="A5" s="184">
        <v>5412</v>
      </c>
      <c r="B5" s="184" t="s">
        <v>360</v>
      </c>
      <c r="C5" s="185">
        <f>C41</f>
        <v>571379.4</v>
      </c>
      <c r="D5" s="184"/>
      <c r="E5" s="184"/>
      <c r="F5" s="346"/>
      <c r="G5" s="346"/>
      <c r="H5" s="184"/>
      <c r="I5" s="184"/>
    </row>
    <row r="6" spans="1:9" ht="15.75">
      <c r="A6" s="183">
        <v>54</v>
      </c>
      <c r="B6" s="183" t="s">
        <v>359</v>
      </c>
      <c r="C6" s="190">
        <f>SUM(C5:C5)</f>
        <v>571379.4</v>
      </c>
      <c r="D6" s="191">
        <f>C6/1000</f>
        <v>571.3794</v>
      </c>
      <c r="E6" s="191">
        <v>2271</v>
      </c>
      <c r="F6" s="346">
        <v>2470</v>
      </c>
      <c r="G6" s="346">
        <v>2470</v>
      </c>
      <c r="H6" s="184"/>
      <c r="I6" s="185">
        <f>(C40+C35)/1000</f>
        <v>2647.58</v>
      </c>
    </row>
    <row r="7" spans="1:9" ht="15.75">
      <c r="A7" s="183"/>
      <c r="B7" s="183"/>
      <c r="C7" s="190"/>
      <c r="D7" s="190"/>
      <c r="E7" s="190"/>
      <c r="F7" s="346"/>
      <c r="G7" s="346"/>
      <c r="H7" s="184"/>
      <c r="I7" s="184"/>
    </row>
    <row r="8" spans="1:9" s="189" customFormat="1" ht="15.75">
      <c r="A8" s="190">
        <v>56121</v>
      </c>
      <c r="B8" s="190" t="s">
        <v>358</v>
      </c>
      <c r="C8" s="191">
        <f>C42</f>
        <v>2687599.4</v>
      </c>
      <c r="D8" s="190"/>
      <c r="E8" s="190"/>
      <c r="F8" s="183"/>
      <c r="G8" s="183"/>
      <c r="H8" s="190"/>
      <c r="I8" s="190"/>
    </row>
    <row r="9" spans="1:9" s="188" customFormat="1" ht="15.75">
      <c r="A9" s="183">
        <v>56</v>
      </c>
      <c r="B9" s="183" t="s">
        <v>357</v>
      </c>
      <c r="C9" s="190">
        <f>SUM(C8)</f>
        <v>2687599.4</v>
      </c>
      <c r="D9" s="191">
        <f>C9/1000</f>
        <v>2687.5994</v>
      </c>
      <c r="E9" s="191">
        <v>563</v>
      </c>
      <c r="F9" s="183">
        <v>667</v>
      </c>
      <c r="G9" s="183">
        <v>667</v>
      </c>
      <c r="H9" s="183"/>
      <c r="I9" s="182">
        <f>(C36+C41)/1000</f>
        <v>714.8466000000001</v>
      </c>
    </row>
    <row r="10" spans="1:9" ht="15.75">
      <c r="A10" s="183"/>
      <c r="B10" s="183"/>
      <c r="C10" s="190"/>
      <c r="D10" s="190"/>
      <c r="E10" s="190"/>
      <c r="F10" s="346"/>
      <c r="G10" s="346"/>
      <c r="H10" s="184"/>
      <c r="I10" s="184"/>
    </row>
    <row r="11" spans="1:9" ht="15.75">
      <c r="A11" s="187"/>
      <c r="B11" s="187" t="s">
        <v>0</v>
      </c>
      <c r="C11" s="347">
        <f aca="true" t="shared" si="0" ref="C11:I11">SUM(C6,C9)</f>
        <v>3258978.8</v>
      </c>
      <c r="D11" s="348">
        <f t="shared" si="0"/>
        <v>3258.9788</v>
      </c>
      <c r="E11" s="348">
        <f t="shared" si="0"/>
        <v>2834</v>
      </c>
      <c r="F11" s="186">
        <f t="shared" si="0"/>
        <v>3137</v>
      </c>
      <c r="G11" s="186">
        <f t="shared" si="0"/>
        <v>3137</v>
      </c>
      <c r="H11" s="186">
        <f t="shared" si="0"/>
        <v>0</v>
      </c>
      <c r="I11" s="186">
        <f t="shared" si="0"/>
        <v>3362.4266</v>
      </c>
    </row>
    <row r="12" spans="1:9" ht="15.75">
      <c r="A12" s="184"/>
      <c r="B12" s="184"/>
      <c r="C12" s="184"/>
      <c r="D12" s="184"/>
      <c r="E12" s="184"/>
      <c r="F12" s="346"/>
      <c r="G12" s="346"/>
      <c r="H12" s="184"/>
      <c r="I12" s="184"/>
    </row>
    <row r="13" spans="1:9" ht="15.75">
      <c r="A13" s="184"/>
      <c r="B13" s="184"/>
      <c r="C13" s="184"/>
      <c r="D13" s="184"/>
      <c r="E13" s="184"/>
      <c r="F13" s="346"/>
      <c r="G13" s="346"/>
      <c r="H13" s="184"/>
      <c r="I13" s="184"/>
    </row>
    <row r="14" spans="1:9" ht="15.75">
      <c r="A14" s="184">
        <v>91121</v>
      </c>
      <c r="B14" s="184" t="s">
        <v>356</v>
      </c>
      <c r="C14" s="185">
        <f>C22+C27</f>
        <v>714846.6000000001</v>
      </c>
      <c r="D14" s="191">
        <f>C14/1000</f>
        <v>714.8466000000001</v>
      </c>
      <c r="E14" s="191">
        <v>1280</v>
      </c>
      <c r="F14" s="346">
        <v>1652</v>
      </c>
      <c r="G14" s="346">
        <v>1652</v>
      </c>
      <c r="H14" s="184"/>
      <c r="I14" s="185">
        <v>1871</v>
      </c>
    </row>
    <row r="15" spans="1:9" ht="15.75">
      <c r="A15" s="184"/>
      <c r="B15" s="184"/>
      <c r="C15" s="184"/>
      <c r="D15" s="184"/>
      <c r="E15" s="184"/>
      <c r="F15" s="346"/>
      <c r="G15" s="346"/>
      <c r="H15" s="184"/>
      <c r="I15" s="184"/>
    </row>
    <row r="16" spans="1:9" ht="15.75">
      <c r="A16" s="184">
        <v>919231</v>
      </c>
      <c r="B16" s="184" t="s">
        <v>355</v>
      </c>
      <c r="C16" s="185">
        <f>C14*0.27</f>
        <v>193008.58200000002</v>
      </c>
      <c r="D16" s="191">
        <f>C16/1000</f>
        <v>193.00858200000002</v>
      </c>
      <c r="E16" s="191">
        <v>346</v>
      </c>
      <c r="F16" s="346">
        <v>446</v>
      </c>
      <c r="G16" s="346">
        <v>446</v>
      </c>
      <c r="H16" s="184"/>
      <c r="I16" s="184">
        <v>505</v>
      </c>
    </row>
    <row r="17" spans="1:9" ht="15.75">
      <c r="A17" s="184"/>
      <c r="B17" s="184"/>
      <c r="C17" s="184"/>
      <c r="D17" s="184"/>
      <c r="E17" s="184"/>
      <c r="F17" s="346"/>
      <c r="G17" s="346"/>
      <c r="H17" s="184"/>
      <c r="I17" s="184"/>
    </row>
    <row r="18" spans="1:12" s="180" customFormat="1" ht="15.75">
      <c r="A18" s="183">
        <v>91</v>
      </c>
      <c r="B18" s="183" t="s">
        <v>354</v>
      </c>
      <c r="C18" s="191">
        <f>C14*1.27</f>
        <v>907855.1820000001</v>
      </c>
      <c r="D18" s="191">
        <f aca="true" t="shared" si="1" ref="D18:I18">D14+D16</f>
        <v>907.8551820000001</v>
      </c>
      <c r="E18" s="191">
        <f t="shared" si="1"/>
        <v>1626</v>
      </c>
      <c r="F18" s="182">
        <f t="shared" si="1"/>
        <v>2098</v>
      </c>
      <c r="G18" s="182">
        <f t="shared" si="1"/>
        <v>2098</v>
      </c>
      <c r="H18" s="182">
        <f t="shared" si="1"/>
        <v>0</v>
      </c>
      <c r="I18" s="182">
        <f t="shared" si="1"/>
        <v>2376</v>
      </c>
      <c r="J18" s="181"/>
      <c r="K18" s="181"/>
      <c r="L18" s="181"/>
    </row>
    <row r="20" spans="2:4" ht="15.75">
      <c r="B20" s="463" t="s">
        <v>640</v>
      </c>
      <c r="C20" s="463"/>
      <c r="D20" s="463"/>
    </row>
    <row r="21" spans="2:8" ht="15.75">
      <c r="B21" s="463" t="s">
        <v>641</v>
      </c>
      <c r="C21" s="464">
        <f>(41*36)*360</f>
        <v>531360</v>
      </c>
      <c r="D21" s="463" t="s">
        <v>353</v>
      </c>
      <c r="F21" s="196"/>
      <c r="G21" s="196"/>
      <c r="H21" s="196"/>
    </row>
    <row r="22" spans="2:8" ht="15.75">
      <c r="B22" s="463" t="s">
        <v>54</v>
      </c>
      <c r="C22" s="464">
        <f>C21*0.27</f>
        <v>143467.2</v>
      </c>
      <c r="D22" s="463"/>
      <c r="F22" s="196"/>
      <c r="G22" s="197"/>
      <c r="H22" s="196"/>
    </row>
    <row r="23" spans="2:8" ht="15.75">
      <c r="B23" s="463" t="s">
        <v>99</v>
      </c>
      <c r="C23" s="464">
        <f>C21*1.27</f>
        <v>674827.2</v>
      </c>
      <c r="D23" s="463"/>
      <c r="F23" s="196"/>
      <c r="G23" s="197"/>
      <c r="H23" s="196"/>
    </row>
    <row r="24" ht="15.75">
      <c r="F24" s="178"/>
    </row>
    <row r="25" spans="2:8" ht="15.75">
      <c r="B25" s="463" t="s">
        <v>642</v>
      </c>
      <c r="C25" s="463"/>
      <c r="D25" s="463"/>
      <c r="F25" s="196"/>
      <c r="G25" s="196"/>
      <c r="H25" s="196"/>
    </row>
    <row r="26" spans="2:8" ht="15.75">
      <c r="B26" s="463" t="s">
        <v>643</v>
      </c>
      <c r="C26" s="464">
        <f>(144*36+35*11)*380</f>
        <v>2116220</v>
      </c>
      <c r="D26" s="463" t="s">
        <v>353</v>
      </c>
      <c r="F26" s="196"/>
      <c r="G26" s="197"/>
      <c r="H26" s="196"/>
    </row>
    <row r="27" spans="2:8" ht="18.75">
      <c r="B27" s="463" t="s">
        <v>54</v>
      </c>
      <c r="C27" s="464">
        <f>C26*0.27</f>
        <v>571379.4</v>
      </c>
      <c r="D27" s="463"/>
      <c r="F27" s="196"/>
      <c r="G27" s="196"/>
      <c r="H27"/>
    </row>
    <row r="28" spans="2:8" ht="18.75">
      <c r="B28" s="463" t="s">
        <v>99</v>
      </c>
      <c r="C28" s="464">
        <f>C26*1.27</f>
        <v>2687599.4</v>
      </c>
      <c r="D28" s="463"/>
      <c r="F28" s="196"/>
      <c r="G28" s="196"/>
      <c r="H28"/>
    </row>
    <row r="29" spans="2:8" ht="18.75">
      <c r="B29" s="463"/>
      <c r="C29" s="464"/>
      <c r="D29" s="463"/>
      <c r="F29" s="196"/>
      <c r="G29" s="196"/>
      <c r="H29"/>
    </row>
    <row r="30" spans="2:8" ht="15.75">
      <c r="B30" s="198" t="s">
        <v>648</v>
      </c>
      <c r="C30" s="198"/>
      <c r="D30" s="198"/>
      <c r="E30" s="195">
        <v>1870720</v>
      </c>
      <c r="F30" s="196"/>
      <c r="G30" s="197"/>
      <c r="H30" s="196"/>
    </row>
    <row r="31" spans="2:8" ht="15.75">
      <c r="B31" s="198" t="s">
        <v>232</v>
      </c>
      <c r="C31" s="198"/>
      <c r="D31" s="198"/>
      <c r="E31" s="465">
        <f>E30*27%</f>
        <v>505094.4</v>
      </c>
      <c r="F31" s="196"/>
      <c r="G31" s="197"/>
      <c r="H31" s="196"/>
    </row>
    <row r="32" spans="2:8" ht="15.75">
      <c r="B32" s="198" t="s">
        <v>649</v>
      </c>
      <c r="C32" s="198"/>
      <c r="D32" s="198"/>
      <c r="E32" s="465">
        <f>SUM(E30:E31)</f>
        <v>2375814.4</v>
      </c>
      <c r="F32" s="196"/>
      <c r="G32" s="197"/>
      <c r="H32" s="196"/>
    </row>
    <row r="33" spans="2:8" ht="15.75">
      <c r="B33" s="463"/>
      <c r="C33" s="463"/>
      <c r="D33" s="463"/>
      <c r="E33" s="179"/>
      <c r="F33" s="196"/>
      <c r="G33" s="197"/>
      <c r="H33" s="196"/>
    </row>
    <row r="34" spans="2:8" ht="15.75">
      <c r="B34" s="463" t="s">
        <v>644</v>
      </c>
      <c r="C34" s="463"/>
      <c r="D34" s="463"/>
      <c r="F34" s="196"/>
      <c r="G34" s="196"/>
      <c r="H34" s="196"/>
    </row>
    <row r="35" spans="2:8" ht="15.75">
      <c r="B35" s="463" t="s">
        <v>645</v>
      </c>
      <c r="C35" s="464">
        <f>(41*36)*360</f>
        <v>531360</v>
      </c>
      <c r="D35" s="463" t="s">
        <v>353</v>
      </c>
      <c r="F35" s="196"/>
      <c r="G35" s="196"/>
      <c r="H35" s="196"/>
    </row>
    <row r="36" spans="2:8" ht="15.75">
      <c r="B36" s="463" t="s">
        <v>54</v>
      </c>
      <c r="C36" s="464">
        <f>C35*0.27</f>
        <v>143467.2</v>
      </c>
      <c r="D36" s="463" t="s">
        <v>352</v>
      </c>
      <c r="F36" s="196"/>
      <c r="G36" s="197"/>
      <c r="H36" s="196"/>
    </row>
    <row r="37" spans="2:8" ht="15.75">
      <c r="B37" s="463" t="s">
        <v>99</v>
      </c>
      <c r="C37" s="464">
        <f>C35*1.27</f>
        <v>674827.2</v>
      </c>
      <c r="D37" s="463" t="s">
        <v>352</v>
      </c>
      <c r="F37" s="196"/>
      <c r="G37" s="197"/>
      <c r="H37" s="196"/>
    </row>
    <row r="38" spans="2:8" ht="15.75">
      <c r="B38" s="463"/>
      <c r="C38" s="463"/>
      <c r="D38" s="463"/>
      <c r="F38" s="196"/>
      <c r="G38" s="197"/>
      <c r="H38" s="196"/>
    </row>
    <row r="39" spans="2:8" ht="18.75">
      <c r="B39" s="463" t="s">
        <v>646</v>
      </c>
      <c r="C39" s="463"/>
      <c r="D39" s="463"/>
      <c r="F39"/>
      <c r="G39"/>
      <c r="H39"/>
    </row>
    <row r="40" spans="2:4" ht="15.75">
      <c r="B40" s="463" t="s">
        <v>647</v>
      </c>
      <c r="C40" s="464">
        <f>(144*36+35*11)*380</f>
        <v>2116220</v>
      </c>
      <c r="D40" s="463" t="s">
        <v>353</v>
      </c>
    </row>
    <row r="41" spans="2:4" ht="15.75">
      <c r="B41" s="463" t="s">
        <v>54</v>
      </c>
      <c r="C41" s="464">
        <f>C40*0.27</f>
        <v>571379.4</v>
      </c>
      <c r="D41" s="463" t="s">
        <v>352</v>
      </c>
    </row>
    <row r="42" spans="2:4" ht="15.75">
      <c r="B42" s="463" t="s">
        <v>99</v>
      </c>
      <c r="C42" s="464">
        <f>C40*1.27</f>
        <v>2687599.4</v>
      </c>
      <c r="D42" s="463" t="s">
        <v>352</v>
      </c>
    </row>
    <row r="43" spans="2:4" ht="15.75">
      <c r="B43" s="463"/>
      <c r="C43" s="463"/>
      <c r="D43" s="463"/>
    </row>
  </sheetData>
  <sheetProtection/>
  <printOptions/>
  <pageMargins left="0.7" right="0.7" top="0.75" bottom="0.75" header="0.3" footer="0.3"/>
  <pageSetup horizontalDpi="300" verticalDpi="300" orientation="portrait" paperSize="9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00000"/>
  </sheetPr>
  <dimension ref="A2:J112"/>
  <sheetViews>
    <sheetView zoomScalePageLayoutView="0" workbookViewId="0" topLeftCell="A28">
      <selection activeCell="D71" sqref="D71"/>
    </sheetView>
  </sheetViews>
  <sheetFormatPr defaultColWidth="8.41015625" defaultRowHeight="18"/>
  <cols>
    <col min="1" max="1" width="8.41015625" style="21" customWidth="1"/>
    <col min="2" max="2" width="29.41015625" style="21" customWidth="1"/>
    <col min="3" max="3" width="8" style="382" customWidth="1"/>
    <col min="4" max="4" width="7.33203125" style="21" customWidth="1"/>
    <col min="5" max="5" width="7.75" style="21" customWidth="1"/>
    <col min="6" max="249" width="7.08203125" style="21" customWidth="1"/>
    <col min="250" max="16384" width="8.41015625" style="21" customWidth="1"/>
  </cols>
  <sheetData>
    <row r="2" spans="1:5" ht="18.75">
      <c r="A2" s="620" t="s">
        <v>1331</v>
      </c>
      <c r="B2" s="620"/>
      <c r="C2" s="620"/>
      <c r="D2" s="620"/>
      <c r="E2" s="620"/>
    </row>
    <row r="3" ht="19.5" thickBot="1">
      <c r="C3" s="243"/>
    </row>
    <row r="4" spans="1:5" ht="19.5" thickBot="1">
      <c r="A4" s="595">
        <v>562912</v>
      </c>
      <c r="B4" s="245" t="s">
        <v>275</v>
      </c>
      <c r="C4" s="421" t="s">
        <v>616</v>
      </c>
      <c r="D4" s="41" t="s">
        <v>626</v>
      </c>
      <c r="E4" s="34">
        <v>2016</v>
      </c>
    </row>
    <row r="5" spans="1:5" ht="19.5" thickBot="1">
      <c r="A5" s="596" t="s">
        <v>1378</v>
      </c>
      <c r="B5" s="210"/>
      <c r="C5" s="295"/>
      <c r="D5" s="34"/>
      <c r="E5" s="34"/>
    </row>
    <row r="6" spans="1:5" ht="18.75">
      <c r="A6" s="249" t="s">
        <v>819</v>
      </c>
      <c r="B6" s="250" t="s">
        <v>1238</v>
      </c>
      <c r="C6" s="376"/>
      <c r="D6" s="565"/>
      <c r="E6" s="565"/>
    </row>
    <row r="7" spans="1:5" ht="18.75">
      <c r="A7" s="253" t="s">
        <v>822</v>
      </c>
      <c r="B7" s="254" t="s">
        <v>821</v>
      </c>
      <c r="C7" s="377"/>
      <c r="D7" s="34"/>
      <c r="E7" s="34"/>
    </row>
    <row r="8" spans="1:5" ht="18.75">
      <c r="A8" s="253" t="s">
        <v>823</v>
      </c>
      <c r="B8" s="254" t="s">
        <v>820</v>
      </c>
      <c r="C8" s="377"/>
      <c r="D8" s="34"/>
      <c r="E8" s="381"/>
    </row>
    <row r="9" spans="1:5" ht="18.75">
      <c r="A9" s="253" t="s">
        <v>825</v>
      </c>
      <c r="B9" s="254" t="s">
        <v>824</v>
      </c>
      <c r="C9" s="377"/>
      <c r="D9" s="34"/>
      <c r="E9" s="34"/>
    </row>
    <row r="10" spans="1:5" ht="18.75">
      <c r="A10" s="253" t="s">
        <v>826</v>
      </c>
      <c r="B10" s="260" t="s">
        <v>1239</v>
      </c>
      <c r="C10" s="377"/>
      <c r="D10" s="34"/>
      <c r="E10" s="34"/>
    </row>
    <row r="11" spans="1:5" ht="18.75">
      <c r="A11" s="253" t="s">
        <v>1233</v>
      </c>
      <c r="B11" s="260" t="s">
        <v>1240</v>
      </c>
      <c r="C11" s="378"/>
      <c r="D11" s="34"/>
      <c r="E11" s="34"/>
    </row>
    <row r="12" spans="1:5" ht="18.75">
      <c r="A12" s="253" t="s">
        <v>1241</v>
      </c>
      <c r="B12" s="262" t="s">
        <v>1234</v>
      </c>
      <c r="C12" s="377"/>
      <c r="D12" s="34"/>
      <c r="E12" s="34"/>
    </row>
    <row r="13" spans="1:5" ht="18.75">
      <c r="A13" s="253" t="s">
        <v>1242</v>
      </c>
      <c r="B13" s="262" t="s">
        <v>1235</v>
      </c>
      <c r="C13" s="377"/>
      <c r="D13" s="34"/>
      <c r="E13" s="34"/>
    </row>
    <row r="14" spans="1:5" ht="18.75">
      <c r="A14" s="253" t="s">
        <v>1243</v>
      </c>
      <c r="B14" s="254" t="s">
        <v>528</v>
      </c>
      <c r="C14" s="377"/>
      <c r="D14" s="34"/>
      <c r="E14" s="34"/>
    </row>
    <row r="15" spans="1:5" ht="18.75">
      <c r="A15" s="253" t="s">
        <v>1244</v>
      </c>
      <c r="B15" s="254" t="s">
        <v>1236</v>
      </c>
      <c r="C15" s="377"/>
      <c r="D15" s="34"/>
      <c r="E15" s="34"/>
    </row>
    <row r="16" spans="1:5" ht="19.5" thickBot="1">
      <c r="A16" s="264" t="s">
        <v>1245</v>
      </c>
      <c r="B16" s="265" t="s">
        <v>791</v>
      </c>
      <c r="C16" s="377"/>
      <c r="D16" s="34"/>
      <c r="E16" s="34"/>
    </row>
    <row r="17" spans="1:5" ht="19.5" thickBot="1">
      <c r="A17" s="568" t="s">
        <v>1327</v>
      </c>
      <c r="B17" s="569" t="s">
        <v>1249</v>
      </c>
      <c r="C17" s="379">
        <f>SUM(C6:C16)</f>
        <v>0</v>
      </c>
      <c r="D17" s="379">
        <f>SUM(D6:D16)</f>
        <v>0</v>
      </c>
      <c r="E17" s="379">
        <f>SUM(E6:E16)</f>
        <v>0</v>
      </c>
    </row>
    <row r="18" spans="1:5" ht="19.5" thickBot="1">
      <c r="A18" s="557" t="s">
        <v>1329</v>
      </c>
      <c r="B18" s="558" t="s">
        <v>1248</v>
      </c>
      <c r="C18" s="377"/>
      <c r="D18" s="34"/>
      <c r="E18" s="34"/>
    </row>
    <row r="19" spans="1:5" ht="19.5" thickBot="1">
      <c r="A19" s="557" t="s">
        <v>1328</v>
      </c>
      <c r="B19" s="558" t="s">
        <v>1246</v>
      </c>
      <c r="C19" s="377"/>
      <c r="D19" s="34"/>
      <c r="E19" s="34"/>
    </row>
    <row r="20" spans="1:5" ht="19.5" thickBot="1">
      <c r="A20" s="557" t="s">
        <v>1253</v>
      </c>
      <c r="B20" s="558" t="s">
        <v>19</v>
      </c>
      <c r="C20" s="377"/>
      <c r="D20" s="34"/>
      <c r="E20" s="34"/>
    </row>
    <row r="21" spans="1:5" ht="19.5" thickBot="1">
      <c r="A21" s="557" t="s">
        <v>1254</v>
      </c>
      <c r="B21" s="558" t="s">
        <v>889</v>
      </c>
      <c r="C21" s="377"/>
      <c r="D21" s="34"/>
      <c r="E21" s="34"/>
    </row>
    <row r="22" spans="1:5" ht="19.5" thickBot="1">
      <c r="A22" s="568" t="s">
        <v>1330</v>
      </c>
      <c r="B22" s="569" t="s">
        <v>1247</v>
      </c>
      <c r="C22" s="377">
        <f>SUM(C18:C21)</f>
        <v>0</v>
      </c>
      <c r="D22" s="377">
        <f>SUM(D18:D21)</f>
        <v>0</v>
      </c>
      <c r="E22" s="377">
        <f>SUM(E18:E21)</f>
        <v>0</v>
      </c>
    </row>
    <row r="23" spans="1:5" ht="27" customHeight="1" thickBot="1">
      <c r="A23" s="268" t="s">
        <v>1250</v>
      </c>
      <c r="B23" s="269" t="s">
        <v>1237</v>
      </c>
      <c r="C23" s="379">
        <f>SUM(C22,C17)</f>
        <v>0</v>
      </c>
      <c r="D23" s="379">
        <f>SUM(D22,D17)</f>
        <v>0</v>
      </c>
      <c r="E23" s="379">
        <f>SUM(E22,E17)</f>
        <v>0</v>
      </c>
    </row>
    <row r="24" spans="1:5" ht="19.5" thickBot="1">
      <c r="A24" s="270"/>
      <c r="B24" s="271"/>
      <c r="C24" s="377"/>
      <c r="D24" s="34"/>
      <c r="E24" s="34"/>
    </row>
    <row r="25" spans="1:5" ht="18.75">
      <c r="A25" s="272" t="s">
        <v>1255</v>
      </c>
      <c r="B25" s="97" t="s">
        <v>590</v>
      </c>
      <c r="C25" s="275"/>
      <c r="D25" s="44"/>
      <c r="E25" s="34"/>
    </row>
    <row r="26" spans="1:5" ht="18.75">
      <c r="A26" s="559" t="s">
        <v>1256</v>
      </c>
      <c r="B26" s="97" t="s">
        <v>1251</v>
      </c>
      <c r="C26" s="275"/>
      <c r="D26" s="44"/>
      <c r="E26" s="34"/>
    </row>
    <row r="27" spans="1:5" ht="18.75">
      <c r="A27" s="276" t="s">
        <v>1252</v>
      </c>
      <c r="B27" s="255" t="s">
        <v>4</v>
      </c>
      <c r="C27" s="378"/>
      <c r="D27" s="34"/>
      <c r="E27" s="34"/>
    </row>
    <row r="28" spans="1:5" ht="19.5" thickBot="1">
      <c r="A28" s="462" t="s">
        <v>1257</v>
      </c>
      <c r="B28" s="255" t="s">
        <v>635</v>
      </c>
      <c r="C28" s="378"/>
      <c r="D28" s="34"/>
      <c r="E28" s="34"/>
    </row>
    <row r="29" spans="1:5" ht="19.5" thickBot="1">
      <c r="A29" s="582" t="s">
        <v>1258</v>
      </c>
      <c r="B29" s="583" t="s">
        <v>69</v>
      </c>
      <c r="C29" s="378">
        <f>SUM(C25:C28)</f>
        <v>0</v>
      </c>
      <c r="D29" s="378">
        <f>SUM(D25:D28)</f>
        <v>0</v>
      </c>
      <c r="E29" s="378">
        <f>SUM(E25:E28)</f>
        <v>0</v>
      </c>
    </row>
    <row r="30" spans="1:5" ht="19.5" thickBot="1">
      <c r="A30" s="282"/>
      <c r="B30" s="283"/>
      <c r="C30" s="377"/>
      <c r="D30" s="34"/>
      <c r="E30" s="34"/>
    </row>
    <row r="31" spans="1:5" ht="18.75">
      <c r="A31" s="249" t="s">
        <v>1259</v>
      </c>
      <c r="B31" s="291" t="s">
        <v>533</v>
      </c>
      <c r="C31" s="377"/>
      <c r="D31" s="34"/>
      <c r="E31" s="34"/>
    </row>
    <row r="32" spans="1:5" ht="18.75">
      <c r="A32" s="253" t="s">
        <v>1260</v>
      </c>
      <c r="B32" s="254" t="s">
        <v>534</v>
      </c>
      <c r="C32" s="377"/>
      <c r="D32" s="41"/>
      <c r="E32" s="34"/>
    </row>
    <row r="33" spans="1:5" ht="18.75">
      <c r="A33" s="253" t="s">
        <v>1262</v>
      </c>
      <c r="B33" s="254" t="s">
        <v>1261</v>
      </c>
      <c r="C33" s="377"/>
      <c r="D33" s="41"/>
      <c r="E33" s="34"/>
    </row>
    <row r="34" spans="1:5" ht="18.75">
      <c r="A34" s="253" t="s">
        <v>1263</v>
      </c>
      <c r="B34" s="254" t="s">
        <v>124</v>
      </c>
      <c r="C34" s="377"/>
      <c r="D34" s="41"/>
      <c r="E34" s="34"/>
    </row>
    <row r="35" spans="1:5" ht="18.75">
      <c r="A35" s="253" t="s">
        <v>1264</v>
      </c>
      <c r="B35" s="254" t="s">
        <v>1265</v>
      </c>
      <c r="C35" s="570"/>
      <c r="D35" s="41"/>
      <c r="E35" s="34"/>
    </row>
    <row r="36" spans="1:5" ht="18.75">
      <c r="A36" s="253" t="s">
        <v>1335</v>
      </c>
      <c r="B36" s="562" t="s">
        <v>548</v>
      </c>
      <c r="C36" s="570">
        <f>SUM(C31:C35)</f>
        <v>0</v>
      </c>
      <c r="D36" s="570">
        <f>SUM(D31:D35)</f>
        <v>0</v>
      </c>
      <c r="E36" s="570">
        <f>SUM(E31:E35)</f>
        <v>0</v>
      </c>
    </row>
    <row r="37" spans="1:5" ht="18.75">
      <c r="A37" s="253" t="s">
        <v>1342</v>
      </c>
      <c r="B37" s="254" t="s">
        <v>1343</v>
      </c>
      <c r="C37" s="570">
        <v>2648</v>
      </c>
      <c r="D37" s="570">
        <v>2883</v>
      </c>
      <c r="E37" s="570">
        <v>3556</v>
      </c>
    </row>
    <row r="38" spans="1:5" ht="18.75">
      <c r="A38" s="253" t="s">
        <v>1344</v>
      </c>
      <c r="B38" s="254" t="s">
        <v>1267</v>
      </c>
      <c r="C38" s="570"/>
      <c r="D38" s="34"/>
      <c r="E38" s="34"/>
    </row>
    <row r="39" spans="1:5" ht="18.75">
      <c r="A39" s="253" t="s">
        <v>1345</v>
      </c>
      <c r="B39" s="254" t="s">
        <v>88</v>
      </c>
      <c r="C39" s="570"/>
      <c r="D39" s="34"/>
      <c r="E39" s="34"/>
    </row>
    <row r="40" spans="1:5" ht="18.75">
      <c r="A40" s="253" t="s">
        <v>1346</v>
      </c>
      <c r="B40" s="254" t="s">
        <v>1268</v>
      </c>
      <c r="C40" s="377"/>
      <c r="D40" s="34"/>
      <c r="E40" s="34"/>
    </row>
    <row r="41" spans="1:5" ht="19.5" thickBot="1">
      <c r="A41" s="288" t="s">
        <v>1347</v>
      </c>
      <c r="B41" s="289" t="s">
        <v>1269</v>
      </c>
      <c r="C41" s="377"/>
      <c r="D41" s="34"/>
      <c r="E41" s="34"/>
    </row>
    <row r="42" spans="1:5" ht="17.25" customHeight="1" thickBot="1">
      <c r="A42" s="268" t="s">
        <v>1266</v>
      </c>
      <c r="B42" s="571" t="s">
        <v>1270</v>
      </c>
      <c r="C42" s="377">
        <f>SUM(C37:C41)</f>
        <v>2648</v>
      </c>
      <c r="D42" s="377">
        <f>SUM(D37:D41)</f>
        <v>2883</v>
      </c>
      <c r="E42" s="377">
        <f>SUM(E37:E41)</f>
        <v>3556</v>
      </c>
    </row>
    <row r="43" spans="1:5" ht="22.5" customHeight="1" thickBot="1">
      <c r="A43" s="572" t="s">
        <v>1300</v>
      </c>
      <c r="B43" s="573" t="s">
        <v>595</v>
      </c>
      <c r="C43" s="574">
        <f>SUM(C42,C36)</f>
        <v>2648</v>
      </c>
      <c r="D43" s="574">
        <f>SUM(D42,D36)</f>
        <v>2883</v>
      </c>
      <c r="E43" s="574">
        <f>SUM(E42,E36)</f>
        <v>3556</v>
      </c>
    </row>
    <row r="44" spans="1:5" ht="18.75">
      <c r="A44" s="249" t="s">
        <v>1271</v>
      </c>
      <c r="B44" s="291" t="s">
        <v>1348</v>
      </c>
      <c r="C44" s="377"/>
      <c r="D44" s="34"/>
      <c r="E44" s="34"/>
    </row>
    <row r="45" spans="1:5" ht="18.75">
      <c r="A45" s="494" t="s">
        <v>1350</v>
      </c>
      <c r="B45" s="590" t="s">
        <v>1351</v>
      </c>
      <c r="C45" s="377"/>
      <c r="D45" s="34"/>
      <c r="E45" s="34"/>
    </row>
    <row r="46" spans="1:5" ht="18.75">
      <c r="A46" s="253" t="s">
        <v>1272</v>
      </c>
      <c r="B46" s="254" t="s">
        <v>1349</v>
      </c>
      <c r="C46" s="295"/>
      <c r="D46" s="566"/>
      <c r="E46" s="34"/>
    </row>
    <row r="47" spans="1:5" ht="18.75">
      <c r="A47" s="575" t="s">
        <v>1301</v>
      </c>
      <c r="B47" s="576" t="s">
        <v>1366</v>
      </c>
      <c r="C47" s="577">
        <f>SUM(C44:C46)</f>
        <v>0</v>
      </c>
      <c r="D47" s="577">
        <f>SUM(D44:D46)</f>
        <v>0</v>
      </c>
      <c r="E47" s="577">
        <f>SUM(E44:E46)</f>
        <v>0</v>
      </c>
    </row>
    <row r="48" spans="1:5" ht="18.75">
      <c r="A48" s="253" t="s">
        <v>1275</v>
      </c>
      <c r="B48" s="254" t="s">
        <v>544</v>
      </c>
      <c r="C48" s="295"/>
      <c r="D48" s="566"/>
      <c r="E48" s="34"/>
    </row>
    <row r="49" spans="1:5" ht="18.75">
      <c r="A49" s="253" t="s">
        <v>1274</v>
      </c>
      <c r="B49" s="254" t="s">
        <v>543</v>
      </c>
      <c r="C49" s="295"/>
      <c r="D49" s="34"/>
      <c r="E49" s="34"/>
    </row>
    <row r="50" spans="1:5" ht="18.75">
      <c r="A50" s="253" t="s">
        <v>1276</v>
      </c>
      <c r="B50" s="254" t="s">
        <v>503</v>
      </c>
      <c r="C50" s="295"/>
      <c r="D50" s="34"/>
      <c r="E50" s="34"/>
    </row>
    <row r="51" spans="1:5" ht="18.75">
      <c r="A51" s="575" t="s">
        <v>1273</v>
      </c>
      <c r="B51" s="576" t="s">
        <v>1277</v>
      </c>
      <c r="C51" s="577">
        <f>SUM(C48:C50)</f>
        <v>0</v>
      </c>
      <c r="D51" s="577">
        <f>SUM(D48:D50)</f>
        <v>0</v>
      </c>
      <c r="E51" s="577">
        <f>SUM(E48:E50)</f>
        <v>0</v>
      </c>
    </row>
    <row r="52" spans="1:5" ht="18.75">
      <c r="A52" s="253" t="s">
        <v>1332</v>
      </c>
      <c r="B52" s="254" t="s">
        <v>1278</v>
      </c>
      <c r="C52" s="295"/>
      <c r="D52" s="34"/>
      <c r="E52" s="34"/>
    </row>
    <row r="53" spans="1:5" ht="18.75">
      <c r="A53" s="253" t="s">
        <v>1280</v>
      </c>
      <c r="B53" s="254" t="s">
        <v>26</v>
      </c>
      <c r="C53" s="295"/>
      <c r="D53" s="41"/>
      <c r="E53" s="34"/>
    </row>
    <row r="54" spans="1:5" ht="18.75">
      <c r="A54" s="253" t="s">
        <v>1281</v>
      </c>
      <c r="B54" s="254" t="s">
        <v>1352</v>
      </c>
      <c r="C54" s="377"/>
      <c r="D54" s="34"/>
      <c r="E54" s="34"/>
    </row>
    <row r="55" spans="1:5" ht="18.75">
      <c r="A55" s="575" t="s">
        <v>1283</v>
      </c>
      <c r="B55" s="576" t="s">
        <v>1282</v>
      </c>
      <c r="C55" s="574">
        <f>SUM(C53:C54)</f>
        <v>0</v>
      </c>
      <c r="D55" s="574">
        <f>SUM(D53:D54)</f>
        <v>0</v>
      </c>
      <c r="E55" s="574">
        <f>SUM(E53:E54)</f>
        <v>0</v>
      </c>
    </row>
    <row r="56" spans="1:5" ht="18.75">
      <c r="A56" s="575" t="s">
        <v>1284</v>
      </c>
      <c r="B56" s="588" t="s">
        <v>1333</v>
      </c>
      <c r="C56" s="589"/>
      <c r="D56" s="589"/>
      <c r="E56" s="589"/>
    </row>
    <row r="57" spans="1:5" ht="18.75">
      <c r="A57" s="288"/>
      <c r="B57" s="554" t="s">
        <v>943</v>
      </c>
      <c r="C57" s="554"/>
      <c r="D57" s="554"/>
      <c r="E57" s="554"/>
    </row>
    <row r="58" spans="1:5" ht="18.75">
      <c r="A58" s="288" t="s">
        <v>1353</v>
      </c>
      <c r="B58" s="554" t="s">
        <v>547</v>
      </c>
      <c r="C58" s="554"/>
      <c r="D58" s="554"/>
      <c r="E58" s="554"/>
    </row>
    <row r="59" spans="1:5" ht="18.75">
      <c r="A59" s="288" t="s">
        <v>1354</v>
      </c>
      <c r="B59" s="554" t="s">
        <v>1355</v>
      </c>
      <c r="C59" s="554"/>
      <c r="D59" s="554"/>
      <c r="E59" s="554"/>
    </row>
    <row r="60" spans="1:5" ht="27" customHeight="1">
      <c r="A60" s="561" t="s">
        <v>1285</v>
      </c>
      <c r="B60" s="552" t="s">
        <v>945</v>
      </c>
      <c r="C60" s="591">
        <f>SUM(C58:C59)</f>
        <v>0</v>
      </c>
      <c r="D60" s="591">
        <f>SUM(D58:D59)</f>
        <v>0</v>
      </c>
      <c r="E60" s="591">
        <f>SUM(E58:E59)</f>
        <v>0</v>
      </c>
    </row>
    <row r="61" spans="1:5" ht="23.25" customHeight="1">
      <c r="A61" s="462" t="s">
        <v>1356</v>
      </c>
      <c r="B61" s="553" t="s">
        <v>1362</v>
      </c>
      <c r="C61" s="591"/>
      <c r="D61" s="591"/>
      <c r="E61" s="591"/>
    </row>
    <row r="62" spans="1:5" ht="23.25" customHeight="1">
      <c r="A62" s="462" t="s">
        <v>1357</v>
      </c>
      <c r="B62" s="553" t="s">
        <v>1358</v>
      </c>
      <c r="C62" s="591"/>
      <c r="D62" s="591"/>
      <c r="E62" s="591"/>
    </row>
    <row r="63" spans="1:5" ht="23.25" customHeight="1">
      <c r="A63" s="462" t="s">
        <v>1359</v>
      </c>
      <c r="B63" s="553" t="s">
        <v>9</v>
      </c>
      <c r="C63" s="591"/>
      <c r="D63" s="591"/>
      <c r="E63" s="591"/>
    </row>
    <row r="64" spans="1:6" ht="23.25" customHeight="1" thickBot="1">
      <c r="A64" s="462" t="s">
        <v>1360</v>
      </c>
      <c r="B64" s="553" t="s">
        <v>1361</v>
      </c>
      <c r="C64" s="591"/>
      <c r="D64" s="591"/>
      <c r="E64" s="591"/>
      <c r="F64" s="21" t="s">
        <v>1368</v>
      </c>
    </row>
    <row r="65" spans="1:5" ht="17.25" customHeight="1" thickBot="1">
      <c r="A65" s="298" t="s">
        <v>1286</v>
      </c>
      <c r="B65" s="552" t="s">
        <v>948</v>
      </c>
      <c r="C65" s="591">
        <f>SUM(C61:C64)</f>
        <v>0</v>
      </c>
      <c r="D65" s="591">
        <f>SUM(D61:D64)</f>
        <v>0</v>
      </c>
      <c r="E65" s="591">
        <f>SUM(E61:E64)</f>
        <v>0</v>
      </c>
    </row>
    <row r="66" spans="1:5" ht="25.5" customHeight="1">
      <c r="A66" s="578" t="s">
        <v>1279</v>
      </c>
      <c r="B66" s="579" t="s">
        <v>1287</v>
      </c>
      <c r="C66" s="579">
        <f>SUM(C65+C60+C56+C55+C52)</f>
        <v>0</v>
      </c>
      <c r="D66" s="579">
        <f>SUM(D65+D60+D56+D55+D52)</f>
        <v>0</v>
      </c>
      <c r="E66" s="579">
        <f>SUM(E65+E60+E56+E55+E52)</f>
        <v>0</v>
      </c>
    </row>
    <row r="67" spans="1:5" ht="18.75">
      <c r="A67" s="253" t="s">
        <v>1288</v>
      </c>
      <c r="B67" s="553" t="s">
        <v>952</v>
      </c>
      <c r="C67" s="553"/>
      <c r="D67" s="553"/>
      <c r="E67" s="553"/>
    </row>
    <row r="68" spans="1:5" ht="18.75">
      <c r="A68" s="253" t="s">
        <v>1289</v>
      </c>
      <c r="B68" s="553" t="s">
        <v>954</v>
      </c>
      <c r="C68" s="553"/>
      <c r="D68" s="553"/>
      <c r="E68" s="553"/>
    </row>
    <row r="69" spans="1:5" ht="24" customHeight="1">
      <c r="A69" s="575" t="s">
        <v>1291</v>
      </c>
      <c r="B69" s="579" t="s">
        <v>1290</v>
      </c>
      <c r="C69" s="579">
        <f>SUM(C67:C68)</f>
        <v>0</v>
      </c>
      <c r="D69" s="579">
        <f>SUM(D67:D68)</f>
        <v>0</v>
      </c>
      <c r="E69" s="579">
        <f>SUM(E67:E68)</f>
        <v>0</v>
      </c>
    </row>
    <row r="70" spans="1:6" ht="26.25" customHeight="1" thickBot="1">
      <c r="A70" s="561" t="s">
        <v>1294</v>
      </c>
      <c r="B70" s="552" t="s">
        <v>958</v>
      </c>
      <c r="C70" s="552">
        <v>715</v>
      </c>
      <c r="D70" s="552">
        <v>710</v>
      </c>
      <c r="E70" s="552">
        <v>961</v>
      </c>
      <c r="F70" s="21">
        <f>E42*27%</f>
        <v>960.1200000000001</v>
      </c>
    </row>
    <row r="71" spans="1:5" ht="27" customHeight="1" thickBot="1">
      <c r="A71" s="268" t="s">
        <v>1295</v>
      </c>
      <c r="B71" s="552" t="s">
        <v>960</v>
      </c>
      <c r="C71" s="552"/>
      <c r="D71" s="552"/>
      <c r="E71" s="552"/>
    </row>
    <row r="72" spans="1:5" ht="19.5" thickBot="1">
      <c r="A72" s="210" t="s">
        <v>1296</v>
      </c>
      <c r="B72" s="552" t="s">
        <v>1293</v>
      </c>
      <c r="C72" s="552"/>
      <c r="D72" s="552"/>
      <c r="E72" s="552"/>
    </row>
    <row r="73" spans="1:5" ht="24.75" customHeight="1">
      <c r="A73" s="593" t="s">
        <v>1298</v>
      </c>
      <c r="B73" s="594" t="s">
        <v>1363</v>
      </c>
      <c r="C73" s="594"/>
      <c r="D73" s="552"/>
      <c r="E73" s="552"/>
    </row>
    <row r="74" spans="1:6" ht="24.75" customHeight="1">
      <c r="A74" s="592" t="s">
        <v>1364</v>
      </c>
      <c r="B74" s="563" t="s">
        <v>1365</v>
      </c>
      <c r="C74" s="563"/>
      <c r="D74" s="553"/>
      <c r="E74" s="553"/>
      <c r="F74" s="21" t="s">
        <v>1369</v>
      </c>
    </row>
    <row r="75" spans="1:5" ht="24.75" customHeight="1">
      <c r="A75" s="592" t="s">
        <v>1370</v>
      </c>
      <c r="B75" s="563" t="s">
        <v>1367</v>
      </c>
      <c r="C75" s="563"/>
      <c r="D75" s="553"/>
      <c r="E75" s="553"/>
    </row>
    <row r="76" spans="1:5" ht="18.75">
      <c r="A76" s="98" t="s">
        <v>1297</v>
      </c>
      <c r="B76" s="552" t="s">
        <v>970</v>
      </c>
      <c r="C76" s="552">
        <f>SUM(C74:C75)</f>
        <v>0</v>
      </c>
      <c r="D76" s="552">
        <f>SUM(D74:D75)</f>
        <v>0</v>
      </c>
      <c r="E76" s="552">
        <f>SUM(E74:E75)</f>
        <v>0</v>
      </c>
    </row>
    <row r="77" spans="1:5" ht="24.75" customHeight="1">
      <c r="A77" s="580" t="s">
        <v>1292</v>
      </c>
      <c r="B77" s="579" t="s">
        <v>1334</v>
      </c>
      <c r="C77" s="579">
        <f>C76+C73+C72+C71+C70</f>
        <v>715</v>
      </c>
      <c r="D77" s="579">
        <f>D76+D73+D72+D71+D70</f>
        <v>710</v>
      </c>
      <c r="E77" s="579">
        <f>E76+E73+E72+E71+E70</f>
        <v>961</v>
      </c>
    </row>
    <row r="78" spans="1:10" ht="24.75" customHeight="1">
      <c r="A78" s="587" t="s">
        <v>1299</v>
      </c>
      <c r="B78" s="585" t="s">
        <v>70</v>
      </c>
      <c r="C78" s="579">
        <f>SUM(C77+C69+C66+C47+C43)</f>
        <v>3363</v>
      </c>
      <c r="D78" s="579">
        <f>SUM(D77+D69+D66+D47+D43)</f>
        <v>3593</v>
      </c>
      <c r="E78" s="579">
        <f>SUM(E77+E69+E66+E47+E43)</f>
        <v>4517</v>
      </c>
      <c r="F78" s="560"/>
      <c r="G78" s="560"/>
      <c r="H78" s="560"/>
      <c r="I78" s="560"/>
      <c r="J78" s="560"/>
    </row>
    <row r="79" spans="1:10" ht="24.75" customHeight="1">
      <c r="A79" s="98" t="s">
        <v>1307</v>
      </c>
      <c r="B79" s="553" t="s">
        <v>1302</v>
      </c>
      <c r="C79" s="552"/>
      <c r="D79" s="552"/>
      <c r="E79" s="552"/>
      <c r="F79" s="560"/>
      <c r="G79" s="560"/>
      <c r="H79" s="560"/>
      <c r="I79" s="560"/>
      <c r="J79" s="560"/>
    </row>
    <row r="80" spans="1:10" ht="24.75" customHeight="1">
      <c r="A80" s="98" t="s">
        <v>1306</v>
      </c>
      <c r="B80" s="553" t="s">
        <v>1308</v>
      </c>
      <c r="C80" s="552"/>
      <c r="D80" s="552"/>
      <c r="E80" s="552"/>
      <c r="F80" s="560"/>
      <c r="G80" s="560"/>
      <c r="H80" s="560"/>
      <c r="I80" s="560"/>
      <c r="J80" s="560"/>
    </row>
    <row r="81" spans="1:10" ht="24.75" customHeight="1">
      <c r="A81" s="98"/>
      <c r="B81" s="97" t="s">
        <v>1304</v>
      </c>
      <c r="C81" s="552"/>
      <c r="D81" s="552"/>
      <c r="E81" s="552"/>
      <c r="F81" s="560"/>
      <c r="G81" s="560"/>
      <c r="H81" s="560"/>
      <c r="I81" s="560"/>
      <c r="J81" s="560"/>
    </row>
    <row r="82" spans="1:5" ht="18.75">
      <c r="A82" s="98"/>
      <c r="B82" s="97" t="s">
        <v>1303</v>
      </c>
      <c r="C82" s="377"/>
      <c r="D82" s="34"/>
      <c r="E82" s="34"/>
    </row>
    <row r="83" spans="1:5" ht="18.75">
      <c r="A83" s="98"/>
      <c r="B83" s="567" t="s">
        <v>1305</v>
      </c>
      <c r="C83" s="377"/>
      <c r="D83" s="34"/>
      <c r="E83" s="34"/>
    </row>
    <row r="84" spans="1:5" ht="25.5">
      <c r="A84" s="580" t="s">
        <v>1341</v>
      </c>
      <c r="B84" s="579" t="s">
        <v>1337</v>
      </c>
      <c r="C84" s="377">
        <f>SUM(C80:C83)</f>
        <v>0</v>
      </c>
      <c r="D84" s="377">
        <f>SUM(D80:D83)</f>
        <v>0</v>
      </c>
      <c r="E84" s="377">
        <f>SUM(E80:E83)</f>
        <v>0</v>
      </c>
    </row>
    <row r="85" spans="1:5" s="564" customFormat="1" ht="18.75">
      <c r="A85" s="587" t="s">
        <v>1336</v>
      </c>
      <c r="B85" s="587" t="s">
        <v>1340</v>
      </c>
      <c r="C85" s="574">
        <f>SUM(C79+C84)</f>
        <v>0</v>
      </c>
      <c r="D85" s="574">
        <f>SUM(D79+D84)</f>
        <v>0</v>
      </c>
      <c r="E85" s="574">
        <f>SUM(E79+E84)</f>
        <v>0</v>
      </c>
    </row>
    <row r="86" spans="1:5" ht="18.75">
      <c r="A86" s="97" t="s">
        <v>1309</v>
      </c>
      <c r="B86" s="553" t="s">
        <v>1113</v>
      </c>
      <c r="C86" s="553"/>
      <c r="D86" s="553"/>
      <c r="E86" s="553"/>
    </row>
    <row r="87" spans="1:5" s="382" customFormat="1" ht="15">
      <c r="A87" s="97" t="s">
        <v>1310</v>
      </c>
      <c r="B87" s="553" t="s">
        <v>1371</v>
      </c>
      <c r="C87" s="553"/>
      <c r="D87" s="553"/>
      <c r="E87" s="553"/>
    </row>
    <row r="88" spans="1:5" ht="18.75">
      <c r="A88" s="172" t="s">
        <v>1311</v>
      </c>
      <c r="B88" s="553" t="s">
        <v>1117</v>
      </c>
      <c r="C88" s="553"/>
      <c r="D88" s="553"/>
      <c r="E88" s="553"/>
    </row>
    <row r="89" spans="1:5" ht="24" customHeight="1">
      <c r="A89" s="172" t="s">
        <v>1312</v>
      </c>
      <c r="B89" s="553" t="s">
        <v>1118</v>
      </c>
      <c r="C89" s="553"/>
      <c r="D89" s="553"/>
      <c r="E89" s="553"/>
    </row>
    <row r="90" spans="1:5" ht="26.25" customHeight="1">
      <c r="A90" s="172" t="s">
        <v>1313</v>
      </c>
      <c r="B90" s="553" t="s">
        <v>1120</v>
      </c>
      <c r="C90" s="553"/>
      <c r="D90" s="553"/>
      <c r="E90" s="553"/>
    </row>
    <row r="91" spans="1:5" ht="25.5" customHeight="1">
      <c r="A91" s="172" t="s">
        <v>1314</v>
      </c>
      <c r="B91" s="553" t="s">
        <v>1126</v>
      </c>
      <c r="C91" s="553"/>
      <c r="D91" s="553"/>
      <c r="E91" s="553"/>
    </row>
    <row r="92" spans="1:5" ht="18.75">
      <c r="A92" s="584" t="s">
        <v>1315</v>
      </c>
      <c r="B92" s="585" t="s">
        <v>1339</v>
      </c>
      <c r="C92" s="552">
        <f>SUM(C86:C91)</f>
        <v>0</v>
      </c>
      <c r="D92" s="552">
        <f>SUM(D86:D91)</f>
        <v>0</v>
      </c>
      <c r="E92" s="552">
        <f>SUM(E86:E91)</f>
        <v>0</v>
      </c>
    </row>
    <row r="93" spans="1:5" ht="18.75">
      <c r="A93" s="172" t="s">
        <v>1316</v>
      </c>
      <c r="B93" s="553" t="s">
        <v>1130</v>
      </c>
      <c r="C93" s="553"/>
      <c r="D93" s="553"/>
      <c r="E93" s="553"/>
    </row>
    <row r="94" spans="1:5" ht="18.75">
      <c r="A94" s="172" t="s">
        <v>1317</v>
      </c>
      <c r="B94" s="553" t="s">
        <v>1132</v>
      </c>
      <c r="C94" s="553"/>
      <c r="D94" s="553"/>
      <c r="E94" s="553"/>
    </row>
    <row r="95" spans="1:5" ht="18.75">
      <c r="A95" s="172" t="s">
        <v>1318</v>
      </c>
      <c r="B95" s="553" t="s">
        <v>1134</v>
      </c>
      <c r="C95" s="553"/>
      <c r="D95" s="553"/>
      <c r="E95" s="553"/>
    </row>
    <row r="96" spans="1:5" ht="24" customHeight="1">
      <c r="A96" s="172" t="s">
        <v>1319</v>
      </c>
      <c r="B96" s="553" t="s">
        <v>1136</v>
      </c>
      <c r="C96" s="553"/>
      <c r="D96" s="553"/>
      <c r="E96" s="553"/>
    </row>
    <row r="97" spans="1:5" ht="18.75">
      <c r="A97" s="584" t="s">
        <v>1320</v>
      </c>
      <c r="B97" s="585" t="s">
        <v>1338</v>
      </c>
      <c r="C97" s="552">
        <f>SUM(C93:C96)</f>
        <v>0</v>
      </c>
      <c r="D97" s="552">
        <f>SUM(D93:D96)</f>
        <v>0</v>
      </c>
      <c r="E97" s="552">
        <f>SUM(E93:E96)</f>
        <v>0</v>
      </c>
    </row>
    <row r="98" spans="1:5" ht="25.5" customHeight="1">
      <c r="A98" s="172" t="s">
        <v>1323</v>
      </c>
      <c r="B98" s="555" t="s">
        <v>1325</v>
      </c>
      <c r="C98" s="555"/>
      <c r="D98" s="555"/>
      <c r="E98" s="555"/>
    </row>
    <row r="99" spans="1:5" ht="27" customHeight="1">
      <c r="A99" s="457" t="s">
        <v>1322</v>
      </c>
      <c r="B99" s="553" t="s">
        <v>1321</v>
      </c>
      <c r="C99" s="553"/>
      <c r="D99" s="553"/>
      <c r="E99" s="553"/>
    </row>
    <row r="100" spans="1:5" ht="18.75">
      <c r="A100" s="584" t="s">
        <v>1326</v>
      </c>
      <c r="B100" s="586" t="s">
        <v>1324</v>
      </c>
      <c r="C100" s="295">
        <f>SUM(C98:C99)</f>
        <v>0</v>
      </c>
      <c r="D100" s="295">
        <f>SUM(D98:D99)</f>
        <v>0</v>
      </c>
      <c r="E100" s="295">
        <f>SUM(E98:E99)</f>
        <v>0</v>
      </c>
    </row>
    <row r="101" spans="1:5" ht="18.75">
      <c r="A101" s="34"/>
      <c r="B101" s="36" t="s">
        <v>118</v>
      </c>
      <c r="C101" s="581">
        <f>SUM(C100+C97+C92+C85+C78+C29+C23)</f>
        <v>3363</v>
      </c>
      <c r="D101" s="581">
        <f>SUM(D100+D97+D92+D85+D78+D29+D23)</f>
        <v>3593</v>
      </c>
      <c r="E101" s="581">
        <f>SUM(E100+E97+E92+E85+E78+E29+E23)</f>
        <v>4517</v>
      </c>
    </row>
    <row r="103" spans="2:4" ht="18.75">
      <c r="B103" s="607" t="s">
        <v>644</v>
      </c>
      <c r="C103" s="607"/>
      <c r="D103" s="607"/>
    </row>
    <row r="104" spans="2:4" ht="18.75">
      <c r="B104" s="607" t="s">
        <v>1511</v>
      </c>
      <c r="C104" s="608">
        <f>(41*47)*380</f>
        <v>732260</v>
      </c>
      <c r="D104" s="607" t="s">
        <v>353</v>
      </c>
    </row>
    <row r="105" spans="2:4" ht="18.75">
      <c r="B105" s="607" t="s">
        <v>54</v>
      </c>
      <c r="C105" s="608">
        <f>C104*0.27</f>
        <v>197710.2</v>
      </c>
      <c r="D105" s="607" t="s">
        <v>352</v>
      </c>
    </row>
    <row r="106" spans="2:4" ht="18.75">
      <c r="B106" s="607" t="s">
        <v>99</v>
      </c>
      <c r="C106" s="608">
        <f>C104*1.27</f>
        <v>929970.2000000001</v>
      </c>
      <c r="D106" s="607" t="s">
        <v>352</v>
      </c>
    </row>
    <row r="107" spans="2:4" ht="18.75">
      <c r="B107" s="607"/>
      <c r="C107" s="607"/>
      <c r="D107" s="607"/>
    </row>
    <row r="108" spans="2:4" ht="18.75">
      <c r="B108" s="607" t="s">
        <v>646</v>
      </c>
      <c r="C108" s="607"/>
      <c r="D108" s="607"/>
    </row>
    <row r="109" spans="2:4" ht="18.75">
      <c r="B109" s="196" t="s">
        <v>1512</v>
      </c>
      <c r="C109" s="608">
        <f>(142*47+35*11)*400</f>
        <v>2823600</v>
      </c>
      <c r="D109" s="607" t="s">
        <v>353</v>
      </c>
    </row>
    <row r="110" spans="2:4" ht="18.75">
      <c r="B110" s="607" t="s">
        <v>54</v>
      </c>
      <c r="C110" s="608">
        <f>C109*0.27</f>
        <v>762372</v>
      </c>
      <c r="D110" s="607" t="s">
        <v>352</v>
      </c>
    </row>
    <row r="111" spans="2:4" ht="18.75">
      <c r="B111" s="607" t="s">
        <v>99</v>
      </c>
      <c r="C111" s="608">
        <f>C109*1.27</f>
        <v>3585972</v>
      </c>
      <c r="D111" s="607" t="s">
        <v>352</v>
      </c>
    </row>
    <row r="112" spans="2:4" ht="18.75">
      <c r="B112" s="607"/>
      <c r="C112" s="607"/>
      <c r="D112" s="607"/>
    </row>
  </sheetData>
  <sheetProtection/>
  <mergeCells count="1">
    <mergeCell ref="A2:E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K178"/>
  <sheetViews>
    <sheetView view="pageBreakPreview" zoomScale="60" zoomScalePageLayoutView="0" workbookViewId="0" topLeftCell="C136">
      <selection activeCell="J29" sqref="J29"/>
    </sheetView>
  </sheetViews>
  <sheetFormatPr defaultColWidth="8.66015625" defaultRowHeight="18"/>
  <cols>
    <col min="1" max="1" width="8.91015625" style="505" customWidth="1"/>
    <col min="2" max="2" width="6.25" style="505" bestFit="1" customWidth="1"/>
    <col min="3" max="3" width="31.91015625" style="505" bestFit="1" customWidth="1"/>
    <col min="4" max="4" width="9" style="505" bestFit="1" customWidth="1"/>
    <col min="5" max="5" width="8.91015625" style="517" customWidth="1"/>
    <col min="6" max="7" width="8.91015625" style="178" customWidth="1"/>
    <col min="8" max="8" width="9.91015625" style="505" bestFit="1" customWidth="1"/>
    <col min="9" max="16384" width="8.91015625" style="505" customWidth="1"/>
  </cols>
  <sheetData>
    <row r="1" spans="2:6" ht="15.75">
      <c r="B1" s="506"/>
      <c r="C1" s="507"/>
      <c r="D1" s="507"/>
      <c r="E1" s="508"/>
      <c r="F1" s="18"/>
    </row>
    <row r="2" spans="2:6" ht="15.75">
      <c r="B2" s="506"/>
      <c r="C2" s="707"/>
      <c r="D2" s="707"/>
      <c r="E2" s="509"/>
      <c r="F2" s="18"/>
    </row>
    <row r="3" spans="1:7" ht="15.75">
      <c r="A3" s="184">
        <v>562913</v>
      </c>
      <c r="B3" s="708" t="s">
        <v>276</v>
      </c>
      <c r="C3" s="708"/>
      <c r="D3" s="510" t="s">
        <v>262</v>
      </c>
      <c r="E3" s="46">
        <v>41695</v>
      </c>
      <c r="F3" s="184" t="s">
        <v>626</v>
      </c>
      <c r="G3" s="184" t="s">
        <v>616</v>
      </c>
    </row>
    <row r="4" spans="1:7" ht="15.75">
      <c r="A4" s="511"/>
      <c r="B4" s="26"/>
      <c r="C4" s="25"/>
      <c r="D4" s="25"/>
      <c r="E4" s="30"/>
      <c r="F4" s="30"/>
      <c r="G4" s="184"/>
    </row>
    <row r="5" spans="1:7" ht="15.75">
      <c r="A5" s="511"/>
      <c r="B5" s="26">
        <v>511212</v>
      </c>
      <c r="C5" s="25" t="s">
        <v>117</v>
      </c>
      <c r="D5" s="25"/>
      <c r="E5" s="30">
        <f>'[3]GEVSZ'!$P$27/1000-360</f>
        <v>5630.5</v>
      </c>
      <c r="F5" s="184"/>
      <c r="G5" s="184">
        <v>5637</v>
      </c>
    </row>
    <row r="6" spans="1:7" ht="15.75">
      <c r="A6" s="511"/>
      <c r="B6" s="26"/>
      <c r="C6" s="25" t="s">
        <v>389</v>
      </c>
      <c r="D6" s="25"/>
      <c r="E6" s="30">
        <v>361</v>
      </c>
      <c r="F6" s="184"/>
      <c r="G6" s="184">
        <v>360</v>
      </c>
    </row>
    <row r="7" spans="1:7" ht="15.75">
      <c r="A7" s="511"/>
      <c r="B7" s="26">
        <v>513291</v>
      </c>
      <c r="C7" s="25" t="s">
        <v>220</v>
      </c>
      <c r="D7" s="25"/>
      <c r="E7" s="30">
        <v>79</v>
      </c>
      <c r="F7" s="184"/>
      <c r="G7" s="184">
        <v>86</v>
      </c>
    </row>
    <row r="8" spans="1:7" ht="15.75">
      <c r="A8" s="511"/>
      <c r="B8" s="26"/>
      <c r="C8" s="25" t="s">
        <v>517</v>
      </c>
      <c r="D8" s="25"/>
      <c r="E8" s="30"/>
      <c r="F8" s="184"/>
      <c r="G8" s="184"/>
    </row>
    <row r="9" spans="1:7" ht="15.75">
      <c r="A9" s="511"/>
      <c r="B9" s="26"/>
      <c r="C9" s="25" t="s">
        <v>518</v>
      </c>
      <c r="D9" s="25"/>
      <c r="E9" s="30">
        <v>120</v>
      </c>
      <c r="F9" s="184"/>
      <c r="G9" s="184">
        <v>130</v>
      </c>
    </row>
    <row r="10" spans="1:7" ht="15.75">
      <c r="A10" s="511"/>
      <c r="B10" s="26">
        <v>513292</v>
      </c>
      <c r="C10" s="25" t="s">
        <v>24</v>
      </c>
      <c r="D10" s="25"/>
      <c r="E10" s="30">
        <v>30</v>
      </c>
      <c r="F10" s="184"/>
      <c r="G10" s="184">
        <v>20</v>
      </c>
    </row>
    <row r="11" spans="1:7" ht="15.75">
      <c r="A11" s="511"/>
      <c r="B11" s="512" t="s">
        <v>387</v>
      </c>
      <c r="C11" s="25" t="s">
        <v>39</v>
      </c>
      <c r="D11" s="25"/>
      <c r="E11" s="30">
        <v>480</v>
      </c>
      <c r="F11" s="184"/>
      <c r="G11" s="184">
        <v>600</v>
      </c>
    </row>
    <row r="12" spans="1:7" ht="15.75">
      <c r="A12" s="511"/>
      <c r="B12" s="512"/>
      <c r="C12" s="25" t="s">
        <v>792</v>
      </c>
      <c r="D12" s="25"/>
      <c r="E12" s="30"/>
      <c r="F12" s="184"/>
      <c r="G12" s="184">
        <v>501</v>
      </c>
    </row>
    <row r="13" spans="1:9" ht="15.75">
      <c r="A13" s="511"/>
      <c r="B13" s="26"/>
      <c r="C13" s="25" t="s">
        <v>576</v>
      </c>
      <c r="D13" s="25"/>
      <c r="E13" s="30">
        <v>400</v>
      </c>
      <c r="F13" s="184"/>
      <c r="G13" s="184">
        <v>420</v>
      </c>
      <c r="I13" s="505" t="s">
        <v>744</v>
      </c>
    </row>
    <row r="14" spans="1:7" ht="15.75">
      <c r="A14" s="511"/>
      <c r="B14" s="27" t="s">
        <v>577</v>
      </c>
      <c r="C14" s="28" t="s">
        <v>386</v>
      </c>
      <c r="D14" s="28">
        <v>7730</v>
      </c>
      <c r="E14" s="29">
        <f>SUM(E5:E13)</f>
        <v>7100.5</v>
      </c>
      <c r="F14" s="29">
        <f>SUM(F5:F13)</f>
        <v>0</v>
      </c>
      <c r="G14" s="29">
        <f>SUM(G5:G13)</f>
        <v>7754</v>
      </c>
    </row>
    <row r="15" spans="1:7" ht="15.75">
      <c r="A15" s="511"/>
      <c r="B15" s="26"/>
      <c r="C15" s="25"/>
      <c r="D15" s="25"/>
      <c r="E15" s="30"/>
      <c r="F15" s="184"/>
      <c r="G15" s="184"/>
    </row>
    <row r="16" spans="1:8" ht="15.75">
      <c r="A16" s="511"/>
      <c r="B16" s="26">
        <v>53115</v>
      </c>
      <c r="C16" s="25" t="s">
        <v>385</v>
      </c>
      <c r="D16" s="25"/>
      <c r="E16" s="30">
        <f>(E14-E10-E11)*27%</f>
        <v>1779.4350000000002</v>
      </c>
      <c r="F16" s="184"/>
      <c r="G16" s="185">
        <f>H16*27%</f>
        <v>1926.18</v>
      </c>
      <c r="H16" s="522">
        <f>G14-G11-G10</f>
        <v>7134</v>
      </c>
    </row>
    <row r="17" spans="1:7" ht="15.75">
      <c r="A17" s="511"/>
      <c r="B17" s="26">
        <v>5332</v>
      </c>
      <c r="C17" s="25" t="s">
        <v>4</v>
      </c>
      <c r="D17" s="25"/>
      <c r="E17" s="30">
        <f>E11*16.7%</f>
        <v>80.16</v>
      </c>
      <c r="F17" s="184"/>
      <c r="G17" s="184">
        <v>100</v>
      </c>
    </row>
    <row r="18" spans="1:7" ht="15.75">
      <c r="A18" s="511"/>
      <c r="B18" s="26"/>
      <c r="C18" s="25" t="s">
        <v>216</v>
      </c>
      <c r="D18" s="25"/>
      <c r="E18" s="30"/>
      <c r="F18" s="184"/>
      <c r="G18" s="184">
        <v>116</v>
      </c>
    </row>
    <row r="19" spans="1:7" ht="15.75">
      <c r="A19" s="511"/>
      <c r="B19" s="27">
        <v>53</v>
      </c>
      <c r="C19" s="28" t="s">
        <v>69</v>
      </c>
      <c r="D19" s="28">
        <v>2020</v>
      </c>
      <c r="E19" s="29">
        <f>SUM(E16:E17)</f>
        <v>1859.5950000000003</v>
      </c>
      <c r="F19" s="184"/>
      <c r="G19" s="185">
        <f>SUM(G16:G18)</f>
        <v>2142.1800000000003</v>
      </c>
    </row>
    <row r="20" spans="1:7" ht="15.75">
      <c r="A20" s="511"/>
      <c r="B20" s="27"/>
      <c r="C20" s="28"/>
      <c r="D20" s="28"/>
      <c r="E20" s="29"/>
      <c r="F20" s="184"/>
      <c r="G20" s="184"/>
    </row>
    <row r="21" spans="1:7" ht="15.75">
      <c r="A21" s="511"/>
      <c r="B21" s="27"/>
      <c r="C21" s="28"/>
      <c r="D21" s="28"/>
      <c r="E21" s="30"/>
      <c r="F21" s="184"/>
      <c r="G21" s="184"/>
    </row>
    <row r="22" spans="1:7" ht="15.75">
      <c r="A22" s="511"/>
      <c r="B22" s="26">
        <v>5412</v>
      </c>
      <c r="C22" s="25" t="s">
        <v>384</v>
      </c>
      <c r="D22" s="25">
        <v>5743</v>
      </c>
      <c r="E22" s="30">
        <v>7776</v>
      </c>
      <c r="F22" s="184"/>
      <c r="G22" s="184">
        <v>10696</v>
      </c>
    </row>
    <row r="23" spans="1:7" ht="15.75">
      <c r="A23" s="511"/>
      <c r="B23" s="26">
        <v>5432</v>
      </c>
      <c r="C23" s="25" t="s">
        <v>383</v>
      </c>
      <c r="D23" s="25">
        <v>100</v>
      </c>
      <c r="E23" s="30">
        <v>120</v>
      </c>
      <c r="F23" s="184">
        <v>51</v>
      </c>
      <c r="G23" s="184">
        <v>120</v>
      </c>
    </row>
    <row r="24" spans="1:7" ht="15.75">
      <c r="A24" s="511"/>
      <c r="B24" s="26">
        <v>54422</v>
      </c>
      <c r="C24" s="25" t="s">
        <v>382</v>
      </c>
      <c r="D24" s="25">
        <v>10</v>
      </c>
      <c r="E24" s="30">
        <v>10</v>
      </c>
      <c r="F24" s="184">
        <v>10</v>
      </c>
      <c r="G24" s="184">
        <v>10</v>
      </c>
    </row>
    <row r="25" spans="1:11" ht="15.75">
      <c r="A25" s="511"/>
      <c r="B25" s="26">
        <v>54721</v>
      </c>
      <c r="C25" s="25" t="s">
        <v>381</v>
      </c>
      <c r="D25" s="25">
        <v>150</v>
      </c>
      <c r="E25" s="30">
        <v>800</v>
      </c>
      <c r="F25" s="184">
        <v>920</v>
      </c>
      <c r="G25" s="184">
        <v>400</v>
      </c>
      <c r="H25" s="178" t="s">
        <v>808</v>
      </c>
      <c r="I25" s="178"/>
      <c r="J25" s="178"/>
      <c r="K25" s="178"/>
    </row>
    <row r="26" spans="1:11" ht="15.75">
      <c r="A26" s="511"/>
      <c r="B26" s="26">
        <v>5482</v>
      </c>
      <c r="C26" s="25" t="s">
        <v>380</v>
      </c>
      <c r="D26" s="25">
        <v>74</v>
      </c>
      <c r="E26" s="30">
        <v>74</v>
      </c>
      <c r="F26" s="184">
        <v>74</v>
      </c>
      <c r="G26" s="184">
        <v>74</v>
      </c>
      <c r="H26" s="178"/>
      <c r="I26" s="178"/>
      <c r="J26" s="178"/>
      <c r="K26" s="178"/>
    </row>
    <row r="27" spans="1:11" ht="15.75">
      <c r="A27" s="511"/>
      <c r="B27" s="26">
        <v>54921</v>
      </c>
      <c r="C27" s="25" t="s">
        <v>379</v>
      </c>
      <c r="D27" s="25">
        <v>100</v>
      </c>
      <c r="E27" s="30">
        <v>120</v>
      </c>
      <c r="F27" s="184">
        <v>22</v>
      </c>
      <c r="G27" s="184">
        <v>120</v>
      </c>
      <c r="H27" s="178" t="s">
        <v>665</v>
      </c>
      <c r="I27" s="178"/>
      <c r="J27" s="178"/>
      <c r="K27" s="178"/>
    </row>
    <row r="28" spans="1:11" ht="15.75">
      <c r="A28" s="511"/>
      <c r="B28" s="26">
        <v>54923</v>
      </c>
      <c r="C28" s="25" t="s">
        <v>378</v>
      </c>
      <c r="D28" s="25">
        <v>380</v>
      </c>
      <c r="E28" s="30">
        <v>400</v>
      </c>
      <c r="F28" s="184">
        <v>360</v>
      </c>
      <c r="G28" s="184">
        <v>400</v>
      </c>
      <c r="H28" s="178"/>
      <c r="I28" s="178"/>
      <c r="J28" s="178"/>
      <c r="K28" s="178"/>
    </row>
    <row r="29" spans="1:11" ht="15.75">
      <c r="A29" s="511"/>
      <c r="B29" s="26"/>
      <c r="C29" s="25"/>
      <c r="D29" s="25"/>
      <c r="E29" s="30"/>
      <c r="F29" s="184"/>
      <c r="G29" s="184"/>
      <c r="H29" s="178"/>
      <c r="I29" s="178"/>
      <c r="J29" s="178"/>
      <c r="K29" s="178"/>
    </row>
    <row r="30" spans="1:11" ht="15.75">
      <c r="A30" s="511"/>
      <c r="B30" s="27">
        <v>54</v>
      </c>
      <c r="C30" s="28" t="s">
        <v>377</v>
      </c>
      <c r="D30" s="28">
        <f>SUM(D22:D29)</f>
        <v>6557</v>
      </c>
      <c r="E30" s="27">
        <f>SUM(E22:E29)</f>
        <v>9300</v>
      </c>
      <c r="F30" s="27">
        <f>SUM(F22:F29)</f>
        <v>1437</v>
      </c>
      <c r="G30" s="27">
        <f>SUM(G22:G29)</f>
        <v>11820</v>
      </c>
      <c r="H30" s="178"/>
      <c r="I30" s="178"/>
      <c r="J30" s="178"/>
      <c r="K30" s="178"/>
    </row>
    <row r="31" spans="1:11" ht="15.75">
      <c r="A31" s="511"/>
      <c r="B31" s="26"/>
      <c r="C31" s="25"/>
      <c r="D31" s="25"/>
      <c r="E31" s="30"/>
      <c r="F31" s="184"/>
      <c r="G31" s="184"/>
      <c r="H31" s="178"/>
      <c r="I31" s="178"/>
      <c r="J31" s="178"/>
      <c r="K31" s="178"/>
    </row>
    <row r="32" spans="1:11" ht="15.75">
      <c r="A32" s="511"/>
      <c r="B32" s="26">
        <v>55121</v>
      </c>
      <c r="C32" s="25" t="s">
        <v>376</v>
      </c>
      <c r="D32" s="25">
        <v>130</v>
      </c>
      <c r="E32" s="30">
        <v>150</v>
      </c>
      <c r="F32" s="184">
        <v>100</v>
      </c>
      <c r="G32" s="184">
        <v>120</v>
      </c>
      <c r="H32" s="178"/>
      <c r="I32" s="178"/>
      <c r="J32" s="178"/>
      <c r="K32" s="178"/>
    </row>
    <row r="33" spans="1:11" ht="15.75">
      <c r="A33" s="511"/>
      <c r="B33" s="26">
        <v>55224</v>
      </c>
      <c r="C33" s="25" t="s">
        <v>375</v>
      </c>
      <c r="D33" s="25">
        <v>900</v>
      </c>
      <c r="E33" s="30">
        <v>1100</v>
      </c>
      <c r="F33" s="184">
        <v>1019</v>
      </c>
      <c r="G33" s="184">
        <v>1100</v>
      </c>
      <c r="H33" s="178"/>
      <c r="I33" s="178"/>
      <c r="J33" s="178"/>
      <c r="K33" s="178"/>
    </row>
    <row r="34" spans="1:11" ht="15.75">
      <c r="A34" s="511"/>
      <c r="B34" s="26">
        <v>55225</v>
      </c>
      <c r="C34" s="25" t="s">
        <v>374</v>
      </c>
      <c r="D34" s="25">
        <v>750</v>
      </c>
      <c r="E34" s="30">
        <v>600</v>
      </c>
      <c r="F34" s="184">
        <v>518</v>
      </c>
      <c r="G34" s="184">
        <v>600</v>
      </c>
      <c r="H34" s="178"/>
      <c r="I34" s="178"/>
      <c r="J34" s="178"/>
      <c r="K34" s="178"/>
    </row>
    <row r="35" spans="1:11" ht="15.75">
      <c r="A35" s="511"/>
      <c r="B35" s="26">
        <v>55227</v>
      </c>
      <c r="C35" s="25" t="s">
        <v>373</v>
      </c>
      <c r="D35" s="25">
        <v>480</v>
      </c>
      <c r="E35" s="30">
        <v>650</v>
      </c>
      <c r="F35" s="184">
        <v>640</v>
      </c>
      <c r="G35" s="184">
        <v>670</v>
      </c>
      <c r="H35" s="178"/>
      <c r="I35" s="178"/>
      <c r="J35" s="178"/>
      <c r="K35" s="178"/>
    </row>
    <row r="36" spans="1:11" ht="15.75">
      <c r="A36" s="511"/>
      <c r="B36" s="26">
        <v>5522.81</v>
      </c>
      <c r="C36" s="25" t="s">
        <v>372</v>
      </c>
      <c r="D36" s="25">
        <v>115</v>
      </c>
      <c r="E36" s="30">
        <v>50</v>
      </c>
      <c r="F36" s="184">
        <v>102</v>
      </c>
      <c r="G36" s="184">
        <v>130</v>
      </c>
      <c r="H36" s="178" t="s">
        <v>667</v>
      </c>
      <c r="I36" s="178"/>
      <c r="J36" s="178"/>
      <c r="K36" s="178"/>
    </row>
    <row r="37" spans="1:11" ht="15.75">
      <c r="A37" s="511"/>
      <c r="B37" s="26">
        <v>552282</v>
      </c>
      <c r="C37" s="25" t="s">
        <v>371</v>
      </c>
      <c r="D37" s="25">
        <v>100</v>
      </c>
      <c r="E37" s="30">
        <v>80</v>
      </c>
      <c r="F37" s="184">
        <v>18</v>
      </c>
      <c r="G37" s="184">
        <v>80</v>
      </c>
      <c r="H37" s="178"/>
      <c r="I37" s="178"/>
      <c r="J37" s="178"/>
      <c r="K37" s="178"/>
    </row>
    <row r="38" spans="1:11" ht="15.75">
      <c r="A38" s="511"/>
      <c r="B38" s="26">
        <v>55229</v>
      </c>
      <c r="C38" s="25" t="s">
        <v>370</v>
      </c>
      <c r="D38" s="25">
        <v>81</v>
      </c>
      <c r="E38" s="30">
        <v>120</v>
      </c>
      <c r="F38" s="178">
        <v>85</v>
      </c>
      <c r="G38" s="184">
        <v>120</v>
      </c>
      <c r="H38" s="184" t="s">
        <v>369</v>
      </c>
      <c r="I38" s="178"/>
      <c r="J38" s="178"/>
      <c r="K38" s="178"/>
    </row>
    <row r="39" spans="1:11" ht="15.75">
      <c r="A39" s="511"/>
      <c r="B39" s="26">
        <v>552291</v>
      </c>
      <c r="C39" s="25" t="s">
        <v>15</v>
      </c>
      <c r="D39" s="25">
        <v>5</v>
      </c>
      <c r="E39" s="30">
        <v>5</v>
      </c>
      <c r="F39" s="184"/>
      <c r="G39" s="184"/>
      <c r="H39" s="178"/>
      <c r="I39" s="178"/>
      <c r="J39" s="178"/>
      <c r="K39" s="178"/>
    </row>
    <row r="40" spans="1:11" ht="15.75">
      <c r="A40" s="511"/>
      <c r="B40" s="26">
        <v>55322</v>
      </c>
      <c r="C40" s="25" t="s">
        <v>368</v>
      </c>
      <c r="D40" s="25">
        <v>204</v>
      </c>
      <c r="E40" s="30">
        <v>230</v>
      </c>
      <c r="F40" s="184">
        <v>230</v>
      </c>
      <c r="G40" s="184">
        <v>230</v>
      </c>
      <c r="H40" s="178"/>
      <c r="I40" s="178"/>
      <c r="J40" s="178"/>
      <c r="K40" s="178"/>
    </row>
    <row r="41" spans="1:7" ht="15.75">
      <c r="A41" s="511"/>
      <c r="B41" s="27">
        <v>55</v>
      </c>
      <c r="C41" s="28" t="s">
        <v>16</v>
      </c>
      <c r="D41" s="29">
        <f>SUM(D32:D40)</f>
        <v>2765</v>
      </c>
      <c r="E41" s="29">
        <f>SUM(E32:E40)</f>
        <v>2985</v>
      </c>
      <c r="F41" s="29">
        <f>SUM(F32:F40)</f>
        <v>2712</v>
      </c>
      <c r="G41" s="29">
        <f>SUM(G32:G40)</f>
        <v>3050</v>
      </c>
    </row>
    <row r="42" spans="1:7" ht="15.75">
      <c r="A42" s="511"/>
      <c r="B42" s="26"/>
      <c r="C42" s="25"/>
      <c r="D42" s="25"/>
      <c r="E42" s="30"/>
      <c r="F42" s="184"/>
      <c r="G42" s="184"/>
    </row>
    <row r="43" spans="1:7" ht="15.75">
      <c r="A43" s="511"/>
      <c r="B43" s="26">
        <v>56121</v>
      </c>
      <c r="C43" s="25" t="s">
        <v>367</v>
      </c>
      <c r="D43" s="30">
        <f>(D30+D41)*0.27</f>
        <v>2516.94</v>
      </c>
      <c r="E43" s="30">
        <f>2100+(E41+E30-E22)*27%</f>
        <v>3317.4300000000003</v>
      </c>
      <c r="F43" s="184">
        <v>1120</v>
      </c>
      <c r="G43" s="185">
        <f>(G41+G30)*27%</f>
        <v>4014.9</v>
      </c>
    </row>
    <row r="44" spans="1:7" ht="15.75">
      <c r="A44" s="511"/>
      <c r="B44" s="26">
        <v>56221</v>
      </c>
      <c r="C44" s="25" t="s">
        <v>18</v>
      </c>
      <c r="D44" s="25">
        <v>40</v>
      </c>
      <c r="E44" s="30">
        <v>30</v>
      </c>
      <c r="F44" s="184">
        <v>14</v>
      </c>
      <c r="G44" s="184">
        <v>30</v>
      </c>
    </row>
    <row r="45" spans="1:7" ht="15.75">
      <c r="A45" s="511"/>
      <c r="B45" s="27">
        <v>56</v>
      </c>
      <c r="C45" s="28" t="s">
        <v>56</v>
      </c>
      <c r="D45" s="29">
        <f>SUM(D43:D44)</f>
        <v>2556.94</v>
      </c>
      <c r="E45" s="29">
        <f>SUM(E43:E44)</f>
        <v>3347.4300000000003</v>
      </c>
      <c r="F45" s="29">
        <f>SUM(F43:F44)</f>
        <v>1134</v>
      </c>
      <c r="G45" s="29">
        <f>SUM(G43:G44)</f>
        <v>4044.9</v>
      </c>
    </row>
    <row r="46" spans="1:7" ht="15.75">
      <c r="A46" s="511"/>
      <c r="B46" s="26"/>
      <c r="C46" s="25"/>
      <c r="D46" s="30"/>
      <c r="E46" s="30"/>
      <c r="F46" s="184"/>
      <c r="G46" s="184"/>
    </row>
    <row r="47" spans="1:7" ht="15.75">
      <c r="A47" s="511"/>
      <c r="B47" s="26">
        <v>57211</v>
      </c>
      <c r="C47" s="25" t="s">
        <v>366</v>
      </c>
      <c r="D47" s="30">
        <v>92</v>
      </c>
      <c r="E47" s="30">
        <f>E11*19.04%</f>
        <v>91.392</v>
      </c>
      <c r="F47" s="184"/>
      <c r="G47" s="184"/>
    </row>
    <row r="48" spans="1:7" ht="15.75">
      <c r="A48" s="511"/>
      <c r="B48" s="26">
        <v>57219</v>
      </c>
      <c r="C48" s="25" t="s">
        <v>365</v>
      </c>
      <c r="D48" s="30"/>
      <c r="E48" s="30"/>
      <c r="F48" s="184"/>
      <c r="G48" s="184"/>
    </row>
    <row r="49" spans="1:7" s="514" customFormat="1" ht="15.75">
      <c r="A49" s="513"/>
      <c r="B49" s="27">
        <v>57</v>
      </c>
      <c r="C49" s="28" t="s">
        <v>364</v>
      </c>
      <c r="D49" s="29">
        <f>SUM(D47:D48)</f>
        <v>92</v>
      </c>
      <c r="E49" s="29">
        <f>SUM(E47:E48)</f>
        <v>91.392</v>
      </c>
      <c r="F49" s="346"/>
      <c r="G49" s="346"/>
    </row>
    <row r="50" spans="1:7" ht="15.75">
      <c r="A50" s="511"/>
      <c r="B50" s="26"/>
      <c r="C50" s="28" t="s">
        <v>70</v>
      </c>
      <c r="D50" s="29"/>
      <c r="E50" s="29">
        <f>E49+E45+E41+E30</f>
        <v>15723.822</v>
      </c>
      <c r="F50" s="29">
        <f>F49+F45+F41+F30</f>
        <v>5283</v>
      </c>
      <c r="G50" s="29">
        <f>G49+G45+G41+G30</f>
        <v>18914.9</v>
      </c>
    </row>
    <row r="51" spans="1:7" ht="15.75">
      <c r="A51" s="511"/>
      <c r="B51" s="26"/>
      <c r="C51" s="25"/>
      <c r="D51" s="30"/>
      <c r="E51" s="30"/>
      <c r="F51" s="184"/>
      <c r="G51" s="184"/>
    </row>
    <row r="52" spans="1:7" ht="15.75">
      <c r="A52" s="511"/>
      <c r="B52" s="26"/>
      <c r="C52" s="25" t="s">
        <v>43</v>
      </c>
      <c r="D52" s="30"/>
      <c r="E52" s="30">
        <f>E50+E19+E14</f>
        <v>24683.917</v>
      </c>
      <c r="F52" s="30">
        <f>F50+F19+F14</f>
        <v>5283</v>
      </c>
      <c r="G52" s="30">
        <f>G50+G19+G14</f>
        <v>28811.08</v>
      </c>
    </row>
    <row r="53" spans="1:7" ht="15.75">
      <c r="A53" s="511"/>
      <c r="B53" s="26"/>
      <c r="C53" s="25"/>
      <c r="D53" s="30"/>
      <c r="E53" s="30"/>
      <c r="F53" s="184"/>
      <c r="G53" s="184"/>
    </row>
    <row r="54" spans="1:7" ht="15.75">
      <c r="A54" s="511"/>
      <c r="B54" s="26"/>
      <c r="C54" s="28" t="s">
        <v>666</v>
      </c>
      <c r="D54" s="28"/>
      <c r="E54" s="30"/>
      <c r="F54" s="184"/>
      <c r="G54" s="184">
        <v>250</v>
      </c>
    </row>
    <row r="55" spans="1:7" ht="15.75">
      <c r="A55" s="511"/>
      <c r="B55" s="26"/>
      <c r="C55" s="25" t="s">
        <v>232</v>
      </c>
      <c r="D55" s="25"/>
      <c r="E55" s="30"/>
      <c r="F55" s="184"/>
      <c r="G55" s="184">
        <v>68</v>
      </c>
    </row>
    <row r="56" spans="1:7" ht="15.75">
      <c r="A56" s="511"/>
      <c r="B56" s="26"/>
      <c r="C56" s="25" t="s">
        <v>62</v>
      </c>
      <c r="D56" s="25"/>
      <c r="E56" s="30"/>
      <c r="F56" s="184"/>
      <c r="G56" s="184">
        <f>SUM(G54:G55)</f>
        <v>318</v>
      </c>
    </row>
    <row r="57" spans="1:7" ht="15.75">
      <c r="A57" s="511"/>
      <c r="B57" s="26"/>
      <c r="C57" s="25"/>
      <c r="D57" s="25"/>
      <c r="E57" s="30"/>
      <c r="F57" s="184"/>
      <c r="G57" s="184"/>
    </row>
    <row r="58" spans="1:7" ht="15.75">
      <c r="A58" s="511"/>
      <c r="B58" s="27"/>
      <c r="C58" s="28" t="s">
        <v>118</v>
      </c>
      <c r="D58" s="28"/>
      <c r="E58" s="29">
        <f>E52+E54</f>
        <v>24683.917</v>
      </c>
      <c r="F58" s="29">
        <f>F52+F54</f>
        <v>5283</v>
      </c>
      <c r="G58" s="29">
        <f>G52+G56</f>
        <v>29129.08</v>
      </c>
    </row>
    <row r="59" spans="1:7" ht="15.75">
      <c r="A59" s="511"/>
      <c r="B59" s="26"/>
      <c r="C59" s="25"/>
      <c r="D59" s="25"/>
      <c r="E59" s="177"/>
      <c r="F59" s="184"/>
      <c r="G59" s="184"/>
    </row>
    <row r="60" spans="1:7" ht="15.75">
      <c r="A60" s="511"/>
      <c r="B60" s="26"/>
      <c r="C60" s="25"/>
      <c r="D60" s="25"/>
      <c r="E60" s="30"/>
      <c r="F60" s="184"/>
      <c r="G60" s="184"/>
    </row>
    <row r="61" spans="1:7" ht="15.75">
      <c r="A61" s="511"/>
      <c r="B61" s="26"/>
      <c r="C61" s="25" t="s">
        <v>363</v>
      </c>
      <c r="D61" s="25"/>
      <c r="E61" s="239">
        <v>3040</v>
      </c>
      <c r="F61" s="184"/>
      <c r="G61" s="185">
        <f>D176/1000</f>
        <v>5365.224</v>
      </c>
    </row>
    <row r="62" spans="1:7" ht="15.75">
      <c r="A62" s="511"/>
      <c r="B62" s="26"/>
      <c r="C62" s="25" t="s">
        <v>232</v>
      </c>
      <c r="D62" s="25"/>
      <c r="E62" s="239">
        <v>821</v>
      </c>
      <c r="F62" s="184"/>
      <c r="G62" s="185">
        <f>D177/1000</f>
        <v>1448.61048</v>
      </c>
    </row>
    <row r="63" spans="1:7" ht="15.75">
      <c r="A63" s="511"/>
      <c r="B63" s="27">
        <v>91</v>
      </c>
      <c r="C63" s="28" t="s">
        <v>362</v>
      </c>
      <c r="D63" s="28"/>
      <c r="E63" s="29">
        <f>SUM(E61:E62)</f>
        <v>3861</v>
      </c>
      <c r="F63" s="29">
        <f>SUM(F61:F62)</f>
        <v>0</v>
      </c>
      <c r="G63" s="29">
        <f>SUM(G61:G62)</f>
        <v>6813.83448</v>
      </c>
    </row>
    <row r="64" spans="1:7" ht="15.75">
      <c r="A64" s="511"/>
      <c r="B64" s="26"/>
      <c r="C64" s="25"/>
      <c r="D64" s="25"/>
      <c r="E64" s="239"/>
      <c r="F64" s="184"/>
      <c r="G64" s="184"/>
    </row>
    <row r="65" spans="1:7" ht="15.75">
      <c r="A65" s="511"/>
      <c r="B65" s="27"/>
      <c r="C65" s="28" t="s">
        <v>328</v>
      </c>
      <c r="D65" s="28"/>
      <c r="E65" s="515"/>
      <c r="F65" s="184"/>
      <c r="G65" s="516">
        <f>SUM(G63)</f>
        <v>6813.83448</v>
      </c>
    </row>
    <row r="66" spans="1:7" ht="15.75">
      <c r="A66" s="511"/>
      <c r="B66" s="26"/>
      <c r="C66" s="25"/>
      <c r="D66" s="25"/>
      <c r="E66" s="239"/>
      <c r="F66" s="30"/>
      <c r="G66" s="184"/>
    </row>
    <row r="67" spans="2:5" ht="15.75">
      <c r="B67" s="506"/>
      <c r="C67" s="195" t="s">
        <v>650</v>
      </c>
      <c r="D67" s="178"/>
      <c r="E67" s="178"/>
    </row>
    <row r="68" spans="3:5" ht="15.75">
      <c r="C68" s="178" t="s">
        <v>516</v>
      </c>
      <c r="D68" s="178"/>
      <c r="E68" s="178"/>
    </row>
    <row r="69" spans="3:5" ht="15.75">
      <c r="C69" s="178" t="s">
        <v>651</v>
      </c>
      <c r="D69" s="179">
        <f>44*65*400</f>
        <v>1144000</v>
      </c>
      <c r="E69" s="178"/>
    </row>
    <row r="70" spans="3:5" ht="15.75">
      <c r="C70" s="178" t="s">
        <v>54</v>
      </c>
      <c r="D70" s="179">
        <f>D69*0.27</f>
        <v>308880</v>
      </c>
      <c r="E70" s="178"/>
    </row>
    <row r="71" spans="3:5" ht="15.75">
      <c r="C71" s="178" t="s">
        <v>99</v>
      </c>
      <c r="D71" s="179">
        <f>D69*1.27</f>
        <v>1452880</v>
      </c>
      <c r="E71" s="178"/>
    </row>
    <row r="72" spans="3:5" ht="15.75">
      <c r="C72" s="178"/>
      <c r="D72" s="178"/>
      <c r="E72" s="178"/>
    </row>
    <row r="73" spans="3:5" ht="15.75">
      <c r="C73" s="178" t="s">
        <v>515</v>
      </c>
      <c r="D73" s="178"/>
      <c r="E73" s="178"/>
    </row>
    <row r="74" spans="3:5" ht="15.75">
      <c r="C74" s="178" t="s">
        <v>652</v>
      </c>
      <c r="D74" s="179">
        <f>41*44*450</f>
        <v>811800</v>
      </c>
      <c r="E74" s="178"/>
    </row>
    <row r="75" spans="3:5" ht="15.75">
      <c r="C75" s="178" t="s">
        <v>54</v>
      </c>
      <c r="D75" s="179">
        <f>D74*0.27</f>
        <v>219186</v>
      </c>
      <c r="E75" s="178"/>
    </row>
    <row r="76" spans="3:5" ht="15.75">
      <c r="C76" s="178" t="s">
        <v>99</v>
      </c>
      <c r="D76" s="179">
        <f>D74*1.27</f>
        <v>1030986</v>
      </c>
      <c r="E76" s="178"/>
    </row>
    <row r="77" spans="3:5" ht="15.75">
      <c r="C77" s="178"/>
      <c r="D77" s="178"/>
      <c r="E77" s="178"/>
    </row>
    <row r="78" spans="3:5" ht="15.75">
      <c r="C78" s="178" t="s">
        <v>514</v>
      </c>
      <c r="D78" s="178"/>
      <c r="E78" s="178"/>
    </row>
    <row r="79" spans="3:5" ht="15.75">
      <c r="C79" s="178" t="s">
        <v>653</v>
      </c>
      <c r="D79" s="178">
        <f>41*11*255</f>
        <v>115005</v>
      </c>
      <c r="E79" s="178"/>
    </row>
    <row r="80" spans="3:5" ht="15.75">
      <c r="C80" s="178" t="s">
        <v>54</v>
      </c>
      <c r="D80" s="179">
        <f>D79*0.27</f>
        <v>31051.350000000002</v>
      </c>
      <c r="E80" s="178"/>
    </row>
    <row r="81" spans="3:5" ht="15.75">
      <c r="C81" s="178" t="s">
        <v>99</v>
      </c>
      <c r="D81" s="179">
        <f>D79*1.27</f>
        <v>146056.35</v>
      </c>
      <c r="E81" s="178"/>
    </row>
    <row r="82" spans="3:5" ht="15.75">
      <c r="C82" s="178"/>
      <c r="D82" s="178"/>
      <c r="E82" s="178"/>
    </row>
    <row r="83" spans="3:5" ht="15.75">
      <c r="C83" s="178" t="s">
        <v>513</v>
      </c>
      <c r="D83" s="178"/>
      <c r="E83" s="178"/>
    </row>
    <row r="84" spans="3:5" ht="15.75">
      <c r="C84" s="178" t="s">
        <v>654</v>
      </c>
      <c r="D84" s="179">
        <f>41*21*295</f>
        <v>253995</v>
      </c>
      <c r="E84" s="178"/>
    </row>
    <row r="85" spans="3:5" ht="15.75">
      <c r="C85" s="178" t="s">
        <v>54</v>
      </c>
      <c r="D85" s="179">
        <f>D84*0.27</f>
        <v>68578.65000000001</v>
      </c>
      <c r="E85" s="178"/>
    </row>
    <row r="86" spans="3:5" ht="15.75">
      <c r="C86" s="178" t="s">
        <v>99</v>
      </c>
      <c r="D86" s="179">
        <f>D84*1.27</f>
        <v>322573.65</v>
      </c>
      <c r="E86" s="178"/>
    </row>
    <row r="87" spans="3:5" ht="15.75">
      <c r="C87" s="178"/>
      <c r="D87" s="178"/>
      <c r="E87" s="178"/>
    </row>
    <row r="88" spans="3:5" ht="15.75">
      <c r="C88" s="178" t="s">
        <v>512</v>
      </c>
      <c r="D88" s="178"/>
      <c r="E88" s="178"/>
    </row>
    <row r="89" spans="3:5" ht="15.75">
      <c r="C89" s="178" t="s">
        <v>655</v>
      </c>
      <c r="D89" s="179">
        <f>41*5*80</f>
        <v>16400</v>
      </c>
      <c r="E89" s="178"/>
    </row>
    <row r="90" spans="3:5" ht="15.75">
      <c r="C90" s="178" t="s">
        <v>54</v>
      </c>
      <c r="D90" s="179">
        <f>D89*0.27</f>
        <v>4428</v>
      </c>
      <c r="E90" s="178"/>
    </row>
    <row r="91" spans="3:5" ht="15.75">
      <c r="C91" s="178" t="s">
        <v>99</v>
      </c>
      <c r="D91" s="179">
        <f>D89*1.27</f>
        <v>20828</v>
      </c>
      <c r="E91" s="178"/>
    </row>
    <row r="92" spans="3:5" ht="15.75">
      <c r="C92" s="178"/>
      <c r="D92" s="178"/>
      <c r="E92" s="178"/>
    </row>
    <row r="93" spans="3:5" ht="15.75">
      <c r="C93" s="83"/>
      <c r="D93" s="83"/>
      <c r="E93" s="83"/>
    </row>
    <row r="94" spans="3:5" ht="15.75">
      <c r="C94" s="83"/>
      <c r="D94" s="83"/>
      <c r="E94" s="83"/>
    </row>
    <row r="95" spans="3:5" ht="15.75">
      <c r="C95" s="195" t="s">
        <v>656</v>
      </c>
      <c r="D95" s="178"/>
      <c r="E95" s="178"/>
    </row>
    <row r="96" spans="3:5" ht="15.75">
      <c r="C96" s="178" t="s">
        <v>516</v>
      </c>
      <c r="D96" s="178"/>
      <c r="E96" s="178"/>
    </row>
    <row r="97" spans="3:5" ht="15.75">
      <c r="C97" s="178" t="s">
        <v>657</v>
      </c>
      <c r="D97" s="179">
        <f>144*65*420</f>
        <v>3931200</v>
      </c>
      <c r="E97" s="178"/>
    </row>
    <row r="98" spans="3:5" ht="15.75">
      <c r="C98" s="178" t="s">
        <v>54</v>
      </c>
      <c r="D98" s="179">
        <f>D97*0.27</f>
        <v>1061424</v>
      </c>
      <c r="E98" s="178"/>
    </row>
    <row r="99" spans="3:6" ht="15.75">
      <c r="C99" s="178" t="s">
        <v>99</v>
      </c>
      <c r="D99" s="179">
        <f>D97*1.27</f>
        <v>4992624</v>
      </c>
      <c r="E99" s="178"/>
      <c r="F99" s="83"/>
    </row>
    <row r="100" spans="3:5" ht="15.75">
      <c r="C100" s="178"/>
      <c r="D100" s="178"/>
      <c r="E100" s="178"/>
    </row>
    <row r="101" spans="3:5" ht="15.75">
      <c r="C101" s="178" t="s">
        <v>515</v>
      </c>
      <c r="D101" s="178"/>
      <c r="E101" s="178"/>
    </row>
    <row r="102" spans="3:5" ht="15.75">
      <c r="C102" s="178" t="s">
        <v>658</v>
      </c>
      <c r="D102" s="179">
        <f>144*44*470</f>
        <v>2977920</v>
      </c>
      <c r="E102" s="178"/>
    </row>
    <row r="103" spans="3:6" ht="15.75">
      <c r="C103" s="178" t="s">
        <v>54</v>
      </c>
      <c r="D103" s="179">
        <f>D102*0.27</f>
        <v>804038.4</v>
      </c>
      <c r="E103" s="178"/>
      <c r="F103" s="83"/>
    </row>
    <row r="104" spans="3:5" ht="15.75">
      <c r="C104" s="178" t="s">
        <v>99</v>
      </c>
      <c r="D104" s="179">
        <f>D102*1.27</f>
        <v>3781958.4</v>
      </c>
      <c r="E104" s="178"/>
    </row>
    <row r="105" spans="3:5" ht="15.75">
      <c r="C105" s="178"/>
      <c r="D105" s="178"/>
      <c r="E105" s="178"/>
    </row>
    <row r="106" spans="3:5" ht="15.75">
      <c r="C106" s="178" t="s">
        <v>514</v>
      </c>
      <c r="D106" s="178"/>
      <c r="E106" s="178"/>
    </row>
    <row r="107" spans="3:5" ht="15.75">
      <c r="C107" s="178" t="s">
        <v>659</v>
      </c>
      <c r="D107" s="178">
        <f>144*11*275</f>
        <v>435600</v>
      </c>
      <c r="E107" s="178"/>
    </row>
    <row r="108" spans="3:5" ht="15.75">
      <c r="C108" s="178" t="s">
        <v>54</v>
      </c>
      <c r="D108" s="179">
        <f>D107*0.27</f>
        <v>117612.00000000001</v>
      </c>
      <c r="E108" s="178"/>
    </row>
    <row r="109" spans="3:6" ht="15.75">
      <c r="C109" s="178" t="s">
        <v>99</v>
      </c>
      <c r="D109" s="179">
        <f>D107*1.27</f>
        <v>553212</v>
      </c>
      <c r="E109" s="178"/>
      <c r="F109" s="83"/>
    </row>
    <row r="110" spans="3:5" ht="15.75">
      <c r="C110" s="178"/>
      <c r="D110" s="178"/>
      <c r="E110" s="178"/>
    </row>
    <row r="111" spans="3:5" ht="15.75">
      <c r="C111" s="178" t="s">
        <v>513</v>
      </c>
      <c r="D111" s="178"/>
      <c r="E111" s="178"/>
    </row>
    <row r="112" spans="3:5" ht="15.75">
      <c r="C112" s="178" t="s">
        <v>660</v>
      </c>
      <c r="D112" s="179">
        <f>144*21*315</f>
        <v>952560</v>
      </c>
      <c r="E112" s="178"/>
    </row>
    <row r="113" spans="3:6" ht="15.75">
      <c r="C113" s="178" t="s">
        <v>54</v>
      </c>
      <c r="D113" s="179">
        <f>D112*0.27</f>
        <v>257191.2</v>
      </c>
      <c r="E113" s="178"/>
      <c r="F113" s="83"/>
    </row>
    <row r="114" spans="3:5" ht="15.75">
      <c r="C114" s="178" t="s">
        <v>99</v>
      </c>
      <c r="D114" s="179">
        <f>D112*1.27</f>
        <v>1209751.2</v>
      </c>
      <c r="E114" s="178"/>
    </row>
    <row r="115" spans="3:5" ht="15.75">
      <c r="C115" s="178"/>
      <c r="D115" s="178"/>
      <c r="E115" s="178"/>
    </row>
    <row r="116" spans="3:5" ht="15.75">
      <c r="C116" s="178" t="s">
        <v>512</v>
      </c>
      <c r="D116" s="178"/>
      <c r="E116" s="178"/>
    </row>
    <row r="117" spans="3:5" ht="15.75">
      <c r="C117" s="178" t="s">
        <v>661</v>
      </c>
      <c r="D117" s="179">
        <f>144*5*80</f>
        <v>57600</v>
      </c>
      <c r="E117" s="178"/>
    </row>
    <row r="118" spans="3:6" ht="15.75">
      <c r="C118" s="178" t="s">
        <v>54</v>
      </c>
      <c r="D118" s="179">
        <f>D117*0.27</f>
        <v>15552.000000000002</v>
      </c>
      <c r="E118" s="178"/>
      <c r="F118" s="83"/>
    </row>
    <row r="119" spans="3:6" ht="15.75">
      <c r="C119" s="178" t="s">
        <v>99</v>
      </c>
      <c r="D119" s="179">
        <f>D117*1.27</f>
        <v>73152</v>
      </c>
      <c r="E119" s="178"/>
      <c r="F119" s="83"/>
    </row>
    <row r="120" spans="3:5" ht="15.75">
      <c r="C120" s="178"/>
      <c r="D120" s="178"/>
      <c r="E120" s="178"/>
    </row>
    <row r="121" spans="3:5" ht="15.75">
      <c r="C121" s="178"/>
      <c r="D121" s="178"/>
      <c r="E121" s="178"/>
    </row>
    <row r="122" spans="3:5" ht="15.75">
      <c r="C122" s="195" t="s">
        <v>662</v>
      </c>
      <c r="D122" s="178"/>
      <c r="E122" s="178"/>
    </row>
    <row r="123" spans="3:5" ht="15.75">
      <c r="C123" s="178" t="s">
        <v>516</v>
      </c>
      <c r="D123" s="178"/>
      <c r="E123" s="178"/>
    </row>
    <row r="124" spans="3:5" ht="15.75">
      <c r="C124" s="178" t="s">
        <v>651</v>
      </c>
      <c r="D124" s="179">
        <f>44*65*400</f>
        <v>1144000</v>
      </c>
      <c r="E124" s="178"/>
    </row>
    <row r="125" spans="3:5" ht="15.75">
      <c r="C125" s="178" t="s">
        <v>54</v>
      </c>
      <c r="D125" s="179">
        <f>D124*0.27</f>
        <v>308880</v>
      </c>
      <c r="E125" s="178"/>
    </row>
    <row r="126" spans="3:5" ht="15.75">
      <c r="C126" s="178" t="s">
        <v>99</v>
      </c>
      <c r="D126" s="179">
        <f>D124*1.27</f>
        <v>1452880</v>
      </c>
      <c r="E126" s="178"/>
    </row>
    <row r="127" spans="3:5" ht="15.75">
      <c r="C127" s="178"/>
      <c r="D127" s="178"/>
      <c r="E127" s="178"/>
    </row>
    <row r="128" spans="3:5" ht="15.75">
      <c r="C128" s="178" t="s">
        <v>515</v>
      </c>
      <c r="D128" s="178"/>
      <c r="E128" s="178"/>
    </row>
    <row r="129" spans="3:5" ht="15.75">
      <c r="C129" s="178" t="s">
        <v>652</v>
      </c>
      <c r="D129" s="179">
        <f>41*44*450</f>
        <v>811800</v>
      </c>
      <c r="E129" s="178"/>
    </row>
    <row r="130" spans="3:5" ht="15.75">
      <c r="C130" s="178" t="s">
        <v>54</v>
      </c>
      <c r="D130" s="179">
        <f>D129*0.27</f>
        <v>219186</v>
      </c>
      <c r="E130" s="178"/>
    </row>
    <row r="131" spans="3:5" ht="15.75">
      <c r="C131" s="178" t="s">
        <v>99</v>
      </c>
      <c r="D131" s="179">
        <f>D129*1.27</f>
        <v>1030986</v>
      </c>
      <c r="E131" s="178"/>
    </row>
    <row r="132" spans="3:5" ht="15.75">
      <c r="C132" s="178"/>
      <c r="D132" s="178"/>
      <c r="E132" s="178"/>
    </row>
    <row r="133" spans="3:5" ht="15.75">
      <c r="C133" s="178" t="s">
        <v>514</v>
      </c>
      <c r="D133" s="178"/>
      <c r="E133" s="178"/>
    </row>
    <row r="134" spans="3:5" ht="15.75">
      <c r="C134" s="178" t="s">
        <v>653</v>
      </c>
      <c r="D134" s="178">
        <f>41*11*255</f>
        <v>115005</v>
      </c>
      <c r="E134" s="178"/>
    </row>
    <row r="135" spans="3:5" ht="15.75">
      <c r="C135" s="178" t="s">
        <v>54</v>
      </c>
      <c r="D135" s="179">
        <f>D134*0.27</f>
        <v>31051.350000000002</v>
      </c>
      <c r="E135" s="178"/>
    </row>
    <row r="136" spans="3:5" ht="15.75">
      <c r="C136" s="178" t="s">
        <v>99</v>
      </c>
      <c r="D136" s="179">
        <f>D134*1.27</f>
        <v>146056.35</v>
      </c>
      <c r="E136" s="178"/>
    </row>
    <row r="137" spans="3:5" ht="15.75">
      <c r="C137" s="178"/>
      <c r="D137" s="178"/>
      <c r="E137" s="178"/>
    </row>
    <row r="138" spans="3:5" ht="15.75">
      <c r="C138" s="178" t="s">
        <v>513</v>
      </c>
      <c r="D138" s="178"/>
      <c r="E138" s="178"/>
    </row>
    <row r="139" spans="3:5" ht="15.75">
      <c r="C139" s="178" t="s">
        <v>654</v>
      </c>
      <c r="D139" s="179">
        <f>41*21*295</f>
        <v>253995</v>
      </c>
      <c r="E139" s="178"/>
    </row>
    <row r="140" spans="3:5" ht="15.75">
      <c r="C140" s="178" t="s">
        <v>54</v>
      </c>
      <c r="D140" s="179">
        <f>D139*0.27</f>
        <v>68578.65000000001</v>
      </c>
      <c r="E140" s="178"/>
    </row>
    <row r="141" spans="3:5" ht="15.75">
      <c r="C141" s="178" t="s">
        <v>99</v>
      </c>
      <c r="D141" s="179">
        <f>D139*1.27</f>
        <v>322573.65</v>
      </c>
      <c r="E141" s="178"/>
    </row>
    <row r="142" spans="3:5" ht="15.75">
      <c r="C142" s="178"/>
      <c r="D142" s="178"/>
      <c r="E142" s="178"/>
    </row>
    <row r="143" spans="3:5" ht="15.75">
      <c r="C143" s="178" t="s">
        <v>512</v>
      </c>
      <c r="D143" s="178"/>
      <c r="E143" s="178"/>
    </row>
    <row r="144" spans="3:5" ht="15.75">
      <c r="C144" s="178" t="s">
        <v>655</v>
      </c>
      <c r="D144" s="179">
        <f>41*5*80</f>
        <v>16400</v>
      </c>
      <c r="E144" s="178"/>
    </row>
    <row r="145" spans="3:5" ht="15.75">
      <c r="C145" s="178" t="s">
        <v>54</v>
      </c>
      <c r="D145" s="179">
        <f>D144*0.27</f>
        <v>4428</v>
      </c>
      <c r="E145" s="178"/>
    </row>
    <row r="146" spans="3:5" ht="15.75">
      <c r="C146" s="178" t="s">
        <v>99</v>
      </c>
      <c r="D146" s="179">
        <f>D144*1.27</f>
        <v>20828</v>
      </c>
      <c r="E146" s="178"/>
    </row>
    <row r="147" spans="3:5" ht="15.75">
      <c r="C147" s="178"/>
      <c r="D147" s="178"/>
      <c r="E147" s="178"/>
    </row>
    <row r="148" spans="3:5" ht="15.75">
      <c r="C148" s="83"/>
      <c r="D148" s="83"/>
      <c r="E148" s="83"/>
    </row>
    <row r="149" spans="3:5" ht="15.75">
      <c r="C149" s="83"/>
      <c r="D149" s="83"/>
      <c r="E149" s="83"/>
    </row>
    <row r="150" spans="3:5" ht="15.75">
      <c r="C150" s="195" t="s">
        <v>663</v>
      </c>
      <c r="D150" s="178"/>
      <c r="E150" s="178"/>
    </row>
    <row r="151" spans="3:5" ht="15.75">
      <c r="C151" s="178" t="s">
        <v>516</v>
      </c>
      <c r="D151" s="178"/>
      <c r="E151" s="178"/>
    </row>
    <row r="152" spans="3:5" ht="15.75">
      <c r="C152" s="178" t="s">
        <v>657</v>
      </c>
      <c r="D152" s="179">
        <f>144*65*420</f>
        <v>3931200</v>
      </c>
      <c r="E152" s="178"/>
    </row>
    <row r="153" spans="3:5" ht="15.75">
      <c r="C153" s="178" t="s">
        <v>54</v>
      </c>
      <c r="D153" s="179">
        <f>D152*0.27</f>
        <v>1061424</v>
      </c>
      <c r="E153" s="178"/>
    </row>
    <row r="154" spans="3:5" ht="15.75">
      <c r="C154" s="178" t="s">
        <v>99</v>
      </c>
      <c r="D154" s="179">
        <f>D152*1.27</f>
        <v>4992624</v>
      </c>
      <c r="E154" s="178"/>
    </row>
    <row r="155" spans="3:5" ht="15.75">
      <c r="C155" s="178"/>
      <c r="D155" s="178"/>
      <c r="E155" s="178"/>
    </row>
    <row r="156" spans="3:5" ht="15.75">
      <c r="C156" s="178" t="s">
        <v>515</v>
      </c>
      <c r="D156" s="178"/>
      <c r="E156" s="178"/>
    </row>
    <row r="157" spans="3:5" ht="15.75">
      <c r="C157" s="178" t="s">
        <v>658</v>
      </c>
      <c r="D157" s="179">
        <f>144*44*470</f>
        <v>2977920</v>
      </c>
      <c r="E157" s="178"/>
    </row>
    <row r="158" spans="3:5" ht="15.75">
      <c r="C158" s="178" t="s">
        <v>54</v>
      </c>
      <c r="D158" s="179">
        <f>D157*0.27</f>
        <v>804038.4</v>
      </c>
      <c r="E158" s="178"/>
    </row>
    <row r="159" spans="3:5" ht="15.75">
      <c r="C159" s="178" t="s">
        <v>99</v>
      </c>
      <c r="D159" s="179">
        <f>D157*1.27</f>
        <v>3781958.4</v>
      </c>
      <c r="E159" s="178"/>
    </row>
    <row r="160" spans="3:5" ht="15.75">
      <c r="C160" s="178"/>
      <c r="D160" s="178"/>
      <c r="E160" s="178"/>
    </row>
    <row r="161" spans="3:5" ht="15.75">
      <c r="C161" s="178" t="s">
        <v>514</v>
      </c>
      <c r="D161" s="178"/>
      <c r="E161" s="178"/>
    </row>
    <row r="162" spans="3:5" ht="15.75">
      <c r="C162" s="178" t="s">
        <v>659</v>
      </c>
      <c r="D162" s="178">
        <f>144*11*275</f>
        <v>435600</v>
      </c>
      <c r="E162" s="178"/>
    </row>
    <row r="163" spans="3:5" ht="15.75">
      <c r="C163" s="178" t="s">
        <v>54</v>
      </c>
      <c r="D163" s="179">
        <f>D162*0.27</f>
        <v>117612.00000000001</v>
      </c>
      <c r="E163" s="178"/>
    </row>
    <row r="164" spans="3:5" ht="15.75">
      <c r="C164" s="178" t="s">
        <v>99</v>
      </c>
      <c r="D164" s="179">
        <f>D162*1.27</f>
        <v>553212</v>
      </c>
      <c r="E164" s="178"/>
    </row>
    <row r="165" spans="3:5" ht="15.75">
      <c r="C165" s="178"/>
      <c r="D165" s="178"/>
      <c r="E165" s="178"/>
    </row>
    <row r="166" spans="3:5" ht="15.75">
      <c r="C166" s="178" t="s">
        <v>513</v>
      </c>
      <c r="D166" s="178"/>
      <c r="E166" s="178"/>
    </row>
    <row r="167" spans="3:5" ht="15.75">
      <c r="C167" s="178" t="s">
        <v>660</v>
      </c>
      <c r="D167" s="179">
        <f>144*21*315</f>
        <v>952560</v>
      </c>
      <c r="E167" s="178"/>
    </row>
    <row r="168" spans="3:5" ht="15.75">
      <c r="C168" s="178" t="s">
        <v>54</v>
      </c>
      <c r="D168" s="179">
        <f>D167*0.27</f>
        <v>257191.2</v>
      </c>
      <c r="E168" s="178"/>
    </row>
    <row r="169" spans="3:5" ht="15.75">
      <c r="C169" s="178" t="s">
        <v>99</v>
      </c>
      <c r="D169" s="179">
        <f>D167*1.27</f>
        <v>1209751.2</v>
      </c>
      <c r="E169" s="178"/>
    </row>
    <row r="170" spans="3:5" ht="15.75">
      <c r="C170" s="178"/>
      <c r="D170" s="178"/>
      <c r="E170" s="178"/>
    </row>
    <row r="171" spans="3:5" ht="15.75">
      <c r="C171" s="178" t="s">
        <v>512</v>
      </c>
      <c r="D171" s="178"/>
      <c r="E171" s="178"/>
    </row>
    <row r="172" spans="3:5" ht="15.75">
      <c r="C172" s="178" t="s">
        <v>661</v>
      </c>
      <c r="D172" s="179">
        <f>144*5*80</f>
        <v>57600</v>
      </c>
      <c r="E172" s="178"/>
    </row>
    <row r="173" spans="3:5" ht="15.75">
      <c r="C173" s="178" t="s">
        <v>54</v>
      </c>
      <c r="D173" s="179">
        <f>D172*0.27</f>
        <v>15552.000000000002</v>
      </c>
      <c r="E173" s="178"/>
    </row>
    <row r="174" spans="3:5" ht="15.75">
      <c r="C174" s="178" t="s">
        <v>99</v>
      </c>
      <c r="D174" s="179">
        <f>D172*1.27</f>
        <v>73152</v>
      </c>
      <c r="E174" s="178"/>
    </row>
    <row r="175" spans="3:5" ht="15.75">
      <c r="C175" s="178"/>
      <c r="D175" s="178"/>
      <c r="E175" s="178"/>
    </row>
    <row r="176" spans="3:4" ht="15.75">
      <c r="C176" s="195" t="s">
        <v>648</v>
      </c>
      <c r="D176" s="195">
        <v>5365224</v>
      </c>
    </row>
    <row r="177" spans="3:4" ht="15.75">
      <c r="C177" s="195" t="s">
        <v>232</v>
      </c>
      <c r="D177" s="195">
        <f>D176*27%</f>
        <v>1448610.48</v>
      </c>
    </row>
    <row r="178" spans="3:4" ht="15.75">
      <c r="C178" s="195" t="s">
        <v>664</v>
      </c>
      <c r="D178" s="195">
        <f>SUM(D176:D177)</f>
        <v>6813834.48</v>
      </c>
    </row>
  </sheetData>
  <sheetProtection/>
  <mergeCells count="2">
    <mergeCell ref="C2:D2"/>
    <mergeCell ref="B3:C3"/>
  </mergeCells>
  <printOptions/>
  <pageMargins left="0.7" right="0.7" top="0.75" bottom="0.75" header="0.3" footer="0.3"/>
  <pageSetup horizontalDpi="300" verticalDpi="300" orientation="portrait" paperSize="9" scale="55" r:id="rId1"/>
  <rowBreaks count="2" manualBreakCount="2">
    <brk id="66" max="10" man="1"/>
    <brk id="121" max="10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00000"/>
  </sheetPr>
  <dimension ref="A2:J158"/>
  <sheetViews>
    <sheetView zoomScalePageLayoutView="0" workbookViewId="0" topLeftCell="A91">
      <selection activeCell="E71" sqref="E71"/>
    </sheetView>
  </sheetViews>
  <sheetFormatPr defaultColWidth="8.41015625" defaultRowHeight="18"/>
  <cols>
    <col min="1" max="1" width="8.41015625" style="21" customWidth="1"/>
    <col min="2" max="2" width="29.41015625" style="21" customWidth="1"/>
    <col min="3" max="3" width="8" style="382" customWidth="1"/>
    <col min="4" max="4" width="7.33203125" style="21" customWidth="1"/>
    <col min="5" max="5" width="7.75" style="21" customWidth="1"/>
    <col min="6" max="249" width="7.08203125" style="21" customWidth="1"/>
    <col min="250" max="16384" width="8.41015625" style="21" customWidth="1"/>
  </cols>
  <sheetData>
    <row r="2" spans="1:5" ht="18.75">
      <c r="A2" s="620" t="s">
        <v>1331</v>
      </c>
      <c r="B2" s="620"/>
      <c r="C2" s="620"/>
      <c r="D2" s="620"/>
      <c r="E2" s="620"/>
    </row>
    <row r="3" ht="19.5" thickBot="1">
      <c r="C3" s="243"/>
    </row>
    <row r="4" spans="1:5" ht="19.5" thickBot="1">
      <c r="A4" s="595">
        <v>562913</v>
      </c>
      <c r="B4" s="245" t="s">
        <v>1379</v>
      </c>
      <c r="C4" s="421" t="s">
        <v>616</v>
      </c>
      <c r="D4" s="41" t="s">
        <v>626</v>
      </c>
      <c r="E4" s="34">
        <v>2016</v>
      </c>
    </row>
    <row r="5" spans="1:5" ht="19.5" thickBot="1">
      <c r="A5" s="596" t="s">
        <v>1380</v>
      </c>
      <c r="B5" s="210" t="s">
        <v>1421</v>
      </c>
      <c r="C5" s="295"/>
      <c r="D5" s="34"/>
      <c r="E5" s="34"/>
    </row>
    <row r="6" spans="1:5" ht="18.75">
      <c r="A6" s="249" t="s">
        <v>819</v>
      </c>
      <c r="B6" s="250" t="s">
        <v>1238</v>
      </c>
      <c r="C6" s="376">
        <v>5637</v>
      </c>
      <c r="D6" s="565"/>
      <c r="E6" s="565">
        <v>5949</v>
      </c>
    </row>
    <row r="7" spans="1:5" ht="18.75">
      <c r="A7" s="253" t="s">
        <v>822</v>
      </c>
      <c r="B7" s="254" t="s">
        <v>821</v>
      </c>
      <c r="C7" s="377">
        <v>360</v>
      </c>
      <c r="D7" s="34"/>
      <c r="E7" s="34">
        <v>360</v>
      </c>
    </row>
    <row r="8" spans="1:5" ht="18.75">
      <c r="A8" s="253" t="s">
        <v>823</v>
      </c>
      <c r="B8" s="254" t="s">
        <v>820</v>
      </c>
      <c r="C8" s="377"/>
      <c r="D8" s="34"/>
      <c r="E8" s="381"/>
    </row>
    <row r="9" spans="1:5" ht="18.75">
      <c r="A9" s="253" t="s">
        <v>825</v>
      </c>
      <c r="B9" s="254" t="s">
        <v>824</v>
      </c>
      <c r="C9" s="377">
        <v>86</v>
      </c>
      <c r="D9" s="34"/>
      <c r="E9" s="34"/>
    </row>
    <row r="10" spans="1:5" ht="18.75">
      <c r="A10" s="253" t="s">
        <v>826</v>
      </c>
      <c r="B10" s="260" t="s">
        <v>1239</v>
      </c>
      <c r="C10" s="377">
        <v>130</v>
      </c>
      <c r="D10" s="34"/>
      <c r="E10" s="34">
        <v>200</v>
      </c>
    </row>
    <row r="11" spans="1:5" ht="18.75">
      <c r="A11" s="253" t="s">
        <v>1233</v>
      </c>
      <c r="B11" s="260" t="s">
        <v>1240</v>
      </c>
      <c r="C11" s="378"/>
      <c r="D11" s="34"/>
      <c r="E11" s="34"/>
    </row>
    <row r="12" spans="1:5" ht="18.75">
      <c r="A12" s="253" t="s">
        <v>1241</v>
      </c>
      <c r="B12" s="262" t="s">
        <v>1234</v>
      </c>
      <c r="C12" s="377"/>
      <c r="D12" s="34"/>
      <c r="E12" s="34"/>
    </row>
    <row r="13" spans="1:5" ht="18.75">
      <c r="A13" s="253" t="s">
        <v>1242</v>
      </c>
      <c r="B13" s="262" t="s">
        <v>1235</v>
      </c>
      <c r="C13" s="377">
        <v>600</v>
      </c>
      <c r="D13" s="34"/>
      <c r="E13" s="34">
        <v>600</v>
      </c>
    </row>
    <row r="14" spans="1:5" ht="18.75">
      <c r="A14" s="253" t="s">
        <v>1243</v>
      </c>
      <c r="B14" s="254" t="s">
        <v>528</v>
      </c>
      <c r="C14" s="377"/>
      <c r="D14" s="34"/>
      <c r="E14" s="34"/>
    </row>
    <row r="15" spans="1:5" ht="18.75">
      <c r="A15" s="253" t="s">
        <v>1244</v>
      </c>
      <c r="B15" s="254" t="s">
        <v>1236</v>
      </c>
      <c r="C15" s="377">
        <v>20</v>
      </c>
      <c r="D15" s="34"/>
      <c r="E15" s="34">
        <v>20</v>
      </c>
    </row>
    <row r="16" spans="1:5" ht="19.5" thickBot="1">
      <c r="A16" s="264" t="s">
        <v>1245</v>
      </c>
      <c r="B16" s="265" t="s">
        <v>791</v>
      </c>
      <c r="C16" s="377">
        <v>501</v>
      </c>
      <c r="D16" s="34"/>
      <c r="E16" s="34">
        <v>528</v>
      </c>
    </row>
    <row r="17" spans="1:5" ht="19.5" thickBot="1">
      <c r="A17" s="568" t="s">
        <v>1327</v>
      </c>
      <c r="B17" s="569" t="s">
        <v>1249</v>
      </c>
      <c r="C17" s="379">
        <f>SUM(C6:C16)</f>
        <v>7334</v>
      </c>
      <c r="D17" s="379">
        <f>SUM(D6:D16)</f>
        <v>0</v>
      </c>
      <c r="E17" s="379">
        <f>SUM(E6:E16)</f>
        <v>7657</v>
      </c>
    </row>
    <row r="18" spans="1:5" ht="19.5" thickBot="1">
      <c r="A18" s="557" t="s">
        <v>1329</v>
      </c>
      <c r="B18" s="558" t="s">
        <v>1248</v>
      </c>
      <c r="C18" s="377"/>
      <c r="D18" s="34"/>
      <c r="E18" s="34"/>
    </row>
    <row r="19" spans="1:5" ht="19.5" thickBot="1">
      <c r="A19" s="557" t="s">
        <v>1328</v>
      </c>
      <c r="B19" s="558" t="s">
        <v>1246</v>
      </c>
      <c r="C19" s="377"/>
      <c r="D19" s="34"/>
      <c r="E19" s="34"/>
    </row>
    <row r="20" spans="1:5" ht="19.5" thickBot="1">
      <c r="A20" s="557" t="s">
        <v>1253</v>
      </c>
      <c r="B20" s="558" t="s">
        <v>19</v>
      </c>
      <c r="C20" s="377"/>
      <c r="D20" s="34"/>
      <c r="E20" s="34"/>
    </row>
    <row r="21" spans="1:6" ht="19.5" thickBot="1">
      <c r="A21" s="557" t="s">
        <v>1254</v>
      </c>
      <c r="B21" s="558" t="s">
        <v>889</v>
      </c>
      <c r="C21" s="377">
        <v>420</v>
      </c>
      <c r="D21" s="34"/>
      <c r="E21" s="34">
        <v>456</v>
      </c>
      <c r="F21" t="s">
        <v>1480</v>
      </c>
    </row>
    <row r="22" spans="1:5" ht="19.5" thickBot="1">
      <c r="A22" s="568" t="s">
        <v>1330</v>
      </c>
      <c r="B22" s="569" t="s">
        <v>1247</v>
      </c>
      <c r="C22" s="377">
        <f>SUM(C18:C21)</f>
        <v>420</v>
      </c>
      <c r="D22" s="377">
        <f>SUM(D18:D21)</f>
        <v>0</v>
      </c>
      <c r="E22" s="377">
        <f>SUM(E18:E21)</f>
        <v>456</v>
      </c>
    </row>
    <row r="23" spans="1:5" ht="27" customHeight="1" thickBot="1">
      <c r="A23" s="268" t="s">
        <v>1250</v>
      </c>
      <c r="B23" s="269" t="s">
        <v>1237</v>
      </c>
      <c r="C23" s="379">
        <f>SUM(C22,C17)</f>
        <v>7754</v>
      </c>
      <c r="D23" s="379">
        <f>SUM(D22,D17)</f>
        <v>0</v>
      </c>
      <c r="E23" s="379">
        <f>SUM(E22,E17)</f>
        <v>8113</v>
      </c>
    </row>
    <row r="24" spans="1:5" ht="19.5" thickBot="1">
      <c r="A24" s="270"/>
      <c r="B24" s="271"/>
      <c r="C24" s="377"/>
      <c r="D24" s="34"/>
      <c r="E24" s="34"/>
    </row>
    <row r="25" spans="1:6" ht="18.75">
      <c r="A25" s="272" t="s">
        <v>1255</v>
      </c>
      <c r="B25" s="97" t="s">
        <v>590</v>
      </c>
      <c r="C25" s="275">
        <v>1926</v>
      </c>
      <c r="D25" s="44"/>
      <c r="E25" s="44">
        <f>F25*27%</f>
        <v>2023.1100000000001</v>
      </c>
      <c r="F25" s="21">
        <f>E6+E7+E8+E9+E10+E11+E16+E22</f>
        <v>7493</v>
      </c>
    </row>
    <row r="26" spans="1:5" ht="18.75">
      <c r="A26" s="559" t="s">
        <v>1256</v>
      </c>
      <c r="B26" s="97" t="s">
        <v>1251</v>
      </c>
      <c r="C26" s="275"/>
      <c r="D26" s="44"/>
      <c r="E26" s="44"/>
    </row>
    <row r="27" spans="1:6" ht="18.75">
      <c r="A27" s="276" t="s">
        <v>1252</v>
      </c>
      <c r="B27" s="255" t="s">
        <v>4</v>
      </c>
      <c r="C27" s="378">
        <v>100</v>
      </c>
      <c r="D27" s="34"/>
      <c r="E27" s="44">
        <f>F27*16.67%</f>
        <v>100.02000000000001</v>
      </c>
      <c r="F27" s="21">
        <f>E12+E13</f>
        <v>600</v>
      </c>
    </row>
    <row r="28" spans="1:5" ht="19.5" thickBot="1">
      <c r="A28" s="462" t="s">
        <v>1257</v>
      </c>
      <c r="B28" s="255" t="s">
        <v>635</v>
      </c>
      <c r="C28" s="378">
        <v>116</v>
      </c>
      <c r="D28" s="34"/>
      <c r="E28" s="44">
        <f>F27*19.04%</f>
        <v>114.24</v>
      </c>
    </row>
    <row r="29" spans="1:5" ht="19.5" thickBot="1">
      <c r="A29" s="582" t="s">
        <v>1258</v>
      </c>
      <c r="B29" s="583" t="s">
        <v>69</v>
      </c>
      <c r="C29" s="378">
        <f>SUM(C25:C28)</f>
        <v>2142</v>
      </c>
      <c r="D29" s="378">
        <f>SUM(D25:D28)</f>
        <v>0</v>
      </c>
      <c r="E29" s="378">
        <f>SUM(E25:E28)</f>
        <v>2237.37</v>
      </c>
    </row>
    <row r="30" spans="1:5" ht="19.5" thickBot="1">
      <c r="A30" s="282"/>
      <c r="B30" s="283"/>
      <c r="C30" s="377"/>
      <c r="D30" s="34"/>
      <c r="E30" s="34"/>
    </row>
    <row r="31" spans="1:5" ht="18.75">
      <c r="A31" s="249" t="s">
        <v>1259</v>
      </c>
      <c r="B31" s="291" t="s">
        <v>533</v>
      </c>
      <c r="C31" s="377"/>
      <c r="D31" s="34">
        <v>17</v>
      </c>
      <c r="E31" s="34"/>
    </row>
    <row r="32" spans="1:5" ht="18.75">
      <c r="A32" s="253" t="s">
        <v>1260</v>
      </c>
      <c r="B32" s="254" t="s">
        <v>534</v>
      </c>
      <c r="C32" s="377"/>
      <c r="D32" s="41"/>
      <c r="E32" s="34"/>
    </row>
    <row r="33" spans="1:5" ht="18.75">
      <c r="A33" s="253" t="s">
        <v>1262</v>
      </c>
      <c r="B33" s="254" t="s">
        <v>1261</v>
      </c>
      <c r="C33" s="377">
        <v>10</v>
      </c>
      <c r="D33" s="41">
        <v>9</v>
      </c>
      <c r="E33" s="34">
        <v>10</v>
      </c>
    </row>
    <row r="34" spans="1:5" ht="18.75">
      <c r="A34" s="253" t="s">
        <v>1263</v>
      </c>
      <c r="B34" s="254" t="s">
        <v>124</v>
      </c>
      <c r="C34" s="377"/>
      <c r="D34" s="41"/>
      <c r="E34" s="34"/>
    </row>
    <row r="35" spans="1:6" ht="18.75">
      <c r="A35" s="253" t="s">
        <v>1264</v>
      </c>
      <c r="B35" s="254" t="s">
        <v>1265</v>
      </c>
      <c r="C35" s="570">
        <v>300</v>
      </c>
      <c r="D35" s="41"/>
      <c r="E35" s="34">
        <v>150</v>
      </c>
      <c r="F35" s="21" t="s">
        <v>1481</v>
      </c>
    </row>
    <row r="36" spans="1:5" ht="18.75">
      <c r="A36" s="253" t="s">
        <v>1335</v>
      </c>
      <c r="B36" s="562" t="s">
        <v>548</v>
      </c>
      <c r="C36" s="570">
        <f>SUM(C31:C35)</f>
        <v>310</v>
      </c>
      <c r="D36" s="570">
        <f>SUM(D31:D35)</f>
        <v>26</v>
      </c>
      <c r="E36" s="570">
        <f>SUM(E31:E35)</f>
        <v>160</v>
      </c>
    </row>
    <row r="37" spans="1:5" ht="18.75">
      <c r="A37" s="253" t="s">
        <v>1342</v>
      </c>
      <c r="B37" s="254" t="s">
        <v>1343</v>
      </c>
      <c r="C37" s="570">
        <v>10696</v>
      </c>
      <c r="D37" s="612">
        <v>8001</v>
      </c>
      <c r="E37" s="570">
        <v>9807</v>
      </c>
    </row>
    <row r="38" spans="1:5" ht="18.75">
      <c r="A38" s="253" t="s">
        <v>1344</v>
      </c>
      <c r="B38" s="254" t="s">
        <v>1267</v>
      </c>
      <c r="C38" s="570">
        <v>120</v>
      </c>
      <c r="D38" s="34">
        <v>113</v>
      </c>
      <c r="E38" s="34">
        <v>120</v>
      </c>
    </row>
    <row r="39" spans="1:5" ht="18.75">
      <c r="A39" s="253" t="s">
        <v>1345</v>
      </c>
      <c r="B39" s="254" t="s">
        <v>88</v>
      </c>
      <c r="C39" s="570"/>
      <c r="D39" s="34"/>
      <c r="E39" s="34"/>
    </row>
    <row r="40" spans="1:6" ht="18.75">
      <c r="A40" s="253" t="s">
        <v>1346</v>
      </c>
      <c r="B40" s="254" t="s">
        <v>1268</v>
      </c>
      <c r="C40" s="377">
        <v>74</v>
      </c>
      <c r="D40" s="34">
        <v>74</v>
      </c>
      <c r="E40" s="34">
        <v>74</v>
      </c>
      <c r="F40" s="21" t="s">
        <v>1483</v>
      </c>
    </row>
    <row r="41" spans="1:6" ht="19.5" thickBot="1">
      <c r="A41" s="288" t="s">
        <v>1347</v>
      </c>
      <c r="B41" s="289" t="s">
        <v>1269</v>
      </c>
      <c r="C41" s="377">
        <v>520</v>
      </c>
      <c r="D41" s="34">
        <v>664</v>
      </c>
      <c r="E41" s="34">
        <v>520</v>
      </c>
      <c r="F41" s="21" t="s">
        <v>1484</v>
      </c>
    </row>
    <row r="42" spans="1:5" ht="17.25" customHeight="1" thickBot="1">
      <c r="A42" s="268" t="s">
        <v>1266</v>
      </c>
      <c r="B42" s="571" t="s">
        <v>1270</v>
      </c>
      <c r="C42" s="377">
        <f>SUM(C37:C41)</f>
        <v>11410</v>
      </c>
      <c r="D42" s="377">
        <f>SUM(D37:D41)</f>
        <v>8852</v>
      </c>
      <c r="E42" s="377">
        <f>SUM(E37:E41)</f>
        <v>10521</v>
      </c>
    </row>
    <row r="43" spans="1:5" ht="22.5" customHeight="1" thickBot="1">
      <c r="A43" s="572" t="s">
        <v>1300</v>
      </c>
      <c r="B43" s="573" t="s">
        <v>595</v>
      </c>
      <c r="C43" s="574">
        <f>SUM(C42,C36)</f>
        <v>11720</v>
      </c>
      <c r="D43" s="574">
        <f>SUM(D42,D36)</f>
        <v>8878</v>
      </c>
      <c r="E43" s="574">
        <f>SUM(E42,E36)</f>
        <v>10681</v>
      </c>
    </row>
    <row r="44" spans="1:5" ht="18.75">
      <c r="A44" s="249" t="s">
        <v>1271</v>
      </c>
      <c r="B44" s="291" t="s">
        <v>1348</v>
      </c>
      <c r="C44" s="377"/>
      <c r="D44" s="34"/>
      <c r="E44" s="34"/>
    </row>
    <row r="45" spans="1:6" ht="18.75">
      <c r="A45" s="494" t="s">
        <v>1350</v>
      </c>
      <c r="B45" s="590" t="s">
        <v>1351</v>
      </c>
      <c r="C45" s="377">
        <v>100</v>
      </c>
      <c r="D45" s="34">
        <v>90</v>
      </c>
      <c r="E45" s="34">
        <v>60</v>
      </c>
      <c r="F45" s="21" t="s">
        <v>1490</v>
      </c>
    </row>
    <row r="46" spans="1:5" ht="18.75">
      <c r="A46" s="253" t="s">
        <v>1272</v>
      </c>
      <c r="B46" s="254" t="s">
        <v>1349</v>
      </c>
      <c r="C46" s="295">
        <v>120</v>
      </c>
      <c r="D46" s="566">
        <v>111</v>
      </c>
      <c r="E46" s="34">
        <v>120</v>
      </c>
    </row>
    <row r="47" spans="1:5" ht="18.75">
      <c r="A47" s="575" t="s">
        <v>1301</v>
      </c>
      <c r="B47" s="576" t="s">
        <v>1366</v>
      </c>
      <c r="C47" s="577">
        <f>SUM(C44:C46)</f>
        <v>220</v>
      </c>
      <c r="D47" s="577">
        <f>SUM(D44:D46)</f>
        <v>201</v>
      </c>
      <c r="E47" s="577">
        <f>SUM(E44:E46)</f>
        <v>180</v>
      </c>
    </row>
    <row r="48" spans="1:5" ht="18.75">
      <c r="A48" s="253" t="s">
        <v>1275</v>
      </c>
      <c r="B48" s="254" t="s">
        <v>544</v>
      </c>
      <c r="C48" s="295">
        <v>600</v>
      </c>
      <c r="D48" s="566">
        <v>510</v>
      </c>
      <c r="E48" s="34">
        <v>600</v>
      </c>
    </row>
    <row r="49" spans="1:5" ht="18.75">
      <c r="A49" s="253" t="s">
        <v>1274</v>
      </c>
      <c r="B49" s="254" t="s">
        <v>543</v>
      </c>
      <c r="C49" s="295">
        <v>1100</v>
      </c>
      <c r="D49" s="34">
        <v>800</v>
      </c>
      <c r="E49" s="34">
        <v>900</v>
      </c>
    </row>
    <row r="50" spans="1:5" ht="18.75">
      <c r="A50" s="253" t="s">
        <v>1276</v>
      </c>
      <c r="B50" s="254" t="s">
        <v>503</v>
      </c>
      <c r="C50" s="295">
        <v>670</v>
      </c>
      <c r="D50" s="34">
        <v>583</v>
      </c>
      <c r="E50" s="34">
        <v>670</v>
      </c>
    </row>
    <row r="51" spans="1:5" ht="18.75">
      <c r="A51" s="575" t="s">
        <v>1273</v>
      </c>
      <c r="B51" s="576" t="s">
        <v>1277</v>
      </c>
      <c r="C51" s="577">
        <f>SUM(C48:C50)</f>
        <v>2370</v>
      </c>
      <c r="D51" s="577">
        <f>SUM(D48:D50)</f>
        <v>1893</v>
      </c>
      <c r="E51" s="577">
        <f>SUM(E48:E50)</f>
        <v>2170</v>
      </c>
    </row>
    <row r="52" spans="1:5" ht="18.75">
      <c r="A52" s="253" t="s">
        <v>1332</v>
      </c>
      <c r="B52" s="254" t="s">
        <v>1278</v>
      </c>
      <c r="C52" s="295"/>
      <c r="D52" s="34"/>
      <c r="E52" s="34"/>
    </row>
    <row r="53" spans="1:6" ht="18.75">
      <c r="A53" s="253" t="s">
        <v>1280</v>
      </c>
      <c r="B53" s="254" t="s">
        <v>26</v>
      </c>
      <c r="C53" s="295">
        <v>130</v>
      </c>
      <c r="D53" s="41">
        <v>55</v>
      </c>
      <c r="E53" s="34">
        <v>370</v>
      </c>
      <c r="F53" s="21" t="s">
        <v>1485</v>
      </c>
    </row>
    <row r="54" spans="1:6" ht="18.75">
      <c r="A54" s="253" t="s">
        <v>1281</v>
      </c>
      <c r="B54" s="254" t="s">
        <v>1352</v>
      </c>
      <c r="C54" s="377">
        <v>80</v>
      </c>
      <c r="D54" s="34">
        <v>10</v>
      </c>
      <c r="E54" s="34">
        <v>175</v>
      </c>
      <c r="F54" t="s">
        <v>1566</v>
      </c>
    </row>
    <row r="55" spans="1:5" ht="18.75">
      <c r="A55" s="575" t="s">
        <v>1283</v>
      </c>
      <c r="B55" s="576" t="s">
        <v>1282</v>
      </c>
      <c r="C55" s="574">
        <f>SUM(C53:C54)</f>
        <v>210</v>
      </c>
      <c r="D55" s="574">
        <f>SUM(D53:D54)</f>
        <v>65</v>
      </c>
      <c r="E55" s="574">
        <f>SUM(E53:E54)</f>
        <v>545</v>
      </c>
    </row>
    <row r="56" spans="1:5" ht="18.75">
      <c r="A56" s="575" t="s">
        <v>1284</v>
      </c>
      <c r="B56" s="588" t="s">
        <v>1333</v>
      </c>
      <c r="C56" s="589"/>
      <c r="D56" s="589"/>
      <c r="E56" s="589"/>
    </row>
    <row r="57" spans="1:5" ht="18.75">
      <c r="A57" s="288"/>
      <c r="B57" s="554" t="s">
        <v>943</v>
      </c>
      <c r="C57" s="554"/>
      <c r="D57" s="554"/>
      <c r="E57" s="554"/>
    </row>
    <row r="58" spans="1:6" ht="18.75">
      <c r="A58" s="288" t="s">
        <v>1353</v>
      </c>
      <c r="B58" s="554" t="s">
        <v>547</v>
      </c>
      <c r="C58" s="554">
        <v>230</v>
      </c>
      <c r="D58" s="554">
        <v>230</v>
      </c>
      <c r="E58" s="554">
        <v>230</v>
      </c>
      <c r="F58" s="21" t="s">
        <v>1487</v>
      </c>
    </row>
    <row r="59" spans="1:5" ht="18.75">
      <c r="A59" s="288" t="s">
        <v>1354</v>
      </c>
      <c r="B59" s="554" t="s">
        <v>1355</v>
      </c>
      <c r="C59" s="554"/>
      <c r="D59" s="554"/>
      <c r="E59" s="554"/>
    </row>
    <row r="60" spans="1:5" ht="27" customHeight="1">
      <c r="A60" s="561" t="s">
        <v>1285</v>
      </c>
      <c r="B60" s="552" t="s">
        <v>945</v>
      </c>
      <c r="C60" s="591">
        <f>SUM(C58:C59)</f>
        <v>230</v>
      </c>
      <c r="D60" s="591">
        <f>SUM(D58:D59)</f>
        <v>230</v>
      </c>
      <c r="E60" s="591">
        <f>SUM(E58:E59)</f>
        <v>230</v>
      </c>
    </row>
    <row r="61" spans="1:5" ht="23.25" customHeight="1">
      <c r="A61" s="462" t="s">
        <v>1356</v>
      </c>
      <c r="B61" s="553" t="s">
        <v>1362</v>
      </c>
      <c r="C61" s="591"/>
      <c r="D61" s="591"/>
      <c r="E61" s="591"/>
    </row>
    <row r="62" spans="1:5" ht="23.25" customHeight="1">
      <c r="A62" s="462" t="s">
        <v>1357</v>
      </c>
      <c r="B62" s="553" t="s">
        <v>1358</v>
      </c>
      <c r="C62" s="591"/>
      <c r="D62" s="591"/>
      <c r="E62" s="591"/>
    </row>
    <row r="63" spans="1:5" ht="23.25" customHeight="1">
      <c r="A63" s="462" t="s">
        <v>1359</v>
      </c>
      <c r="B63" s="553" t="s">
        <v>9</v>
      </c>
      <c r="C63" s="591"/>
      <c r="D63" s="591"/>
      <c r="E63" s="591"/>
    </row>
    <row r="64" spans="1:6" ht="23.25" customHeight="1" thickBot="1">
      <c r="A64" s="462" t="s">
        <v>1360</v>
      </c>
      <c r="B64" s="553" t="s">
        <v>1361</v>
      </c>
      <c r="C64" s="591">
        <v>120</v>
      </c>
      <c r="D64" s="591">
        <v>52</v>
      </c>
      <c r="E64" s="591">
        <v>120</v>
      </c>
      <c r="F64" s="21" t="s">
        <v>1486</v>
      </c>
    </row>
    <row r="65" spans="1:5" ht="17.25" customHeight="1" thickBot="1">
      <c r="A65" s="298" t="s">
        <v>1286</v>
      </c>
      <c r="B65" s="552" t="s">
        <v>948</v>
      </c>
      <c r="C65" s="591">
        <f>SUM(C61:C64)</f>
        <v>120</v>
      </c>
      <c r="D65" s="591">
        <f>SUM(D61:D64)</f>
        <v>52</v>
      </c>
      <c r="E65" s="591">
        <f>SUM(E61:E64)</f>
        <v>120</v>
      </c>
    </row>
    <row r="66" spans="1:5" ht="25.5" customHeight="1">
      <c r="A66" s="578" t="s">
        <v>1279</v>
      </c>
      <c r="B66" s="579" t="s">
        <v>1287</v>
      </c>
      <c r="C66" s="579">
        <f>SUM(C65+C60+C56+C55+C52)</f>
        <v>560</v>
      </c>
      <c r="D66" s="579">
        <f>SUM(D65+D60+D56+D55+D52)</f>
        <v>347</v>
      </c>
      <c r="E66" s="603">
        <f>SUM(E65+E60+E56+E55+E51)</f>
        <v>3065</v>
      </c>
    </row>
    <row r="67" spans="1:6" ht="18.75">
      <c r="A67" s="253" t="s">
        <v>1288</v>
      </c>
      <c r="B67" s="553" t="s">
        <v>952</v>
      </c>
      <c r="C67" s="553">
        <v>30</v>
      </c>
      <c r="D67" s="553">
        <v>11</v>
      </c>
      <c r="E67" s="553">
        <v>30</v>
      </c>
      <c r="F67" s="21" t="s">
        <v>1488</v>
      </c>
    </row>
    <row r="68" spans="1:5" ht="18.75">
      <c r="A68" s="253" t="s">
        <v>1289</v>
      </c>
      <c r="B68" s="553" t="s">
        <v>954</v>
      </c>
      <c r="C68" s="553"/>
      <c r="D68" s="553"/>
      <c r="E68" s="553"/>
    </row>
    <row r="69" spans="1:5" ht="24" customHeight="1">
      <c r="A69" s="575" t="s">
        <v>1291</v>
      </c>
      <c r="B69" s="579" t="s">
        <v>1290</v>
      </c>
      <c r="C69" s="579">
        <f>SUM(C67:C68)</f>
        <v>30</v>
      </c>
      <c r="D69" s="579">
        <f>SUM(D67:D68)</f>
        <v>11</v>
      </c>
      <c r="E69" s="579">
        <f>SUM(E67:E68)</f>
        <v>30</v>
      </c>
    </row>
    <row r="70" spans="1:7" ht="26.25" customHeight="1" thickBot="1">
      <c r="A70" s="561" t="s">
        <v>1294</v>
      </c>
      <c r="B70" s="552" t="s">
        <v>958</v>
      </c>
      <c r="C70" s="552">
        <v>4015</v>
      </c>
      <c r="D70" s="552">
        <v>3751</v>
      </c>
      <c r="E70" s="21">
        <v>3761</v>
      </c>
      <c r="F70" s="597">
        <f>E43+E47+E66+E69-E67</f>
        <v>13926</v>
      </c>
      <c r="G70" s="552">
        <f>F70*27%</f>
        <v>3760.0200000000004</v>
      </c>
    </row>
    <row r="71" spans="1:5" ht="27" customHeight="1" thickBot="1">
      <c r="A71" s="268" t="s">
        <v>1295</v>
      </c>
      <c r="B71" s="552" t="s">
        <v>960</v>
      </c>
      <c r="C71" s="552"/>
      <c r="D71" s="552"/>
      <c r="E71" s="552"/>
    </row>
    <row r="72" spans="1:5" ht="19.5" thickBot="1">
      <c r="A72" s="210" t="s">
        <v>1296</v>
      </c>
      <c r="B72" s="552" t="s">
        <v>1293</v>
      </c>
      <c r="C72" s="552"/>
      <c r="D72" s="552"/>
      <c r="E72" s="552"/>
    </row>
    <row r="73" spans="1:5" ht="24.75" customHeight="1">
      <c r="A73" s="593" t="s">
        <v>1298</v>
      </c>
      <c r="B73" s="594" t="s">
        <v>1363</v>
      </c>
      <c r="C73" s="594"/>
      <c r="D73" s="552"/>
      <c r="E73" s="552"/>
    </row>
    <row r="74" spans="1:6" ht="24.75" customHeight="1">
      <c r="A74" s="592" t="s">
        <v>1364</v>
      </c>
      <c r="B74" s="563" t="s">
        <v>1365</v>
      </c>
      <c r="C74" s="563"/>
      <c r="D74" s="553"/>
      <c r="E74" s="553"/>
      <c r="F74" s="21" t="s">
        <v>1369</v>
      </c>
    </row>
    <row r="75" spans="1:5" ht="24.75" customHeight="1">
      <c r="A75" s="592" t="s">
        <v>1370</v>
      </c>
      <c r="B75" s="563" t="s">
        <v>1367</v>
      </c>
      <c r="C75" s="563"/>
      <c r="D75" s="553"/>
      <c r="E75" s="553"/>
    </row>
    <row r="76" spans="1:5" ht="18.75">
      <c r="A76" s="98" t="s">
        <v>1297</v>
      </c>
      <c r="B76" s="552" t="s">
        <v>970</v>
      </c>
      <c r="C76" s="552">
        <f>SUM(C74:C75)</f>
        <v>0</v>
      </c>
      <c r="D76" s="552">
        <f>SUM(D74:D75)</f>
        <v>0</v>
      </c>
      <c r="E76" s="552">
        <f>SUM(E74:E75)</f>
        <v>0</v>
      </c>
    </row>
    <row r="77" spans="1:5" ht="24.75" customHeight="1">
      <c r="A77" s="580" t="s">
        <v>1292</v>
      </c>
      <c r="B77" s="579" t="s">
        <v>1334</v>
      </c>
      <c r="C77" s="579">
        <f>C76+C73+C72+C71+C70</f>
        <v>4015</v>
      </c>
      <c r="D77" s="579">
        <f>D76+D73+D72+D71+D70</f>
        <v>3751</v>
      </c>
      <c r="E77" s="579">
        <f>E76+E73+E72+E71+E70</f>
        <v>3761</v>
      </c>
    </row>
    <row r="78" spans="1:10" ht="24.75" customHeight="1">
      <c r="A78" s="587" t="s">
        <v>1299</v>
      </c>
      <c r="B78" s="585" t="s">
        <v>70</v>
      </c>
      <c r="C78" s="579">
        <f>SUM(C77+C69+C66+C47+C43)</f>
        <v>16545</v>
      </c>
      <c r="D78" s="579">
        <f>SUM(D77+D69+D66+D47+D43)</f>
        <v>13188</v>
      </c>
      <c r="E78" s="579">
        <f>SUM(E77+E69+E66+E47+E43)</f>
        <v>17717</v>
      </c>
      <c r="F78" s="560"/>
      <c r="G78" s="560"/>
      <c r="H78" s="560"/>
      <c r="I78" s="560"/>
      <c r="J78" s="560"/>
    </row>
    <row r="79" spans="1:10" ht="24.75" customHeight="1">
      <c r="A79" s="98" t="s">
        <v>1307</v>
      </c>
      <c r="B79" s="553" t="s">
        <v>1302</v>
      </c>
      <c r="C79" s="552"/>
      <c r="D79" s="552"/>
      <c r="E79" s="552"/>
      <c r="F79" s="560"/>
      <c r="G79" s="560"/>
      <c r="H79" s="560"/>
      <c r="I79" s="560"/>
      <c r="J79" s="560"/>
    </row>
    <row r="80" spans="1:10" ht="24.75" customHeight="1">
      <c r="A80" s="98" t="s">
        <v>1306</v>
      </c>
      <c r="B80" s="553" t="s">
        <v>1308</v>
      </c>
      <c r="C80" s="552"/>
      <c r="D80" s="552"/>
      <c r="E80" s="552"/>
      <c r="F80" s="560"/>
      <c r="G80" s="560"/>
      <c r="H80" s="560"/>
      <c r="I80" s="560"/>
      <c r="J80" s="560"/>
    </row>
    <row r="81" spans="1:10" ht="24.75" customHeight="1">
      <c r="A81" s="98"/>
      <c r="B81" s="97" t="s">
        <v>1304</v>
      </c>
      <c r="C81" s="552"/>
      <c r="D81" s="552"/>
      <c r="E81" s="552"/>
      <c r="F81" s="560"/>
      <c r="G81" s="560"/>
      <c r="H81" s="560"/>
      <c r="I81" s="560"/>
      <c r="J81" s="560"/>
    </row>
    <row r="82" spans="1:5" ht="18.75">
      <c r="A82" s="98"/>
      <c r="B82" s="97" t="s">
        <v>1303</v>
      </c>
      <c r="C82" s="377"/>
      <c r="D82" s="34"/>
      <c r="E82" s="34"/>
    </row>
    <row r="83" spans="1:5" ht="18.75">
      <c r="A83" s="98"/>
      <c r="B83" s="567" t="s">
        <v>1305</v>
      </c>
      <c r="C83" s="377"/>
      <c r="D83" s="34"/>
      <c r="E83" s="34"/>
    </row>
    <row r="84" spans="1:5" ht="25.5">
      <c r="A84" s="580" t="s">
        <v>1341</v>
      </c>
      <c r="B84" s="579" t="s">
        <v>1337</v>
      </c>
      <c r="C84" s="377">
        <f>SUM(C80:C83)</f>
        <v>0</v>
      </c>
      <c r="D84" s="377">
        <f>SUM(D80:D83)</f>
        <v>0</v>
      </c>
      <c r="E84" s="377">
        <f>SUM(E80:E83)</f>
        <v>0</v>
      </c>
    </row>
    <row r="85" spans="1:5" s="564" customFormat="1" ht="18.75">
      <c r="A85" s="587" t="s">
        <v>1336</v>
      </c>
      <c r="B85" s="587" t="s">
        <v>1340</v>
      </c>
      <c r="C85" s="574">
        <f>SUM(C79+C84)</f>
        <v>0</v>
      </c>
      <c r="D85" s="574">
        <f>SUM(D79+D84)</f>
        <v>0</v>
      </c>
      <c r="E85" s="574">
        <f>SUM(E79+E84)</f>
        <v>0</v>
      </c>
    </row>
    <row r="86" spans="1:5" ht="18.75">
      <c r="A86" s="97" t="s">
        <v>1309</v>
      </c>
      <c r="B86" s="553" t="s">
        <v>1113</v>
      </c>
      <c r="C86" s="553"/>
      <c r="D86" s="553"/>
      <c r="E86" s="553"/>
    </row>
    <row r="87" spans="1:5" s="382" customFormat="1" ht="15">
      <c r="A87" s="97" t="s">
        <v>1310</v>
      </c>
      <c r="B87" s="553" t="s">
        <v>1371</v>
      </c>
      <c r="C87" s="553"/>
      <c r="D87" s="553"/>
      <c r="E87" s="553"/>
    </row>
    <row r="88" spans="1:5" ht="18.75">
      <c r="A88" s="172" t="s">
        <v>1311</v>
      </c>
      <c r="B88" s="553" t="s">
        <v>1117</v>
      </c>
      <c r="C88" s="553"/>
      <c r="D88" s="553"/>
      <c r="E88" s="553"/>
    </row>
    <row r="89" spans="1:5" ht="24" customHeight="1">
      <c r="A89" s="172" t="s">
        <v>1312</v>
      </c>
      <c r="B89" s="553" t="s">
        <v>1118</v>
      </c>
      <c r="C89" s="553"/>
      <c r="D89" s="553"/>
      <c r="E89" s="553"/>
    </row>
    <row r="90" spans="1:6" ht="26.25" customHeight="1">
      <c r="A90" s="172" t="s">
        <v>1313</v>
      </c>
      <c r="B90" s="553" t="s">
        <v>1120</v>
      </c>
      <c r="C90" s="553"/>
      <c r="D90" s="553"/>
      <c r="E90" s="553">
        <v>165</v>
      </c>
      <c r="F90" s="21" t="s">
        <v>1489</v>
      </c>
    </row>
    <row r="91" spans="1:6" ht="26.25" customHeight="1">
      <c r="A91" s="172"/>
      <c r="B91" s="553" t="s">
        <v>1445</v>
      </c>
      <c r="C91" s="553"/>
      <c r="D91" s="553"/>
      <c r="E91" s="553">
        <v>150</v>
      </c>
      <c r="F91" s="21" t="s">
        <v>1482</v>
      </c>
    </row>
    <row r="92" spans="1:5" ht="25.5" customHeight="1">
      <c r="A92" s="172" t="s">
        <v>1314</v>
      </c>
      <c r="B92" s="553" t="s">
        <v>1126</v>
      </c>
      <c r="C92" s="553"/>
      <c r="D92" s="553"/>
      <c r="E92" s="553">
        <v>58</v>
      </c>
    </row>
    <row r="93" spans="1:5" ht="18.75">
      <c r="A93" s="584" t="s">
        <v>1315</v>
      </c>
      <c r="B93" s="585" t="s">
        <v>1339</v>
      </c>
      <c r="C93" s="552">
        <f>SUM(C86:C92)</f>
        <v>0</v>
      </c>
      <c r="D93" s="552">
        <f>SUM(D86:D92)</f>
        <v>0</v>
      </c>
      <c r="E93" s="552">
        <f>SUM(E86:E92)</f>
        <v>373</v>
      </c>
    </row>
    <row r="94" spans="1:5" ht="18.75">
      <c r="A94" s="172" t="s">
        <v>1316</v>
      </c>
      <c r="B94" s="553" t="s">
        <v>1130</v>
      </c>
      <c r="C94" s="553"/>
      <c r="D94" s="553"/>
      <c r="E94" s="553"/>
    </row>
    <row r="95" spans="1:5" ht="18.75">
      <c r="A95" s="172" t="s">
        <v>1317</v>
      </c>
      <c r="B95" s="553" t="s">
        <v>1132</v>
      </c>
      <c r="C95" s="553"/>
      <c r="D95" s="553"/>
      <c r="E95" s="553"/>
    </row>
    <row r="96" spans="1:5" ht="18.75">
      <c r="A96" s="172" t="s">
        <v>1318</v>
      </c>
      <c r="B96" s="553" t="s">
        <v>1134</v>
      </c>
      <c r="C96" s="553"/>
      <c r="D96" s="553"/>
      <c r="E96" s="553"/>
    </row>
    <row r="97" spans="1:5" ht="24" customHeight="1">
      <c r="A97" s="172" t="s">
        <v>1319</v>
      </c>
      <c r="B97" s="553" t="s">
        <v>1136</v>
      </c>
      <c r="C97" s="553"/>
      <c r="D97" s="553"/>
      <c r="E97" s="553"/>
    </row>
    <row r="98" spans="1:5" ht="18.75">
      <c r="A98" s="584" t="s">
        <v>1320</v>
      </c>
      <c r="B98" s="585" t="s">
        <v>1338</v>
      </c>
      <c r="C98" s="552">
        <f>SUM(C94:C97)</f>
        <v>0</v>
      </c>
      <c r="D98" s="552">
        <f>SUM(D94:D97)</f>
        <v>0</v>
      </c>
      <c r="E98" s="552">
        <f>SUM(E94:E97)</f>
        <v>0</v>
      </c>
    </row>
    <row r="99" spans="1:5" ht="25.5" customHeight="1">
      <c r="A99" s="172" t="s">
        <v>1323</v>
      </c>
      <c r="B99" s="555" t="s">
        <v>1325</v>
      </c>
      <c r="C99" s="555"/>
      <c r="D99" s="555"/>
      <c r="E99" s="555"/>
    </row>
    <row r="100" spans="1:5" ht="27" customHeight="1">
      <c r="A100" s="457" t="s">
        <v>1322</v>
      </c>
      <c r="B100" s="553" t="s">
        <v>1321</v>
      </c>
      <c r="C100" s="553"/>
      <c r="D100" s="553"/>
      <c r="E100" s="553"/>
    </row>
    <row r="101" spans="1:5" ht="18.75">
      <c r="A101" s="584" t="s">
        <v>1326</v>
      </c>
      <c r="B101" s="586" t="s">
        <v>1324</v>
      </c>
      <c r="C101" s="295">
        <f>SUM(C99:C100)</f>
        <v>0</v>
      </c>
      <c r="D101" s="295">
        <f>SUM(D99:D100)</f>
        <v>0</v>
      </c>
      <c r="E101" s="295">
        <f>SUM(E99:E100)</f>
        <v>0</v>
      </c>
    </row>
    <row r="102" spans="1:5" ht="18.75">
      <c r="A102" s="34"/>
      <c r="B102" s="36" t="s">
        <v>118</v>
      </c>
      <c r="C102" s="581">
        <f>SUM(C101+C98+C93+C85+C78+C29+C23)</f>
        <v>26441</v>
      </c>
      <c r="D102" s="581">
        <f>SUM(D101+D98+D93+D85+D78+D29+D23)</f>
        <v>13188</v>
      </c>
      <c r="E102" s="581">
        <f>SUM(E101+E98+E93+E85+E78+E29+E23)</f>
        <v>28440.37</v>
      </c>
    </row>
    <row r="105" spans="2:4" ht="18.75">
      <c r="B105" s="198" t="s">
        <v>650</v>
      </c>
      <c r="C105" s="607"/>
      <c r="D105" s="607"/>
    </row>
    <row r="106" spans="2:4" ht="18.75">
      <c r="B106" s="607" t="s">
        <v>516</v>
      </c>
      <c r="C106" s="607"/>
      <c r="D106" s="607"/>
    </row>
    <row r="107" spans="2:4" ht="18.75">
      <c r="B107" s="196" t="s">
        <v>1501</v>
      </c>
      <c r="C107" s="608">
        <f>40*48*420</f>
        <v>806400</v>
      </c>
      <c r="D107" s="607"/>
    </row>
    <row r="108" spans="2:4" ht="18.75">
      <c r="B108" s="607" t="s">
        <v>54</v>
      </c>
      <c r="C108" s="608">
        <f>C107*0.27</f>
        <v>217728</v>
      </c>
      <c r="D108" s="607"/>
    </row>
    <row r="109" spans="2:4" ht="18.75">
      <c r="B109" s="607" t="s">
        <v>99</v>
      </c>
      <c r="C109" s="608">
        <f>C107*1.27</f>
        <v>1024128</v>
      </c>
      <c r="D109" s="607"/>
    </row>
    <row r="110" spans="2:4" ht="18.75">
      <c r="B110" s="607"/>
      <c r="C110" s="607"/>
      <c r="D110" s="607"/>
    </row>
    <row r="111" spans="2:4" ht="18.75">
      <c r="B111" s="607" t="s">
        <v>515</v>
      </c>
      <c r="C111" s="607"/>
      <c r="D111" s="607"/>
    </row>
    <row r="112" spans="2:4" ht="18.75">
      <c r="B112" s="196" t="s">
        <v>1502</v>
      </c>
      <c r="C112" s="608">
        <f>40*35*470</f>
        <v>658000</v>
      </c>
      <c r="D112" s="607"/>
    </row>
    <row r="113" spans="2:4" ht="18.75">
      <c r="B113" s="607" t="s">
        <v>54</v>
      </c>
      <c r="C113" s="608">
        <f>C112*0.27</f>
        <v>177660</v>
      </c>
      <c r="D113" s="607"/>
    </row>
    <row r="114" spans="2:4" ht="18.75">
      <c r="B114" s="607" t="s">
        <v>99</v>
      </c>
      <c r="C114" s="608">
        <f>C112*1.27</f>
        <v>835660</v>
      </c>
      <c r="D114" s="607"/>
    </row>
    <row r="115" spans="2:4" ht="18.75">
      <c r="B115" s="607"/>
      <c r="C115" s="607"/>
      <c r="D115" s="607"/>
    </row>
    <row r="116" spans="2:4" ht="18.75">
      <c r="B116" s="607" t="s">
        <v>514</v>
      </c>
      <c r="C116" s="607"/>
      <c r="D116" s="607"/>
    </row>
    <row r="117" spans="2:4" ht="18.75">
      <c r="B117" s="196" t="s">
        <v>1503</v>
      </c>
      <c r="C117" s="607">
        <f>40*23*275</f>
        <v>253000</v>
      </c>
      <c r="D117" s="607"/>
    </row>
    <row r="118" spans="2:4" ht="18.75">
      <c r="B118" s="607" t="s">
        <v>54</v>
      </c>
      <c r="C118" s="608">
        <f>C117*0.27</f>
        <v>68310</v>
      </c>
      <c r="D118" s="607"/>
    </row>
    <row r="119" spans="2:4" ht="18.75">
      <c r="B119" s="607" t="s">
        <v>99</v>
      </c>
      <c r="C119" s="608">
        <f>C117*1.27</f>
        <v>321310</v>
      </c>
      <c r="D119" s="607"/>
    </row>
    <row r="120" spans="2:4" ht="18.75">
      <c r="B120" s="607"/>
      <c r="C120" s="607"/>
      <c r="D120" s="607"/>
    </row>
    <row r="121" spans="2:4" ht="18.75">
      <c r="B121" s="607" t="s">
        <v>513</v>
      </c>
      <c r="C121" s="607"/>
      <c r="D121" s="607"/>
    </row>
    <row r="122" spans="2:4" ht="18.75">
      <c r="B122" s="196" t="s">
        <v>1504</v>
      </c>
      <c r="C122" s="610">
        <f>40*26*315</f>
        <v>327600</v>
      </c>
      <c r="D122" s="607"/>
    </row>
    <row r="123" spans="2:4" ht="18.75">
      <c r="B123" s="607" t="s">
        <v>54</v>
      </c>
      <c r="C123" s="608">
        <f>C122*0.27</f>
        <v>88452</v>
      </c>
      <c r="D123" s="607"/>
    </row>
    <row r="124" spans="2:4" ht="18.75">
      <c r="B124" s="607" t="s">
        <v>99</v>
      </c>
      <c r="C124" s="608">
        <f>C122*1.27</f>
        <v>416052</v>
      </c>
      <c r="D124" s="607"/>
    </row>
    <row r="125" spans="2:4" ht="18.75">
      <c r="B125" s="607"/>
      <c r="C125" s="607"/>
      <c r="D125" s="607"/>
    </row>
    <row r="126" spans="2:4" ht="18.75">
      <c r="B126" s="607" t="s">
        <v>512</v>
      </c>
      <c r="C126" s="607"/>
      <c r="D126" s="607"/>
    </row>
    <row r="127" spans="2:4" ht="18.75">
      <c r="B127" s="196" t="s">
        <v>1505</v>
      </c>
      <c r="C127" s="608">
        <f>40*5*80</f>
        <v>16000</v>
      </c>
      <c r="D127" s="607"/>
    </row>
    <row r="128" spans="2:4" ht="18.75">
      <c r="B128" s="607" t="s">
        <v>54</v>
      </c>
      <c r="C128" s="608">
        <f>C127*0.27</f>
        <v>4320</v>
      </c>
      <c r="D128" s="607"/>
    </row>
    <row r="129" spans="2:4" ht="18.75">
      <c r="B129" s="607" t="s">
        <v>99</v>
      </c>
      <c r="C129" s="608">
        <f>C127*1.27</f>
        <v>20320</v>
      </c>
      <c r="D129" s="607"/>
    </row>
    <row r="130" spans="2:4" ht="18.75">
      <c r="B130" s="607"/>
      <c r="C130" s="607"/>
      <c r="D130" s="607"/>
    </row>
    <row r="131" spans="2:4" ht="18.75">
      <c r="B131"/>
      <c r="C131"/>
      <c r="D131"/>
    </row>
    <row r="132" spans="2:4" ht="18.75">
      <c r="B132"/>
      <c r="C132"/>
      <c r="D132"/>
    </row>
    <row r="133" spans="2:4" ht="18.75">
      <c r="B133" s="198" t="s">
        <v>656</v>
      </c>
      <c r="C133" s="607"/>
      <c r="D133" s="607"/>
    </row>
    <row r="134" spans="2:4" ht="18.75">
      <c r="B134" s="607" t="s">
        <v>516</v>
      </c>
      <c r="C134" s="607"/>
      <c r="D134" s="607"/>
    </row>
    <row r="135" spans="2:4" ht="18.75">
      <c r="B135" s="196" t="s">
        <v>1506</v>
      </c>
      <c r="C135" s="608">
        <f>143*48*440</f>
        <v>3020160</v>
      </c>
      <c r="D135" s="607"/>
    </row>
    <row r="136" spans="2:4" ht="18.75">
      <c r="B136" s="607" t="s">
        <v>54</v>
      </c>
      <c r="C136" s="608">
        <f>C135*0.27</f>
        <v>815443.2000000001</v>
      </c>
      <c r="D136" s="607"/>
    </row>
    <row r="137" spans="2:4" ht="18.75">
      <c r="B137" s="607" t="s">
        <v>99</v>
      </c>
      <c r="C137" s="608">
        <f>C135*1.27</f>
        <v>3835603.2</v>
      </c>
      <c r="D137" s="607"/>
    </row>
    <row r="138" spans="2:4" ht="18.75">
      <c r="B138" s="607"/>
      <c r="C138" s="607"/>
      <c r="D138" s="607"/>
    </row>
    <row r="139" spans="2:4" ht="18.75">
      <c r="B139" s="607" t="s">
        <v>515</v>
      </c>
      <c r="C139" s="607"/>
      <c r="D139" s="607"/>
    </row>
    <row r="140" spans="2:4" ht="18.75">
      <c r="B140" s="196" t="s">
        <v>1507</v>
      </c>
      <c r="C140" s="608">
        <f>143*35*490</f>
        <v>2452450</v>
      </c>
      <c r="D140" s="607"/>
    </row>
    <row r="141" spans="2:4" ht="18.75">
      <c r="B141" s="607" t="s">
        <v>54</v>
      </c>
      <c r="C141" s="608">
        <f>C140*0.27</f>
        <v>662161.5</v>
      </c>
      <c r="D141" s="607"/>
    </row>
    <row r="142" spans="2:4" ht="18.75">
      <c r="B142" s="607" t="s">
        <v>99</v>
      </c>
      <c r="C142" s="608">
        <f>C140*1.27</f>
        <v>3114611.5</v>
      </c>
      <c r="D142" s="607"/>
    </row>
    <row r="143" spans="2:4" ht="18.75">
      <c r="B143" s="607"/>
      <c r="C143" s="607"/>
      <c r="D143" s="607"/>
    </row>
    <row r="144" spans="2:4" ht="18.75">
      <c r="B144" s="607" t="s">
        <v>514</v>
      </c>
      <c r="C144" s="607"/>
      <c r="D144" s="607"/>
    </row>
    <row r="145" spans="2:4" ht="18.75">
      <c r="B145" s="196" t="s">
        <v>1508</v>
      </c>
      <c r="C145" s="607">
        <f>143*23*295</f>
        <v>970255</v>
      </c>
      <c r="D145" s="607"/>
    </row>
    <row r="146" spans="2:4" ht="18.75">
      <c r="B146" s="607" t="s">
        <v>54</v>
      </c>
      <c r="C146" s="608">
        <f>C145*0.27</f>
        <v>261968.85</v>
      </c>
      <c r="D146" s="607"/>
    </row>
    <row r="147" spans="2:4" ht="18.75">
      <c r="B147" s="607" t="s">
        <v>99</v>
      </c>
      <c r="C147" s="608">
        <f>C145*1.27</f>
        <v>1232223.85</v>
      </c>
      <c r="D147" s="607"/>
    </row>
    <row r="148" spans="2:4" ht="18.75">
      <c r="B148" s="607"/>
      <c r="C148" s="607"/>
      <c r="D148" s="607"/>
    </row>
    <row r="149" spans="2:4" ht="18.75">
      <c r="B149" s="607" t="s">
        <v>513</v>
      </c>
      <c r="C149" s="607"/>
      <c r="D149" s="607"/>
    </row>
    <row r="150" spans="2:4" ht="18.75">
      <c r="B150" s="196" t="s">
        <v>1509</v>
      </c>
      <c r="C150" s="610">
        <f>143*26*335</f>
        <v>1245530</v>
      </c>
      <c r="D150" s="607"/>
    </row>
    <row r="151" spans="2:4" ht="18.75">
      <c r="B151" s="607" t="s">
        <v>54</v>
      </c>
      <c r="C151" s="608">
        <f>C150*0.27</f>
        <v>336293.10000000003</v>
      </c>
      <c r="D151" s="607"/>
    </row>
    <row r="152" spans="2:4" ht="18.75">
      <c r="B152" s="607" t="s">
        <v>99</v>
      </c>
      <c r="C152" s="608">
        <f>C150*1.27</f>
        <v>1581823.1</v>
      </c>
      <c r="D152" s="607"/>
    </row>
    <row r="153" spans="2:4" ht="18.75">
      <c r="B153" s="607"/>
      <c r="C153" s="607"/>
      <c r="D153" s="607"/>
    </row>
    <row r="154" spans="2:4" ht="18.75">
      <c r="B154" s="607" t="s">
        <v>512</v>
      </c>
      <c r="C154" s="607"/>
      <c r="D154" s="607"/>
    </row>
    <row r="155" spans="2:4" ht="18.75">
      <c r="B155" s="196" t="s">
        <v>1510</v>
      </c>
      <c r="C155" s="608">
        <f>143*5*80</f>
        <v>57200</v>
      </c>
      <c r="D155" s="607"/>
    </row>
    <row r="156" spans="2:4" ht="18.75">
      <c r="B156" s="607" t="s">
        <v>54</v>
      </c>
      <c r="C156" s="608">
        <f>C155*0.27</f>
        <v>15444.000000000002</v>
      </c>
      <c r="D156" s="607"/>
    </row>
    <row r="157" spans="2:4" ht="18.75">
      <c r="B157" s="607" t="s">
        <v>99</v>
      </c>
      <c r="C157" s="608">
        <f>C155*1.27</f>
        <v>72644</v>
      </c>
      <c r="D157" s="607"/>
    </row>
    <row r="158" spans="2:4" ht="18.75">
      <c r="B158" s="607"/>
      <c r="C158" s="607"/>
      <c r="D158" s="607"/>
    </row>
  </sheetData>
  <sheetProtection/>
  <mergeCells count="1">
    <mergeCell ref="A2:E2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2:F70"/>
  <sheetViews>
    <sheetView view="pageBreakPreview" zoomScale="60" zoomScalePageLayoutView="0" workbookViewId="0" topLeftCell="A1">
      <selection activeCell="F26" sqref="F26"/>
    </sheetView>
  </sheetViews>
  <sheetFormatPr defaultColWidth="8.66015625" defaultRowHeight="18"/>
  <cols>
    <col min="1" max="1" width="9" style="178" bestFit="1" customWidth="1"/>
    <col min="2" max="2" width="25.91015625" style="178" customWidth="1"/>
    <col min="3" max="3" width="10" style="178" customWidth="1"/>
    <col min="4" max="4" width="9.75" style="178" bestFit="1" customWidth="1"/>
    <col min="5" max="16384" width="8.91015625" style="178" customWidth="1"/>
  </cols>
  <sheetData>
    <row r="2" spans="1:6" ht="31.5">
      <c r="A2" s="187">
        <v>562916</v>
      </c>
      <c r="B2" s="537" t="s">
        <v>395</v>
      </c>
      <c r="C2" s="537" t="s">
        <v>262</v>
      </c>
      <c r="D2" s="349">
        <v>41695</v>
      </c>
      <c r="E2" s="184" t="s">
        <v>626</v>
      </c>
      <c r="F2" s="184" t="s">
        <v>616</v>
      </c>
    </row>
    <row r="3" spans="1:6" ht="15.75">
      <c r="A3" s="187"/>
      <c r="B3" s="187"/>
      <c r="C3" s="187"/>
      <c r="D3" s="346"/>
      <c r="E3" s="184"/>
      <c r="F3" s="184"/>
    </row>
    <row r="4" spans="1:6" ht="15.75">
      <c r="A4" s="184"/>
      <c r="B4" s="184"/>
      <c r="C4" s="184"/>
      <c r="D4" s="346"/>
      <c r="E4" s="184"/>
      <c r="F4" s="184"/>
    </row>
    <row r="5" spans="1:6" ht="15.75">
      <c r="A5" s="184">
        <v>5412</v>
      </c>
      <c r="B5" s="184" t="s">
        <v>392</v>
      </c>
      <c r="C5" s="184">
        <v>2097</v>
      </c>
      <c r="D5" s="346"/>
      <c r="E5" s="184"/>
      <c r="F5" s="184"/>
    </row>
    <row r="6" spans="1:6" ht="15.75">
      <c r="A6" s="190">
        <v>54</v>
      </c>
      <c r="B6" s="190" t="s">
        <v>359</v>
      </c>
      <c r="C6" s="190"/>
      <c r="D6" s="346">
        <f>1752+391</f>
        <v>2143</v>
      </c>
      <c r="E6" s="184"/>
      <c r="F6" s="184">
        <v>2592</v>
      </c>
    </row>
    <row r="7" spans="1:6" ht="15.75">
      <c r="A7" s="190"/>
      <c r="B7" s="190"/>
      <c r="C7" s="190"/>
      <c r="D7" s="346"/>
      <c r="E7" s="184"/>
      <c r="F7" s="184"/>
    </row>
    <row r="8" spans="1:6" s="189" customFormat="1" ht="15.75">
      <c r="A8" s="190">
        <v>56121</v>
      </c>
      <c r="B8" s="190" t="s">
        <v>358</v>
      </c>
      <c r="C8" s="190">
        <v>566</v>
      </c>
      <c r="D8" s="183"/>
      <c r="E8" s="190"/>
      <c r="F8" s="190"/>
    </row>
    <row r="9" spans="1:6" s="188" customFormat="1" ht="15.75">
      <c r="A9" s="190">
        <v>56</v>
      </c>
      <c r="B9" s="190" t="s">
        <v>578</v>
      </c>
      <c r="C9" s="190"/>
      <c r="D9" s="183">
        <f>473+105</f>
        <v>578</v>
      </c>
      <c r="E9" s="183"/>
      <c r="F9" s="182">
        <f>F6*27%</f>
        <v>699.84</v>
      </c>
    </row>
    <row r="10" spans="1:6" ht="15.75">
      <c r="A10" s="190"/>
      <c r="B10" s="190"/>
      <c r="C10" s="190"/>
      <c r="D10" s="346"/>
      <c r="E10" s="184"/>
      <c r="F10" s="184"/>
    </row>
    <row r="11" spans="1:6" ht="15.75">
      <c r="A11" s="347"/>
      <c r="B11" s="347" t="s">
        <v>0</v>
      </c>
      <c r="C11" s="347">
        <f>SUM(C5:C10)</f>
        <v>2663</v>
      </c>
      <c r="D11" s="186">
        <f>D6+D9</f>
        <v>2721</v>
      </c>
      <c r="E11" s="186">
        <f>E6+E9</f>
        <v>0</v>
      </c>
      <c r="F11" s="186">
        <f>F6+F9</f>
        <v>3291.84</v>
      </c>
    </row>
    <row r="12" spans="1:6" ht="15.75">
      <c r="A12" s="184"/>
      <c r="B12" s="184"/>
      <c r="C12" s="184"/>
      <c r="D12" s="346"/>
      <c r="E12" s="184"/>
      <c r="F12" s="184"/>
    </row>
    <row r="13" spans="1:6" ht="15.75">
      <c r="A13" s="184"/>
      <c r="B13" s="184"/>
      <c r="C13" s="184"/>
      <c r="D13" s="346"/>
      <c r="E13" s="184"/>
      <c r="F13" s="184"/>
    </row>
    <row r="14" spans="1:6" ht="15.75">
      <c r="A14" s="184">
        <v>91121</v>
      </c>
      <c r="B14" s="184" t="s">
        <v>356</v>
      </c>
      <c r="C14" s="184">
        <v>4029</v>
      </c>
      <c r="D14" s="346">
        <f>3141+637</f>
        <v>3778</v>
      </c>
      <c r="E14" s="184"/>
      <c r="F14" s="185">
        <f>(C21+C26+C42+C47+C52)/1000</f>
        <v>5032.195</v>
      </c>
    </row>
    <row r="15" spans="1:6" ht="15.75">
      <c r="A15" s="184"/>
      <c r="B15" s="184"/>
      <c r="C15" s="184"/>
      <c r="D15" s="346"/>
      <c r="E15" s="184"/>
      <c r="F15" s="185"/>
    </row>
    <row r="16" spans="1:6" ht="15.75">
      <c r="A16" s="184">
        <v>919231</v>
      </c>
      <c r="B16" s="184" t="s">
        <v>355</v>
      </c>
      <c r="C16" s="184">
        <v>1088</v>
      </c>
      <c r="D16" s="346">
        <f>848+172</f>
        <v>1020</v>
      </c>
      <c r="E16" s="184"/>
      <c r="F16" s="185">
        <f>(F14*27%)</f>
        <v>1358.69265</v>
      </c>
    </row>
    <row r="17" spans="1:6" ht="15.75">
      <c r="A17" s="184"/>
      <c r="B17" s="184"/>
      <c r="C17" s="184"/>
      <c r="D17" s="346"/>
      <c r="E17" s="184"/>
      <c r="F17" s="184"/>
    </row>
    <row r="18" spans="1:6" s="180" customFormat="1" ht="15.75">
      <c r="A18" s="190">
        <v>91</v>
      </c>
      <c r="B18" s="190" t="s">
        <v>354</v>
      </c>
      <c r="C18" s="190">
        <f>SUM(C14:C17)</f>
        <v>5117</v>
      </c>
      <c r="D18" s="182">
        <f>SUM(D14:D17)</f>
        <v>4798</v>
      </c>
      <c r="E18" s="183"/>
      <c r="F18" s="182">
        <f>SUM(F14:F16)</f>
        <v>6390.88765</v>
      </c>
    </row>
    <row r="20" spans="2:3" ht="15.75">
      <c r="B20" s="196" t="s">
        <v>668</v>
      </c>
      <c r="C20" s="196"/>
    </row>
    <row r="21" spans="2:5" ht="15.75">
      <c r="B21" s="196" t="s">
        <v>669</v>
      </c>
      <c r="C21" s="196">
        <f>5*41*579</f>
        <v>118695</v>
      </c>
      <c r="D21" s="196"/>
      <c r="E21" s="196"/>
    </row>
    <row r="22" spans="2:5" ht="15.75">
      <c r="B22" s="196" t="s">
        <v>54</v>
      </c>
      <c r="C22" s="197">
        <f>C21*0.27</f>
        <v>32047.65</v>
      </c>
      <c r="D22" s="196"/>
      <c r="E22" s="196"/>
    </row>
    <row r="23" spans="2:5" ht="15.75">
      <c r="B23" s="198" t="s">
        <v>62</v>
      </c>
      <c r="C23" s="197">
        <f>C21*1.27</f>
        <v>150742.65</v>
      </c>
      <c r="D23" s="197"/>
      <c r="E23" s="196"/>
    </row>
    <row r="24" spans="2:5" ht="15.75">
      <c r="B24" s="196"/>
      <c r="C24" s="196"/>
      <c r="D24" s="197"/>
      <c r="E24" s="196"/>
    </row>
    <row r="25" spans="2:5" ht="18.75">
      <c r="B25" s="196" t="s">
        <v>670</v>
      </c>
      <c r="C25" s="196"/>
      <c r="D25"/>
      <c r="E25"/>
    </row>
    <row r="26" spans="2:5" ht="15.75">
      <c r="B26" s="196" t="s">
        <v>671</v>
      </c>
      <c r="C26" s="196">
        <f>5*180*595</f>
        <v>535500</v>
      </c>
      <c r="D26" s="196"/>
      <c r="E26" s="196"/>
    </row>
    <row r="27" spans="2:5" ht="15.75">
      <c r="B27" s="196" t="s">
        <v>54</v>
      </c>
      <c r="C27" s="197">
        <f>C26*0.27</f>
        <v>144585</v>
      </c>
      <c r="D27" s="196"/>
      <c r="E27" s="196"/>
    </row>
    <row r="28" spans="2:5" ht="15.75">
      <c r="B28" s="198" t="s">
        <v>62</v>
      </c>
      <c r="C28" s="197">
        <f>C26*1.27</f>
        <v>680085</v>
      </c>
      <c r="D28" s="197"/>
      <c r="E28" s="196"/>
    </row>
    <row r="29" spans="2:5" ht="15.75">
      <c r="B29" s="196"/>
      <c r="C29" s="196"/>
      <c r="D29" s="197"/>
      <c r="E29" s="196"/>
    </row>
    <row r="30" spans="2:5" ht="15.75">
      <c r="B30" s="196"/>
      <c r="C30" s="196"/>
      <c r="D30" s="196"/>
      <c r="E30" s="196"/>
    </row>
    <row r="31" spans="2:5" ht="15.75">
      <c r="B31" s="196" t="s">
        <v>672</v>
      </c>
      <c r="C31" s="196"/>
      <c r="D31" s="196"/>
      <c r="E31" s="196"/>
    </row>
    <row r="32" spans="2:5" ht="15.75">
      <c r="B32" s="196" t="s">
        <v>673</v>
      </c>
      <c r="C32" s="196">
        <f>5*41*355</f>
        <v>72775</v>
      </c>
      <c r="D32" s="196"/>
      <c r="E32" s="196"/>
    </row>
    <row r="33" spans="2:5" ht="15.75">
      <c r="B33" s="196" t="s">
        <v>54</v>
      </c>
      <c r="C33" s="197">
        <f>C32*0.27</f>
        <v>19649.25</v>
      </c>
      <c r="D33" s="197"/>
      <c r="E33" s="196"/>
    </row>
    <row r="34" spans="2:5" ht="15.75">
      <c r="B34" s="198" t="s">
        <v>62</v>
      </c>
      <c r="C34" s="197">
        <f>C32*1.27</f>
        <v>92424.25</v>
      </c>
      <c r="D34" s="197"/>
      <c r="E34" s="196"/>
    </row>
    <row r="35" spans="2:5" ht="15.75">
      <c r="B35" s="196"/>
      <c r="C35" s="196"/>
      <c r="D35" s="196"/>
      <c r="E35" s="196"/>
    </row>
    <row r="36" spans="2:5" ht="15.75">
      <c r="B36" s="196" t="s">
        <v>674</v>
      </c>
      <c r="C36" s="196"/>
      <c r="D36" s="196"/>
      <c r="E36" s="196"/>
    </row>
    <row r="37" spans="2:5" ht="15.75">
      <c r="B37" s="196" t="s">
        <v>675</v>
      </c>
      <c r="C37" s="196">
        <f>5*180*375</f>
        <v>337500</v>
      </c>
      <c r="D37" s="196"/>
      <c r="E37" s="196"/>
    </row>
    <row r="38" spans="2:5" ht="15.75">
      <c r="B38" s="196" t="s">
        <v>54</v>
      </c>
      <c r="C38" s="197">
        <f>C37*0.27</f>
        <v>91125</v>
      </c>
      <c r="D38" s="197"/>
      <c r="E38" s="196"/>
    </row>
    <row r="39" spans="2:5" ht="15.75">
      <c r="B39" s="198" t="s">
        <v>62</v>
      </c>
      <c r="C39" s="197">
        <f>C37*1.27</f>
        <v>428625</v>
      </c>
      <c r="D39" s="197"/>
      <c r="E39" s="196"/>
    </row>
    <row r="40" spans="2:5" ht="15.75">
      <c r="B40" s="198"/>
      <c r="C40" s="197"/>
      <c r="D40" s="197"/>
      <c r="E40" s="196"/>
    </row>
    <row r="41" spans="2:5" ht="15.75">
      <c r="B41" s="196" t="s">
        <v>676</v>
      </c>
      <c r="C41" s="196"/>
      <c r="D41" s="196"/>
      <c r="E41" s="196"/>
    </row>
    <row r="42" spans="2:3" ht="15.75">
      <c r="B42" s="196" t="s">
        <v>677</v>
      </c>
      <c r="C42" s="196">
        <f>2400*615</f>
        <v>1476000</v>
      </c>
    </row>
    <row r="43" spans="2:3" ht="15.75">
      <c r="B43" s="196" t="s">
        <v>54</v>
      </c>
      <c r="C43" s="197">
        <f>C42*0.27</f>
        <v>398520</v>
      </c>
    </row>
    <row r="44" spans="2:5" ht="15.75">
      <c r="B44" s="198" t="s">
        <v>99</v>
      </c>
      <c r="C44" s="197">
        <f>C42*1.27</f>
        <v>1874520</v>
      </c>
      <c r="D44" s="196"/>
      <c r="E44" s="196"/>
    </row>
    <row r="45" spans="2:5" ht="18.75">
      <c r="B45"/>
      <c r="C45"/>
      <c r="D45" s="196"/>
      <c r="E45" s="196"/>
    </row>
    <row r="46" spans="2:5" ht="15.75">
      <c r="B46" s="196" t="s">
        <v>678</v>
      </c>
      <c r="C46" s="196"/>
      <c r="D46" s="197"/>
      <c r="E46" s="196"/>
    </row>
    <row r="47" spans="2:5" ht="15.75">
      <c r="B47" s="196" t="s">
        <v>679</v>
      </c>
      <c r="C47" s="196">
        <f>1700*635</f>
        <v>1079500</v>
      </c>
      <c r="D47" s="197"/>
      <c r="E47" s="196"/>
    </row>
    <row r="48" spans="2:5" ht="15.75">
      <c r="B48" s="196" t="s">
        <v>54</v>
      </c>
      <c r="C48" s="197">
        <f>C47*0.27</f>
        <v>291465</v>
      </c>
      <c r="D48" s="196"/>
      <c r="E48" s="196"/>
    </row>
    <row r="49" spans="2:5" ht="15.75">
      <c r="B49" s="198" t="s">
        <v>99</v>
      </c>
      <c r="C49" s="197">
        <f>C47*1.27</f>
        <v>1370965</v>
      </c>
      <c r="D49" s="196"/>
      <c r="E49" s="196"/>
    </row>
    <row r="50" spans="2:5" ht="18.75">
      <c r="B50"/>
      <c r="C50"/>
      <c r="D50" s="196"/>
      <c r="E50" s="196"/>
    </row>
    <row r="51" spans="2:5" ht="15.75">
      <c r="B51" s="196" t="s">
        <v>391</v>
      </c>
      <c r="C51" s="196"/>
      <c r="D51" s="197"/>
      <c r="E51" s="196"/>
    </row>
    <row r="52" spans="2:5" ht="15.75">
      <c r="B52" s="196" t="s">
        <v>680</v>
      </c>
      <c r="C52" s="196">
        <f>45*20*2025</f>
        <v>1822500</v>
      </c>
      <c r="D52" s="197"/>
      <c r="E52" s="196"/>
    </row>
    <row r="53" spans="2:5" ht="15.75">
      <c r="B53" s="196" t="s">
        <v>54</v>
      </c>
      <c r="C53" s="197">
        <f>C52*0.27</f>
        <v>492075.00000000006</v>
      </c>
      <c r="D53" s="196"/>
      <c r="E53" s="196"/>
    </row>
    <row r="54" spans="2:3" ht="15.75">
      <c r="B54" s="198" t="s">
        <v>62</v>
      </c>
      <c r="C54" s="197">
        <f>C52*1.27</f>
        <v>2314575</v>
      </c>
    </row>
    <row r="55" spans="2:3" ht="18.75">
      <c r="B55"/>
      <c r="C55"/>
    </row>
    <row r="56" spans="2:3" ht="15.75">
      <c r="B56" s="196" t="s">
        <v>681</v>
      </c>
      <c r="C56" s="196"/>
    </row>
    <row r="57" spans="2:3" ht="15.75">
      <c r="B57" s="196" t="s">
        <v>682</v>
      </c>
      <c r="C57" s="196">
        <f>100*355</f>
        <v>35500</v>
      </c>
    </row>
    <row r="58" spans="2:3" ht="15.75">
      <c r="B58" s="196" t="s">
        <v>54</v>
      </c>
      <c r="C58" s="197">
        <f>C57*0.27</f>
        <v>9585</v>
      </c>
    </row>
    <row r="59" spans="2:3" ht="15.75">
      <c r="B59" s="198" t="s">
        <v>62</v>
      </c>
      <c r="C59" s="197">
        <f>C57*1.27</f>
        <v>45085</v>
      </c>
    </row>
    <row r="60" spans="2:3" ht="18.75">
      <c r="B60"/>
      <c r="C60"/>
    </row>
    <row r="61" spans="2:3" ht="15.75">
      <c r="B61" s="196" t="s">
        <v>683</v>
      </c>
      <c r="C61" s="196"/>
    </row>
    <row r="62" spans="2:3" ht="15.75">
      <c r="B62" s="196" t="s">
        <v>684</v>
      </c>
      <c r="C62" s="196">
        <f>1700*375</f>
        <v>637500</v>
      </c>
    </row>
    <row r="63" spans="2:3" ht="15.75">
      <c r="B63" s="196" t="s">
        <v>54</v>
      </c>
      <c r="C63" s="197">
        <f>C62*0.27</f>
        <v>172125</v>
      </c>
    </row>
    <row r="64" spans="2:3" ht="15.75">
      <c r="B64" s="198" t="s">
        <v>62</v>
      </c>
      <c r="C64" s="197">
        <f>C62*1.27</f>
        <v>809625</v>
      </c>
    </row>
    <row r="65" spans="2:3" ht="15.75">
      <c r="B65" s="196"/>
      <c r="C65" s="196"/>
    </row>
    <row r="66" spans="2:3" ht="15.75">
      <c r="B66" s="196" t="s">
        <v>390</v>
      </c>
      <c r="C66" s="196"/>
    </row>
    <row r="67" spans="2:3" ht="15.75">
      <c r="B67" s="196" t="s">
        <v>685</v>
      </c>
      <c r="C67" s="196">
        <f>45*20*1220</f>
        <v>1098000</v>
      </c>
    </row>
    <row r="68" spans="2:3" ht="15.75">
      <c r="B68" s="196" t="s">
        <v>54</v>
      </c>
      <c r="C68" s="197">
        <f>C67*0.27</f>
        <v>296460</v>
      </c>
    </row>
    <row r="69" spans="2:3" ht="15.75">
      <c r="B69" s="198" t="s">
        <v>62</v>
      </c>
      <c r="C69" s="197">
        <f>C67*1.27</f>
        <v>1394460</v>
      </c>
    </row>
    <row r="70" spans="2:3" ht="15.75">
      <c r="B70" s="196"/>
      <c r="C70" s="196"/>
    </row>
  </sheetData>
  <sheetProtection/>
  <printOptions/>
  <pageMargins left="0.7" right="0.7" top="0.75" bottom="0.75" header="0.3" footer="0.3"/>
  <pageSetup horizontalDpi="300" verticalDpi="300" orientation="portrait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00000"/>
  </sheetPr>
  <dimension ref="A2:J130"/>
  <sheetViews>
    <sheetView zoomScalePageLayoutView="0" workbookViewId="0" topLeftCell="A1">
      <selection activeCell="C72" sqref="C72"/>
    </sheetView>
  </sheetViews>
  <sheetFormatPr defaultColWidth="8.41015625" defaultRowHeight="18"/>
  <cols>
    <col min="1" max="1" width="8.41015625" style="21" customWidth="1"/>
    <col min="2" max="2" width="29.41015625" style="21" customWidth="1"/>
    <col min="3" max="3" width="8" style="382" customWidth="1"/>
    <col min="4" max="4" width="7.33203125" style="21" customWidth="1"/>
    <col min="5" max="5" width="7.75" style="21" customWidth="1"/>
    <col min="6" max="249" width="7.08203125" style="21" customWidth="1"/>
    <col min="250" max="16384" width="8.41015625" style="21" customWidth="1"/>
  </cols>
  <sheetData>
    <row r="2" spans="1:5" ht="18.75">
      <c r="A2" s="620" t="s">
        <v>1331</v>
      </c>
      <c r="B2" s="620"/>
      <c r="C2" s="620"/>
      <c r="D2" s="620"/>
      <c r="E2" s="620"/>
    </row>
    <row r="3" ht="19.5" thickBot="1">
      <c r="C3" s="243"/>
    </row>
    <row r="4" spans="1:5" ht="19.5" thickBot="1">
      <c r="A4" s="595">
        <v>562916</v>
      </c>
      <c r="B4" s="245" t="s">
        <v>1381</v>
      </c>
      <c r="C4" s="421" t="s">
        <v>616</v>
      </c>
      <c r="D4" s="41" t="s">
        <v>626</v>
      </c>
      <c r="E4" s="34">
        <v>2016</v>
      </c>
    </row>
    <row r="5" spans="1:5" ht="19.5" thickBot="1">
      <c r="A5" s="596" t="s">
        <v>1385</v>
      </c>
      <c r="B5" s="210"/>
      <c r="C5" s="295"/>
      <c r="D5" s="34"/>
      <c r="E5" s="34"/>
    </row>
    <row r="6" spans="1:5" ht="18.75">
      <c r="A6" s="249" t="s">
        <v>819</v>
      </c>
      <c r="B6" s="250" t="s">
        <v>1238</v>
      </c>
      <c r="C6" s="376"/>
      <c r="D6" s="565"/>
      <c r="E6" s="565"/>
    </row>
    <row r="7" spans="1:5" ht="18.75">
      <c r="A7" s="253" t="s">
        <v>822</v>
      </c>
      <c r="B7" s="254" t="s">
        <v>821</v>
      </c>
      <c r="C7" s="377"/>
      <c r="D7" s="34"/>
      <c r="E7" s="34"/>
    </row>
    <row r="8" spans="1:5" ht="18.75">
      <c r="A8" s="253" t="s">
        <v>823</v>
      </c>
      <c r="B8" s="254" t="s">
        <v>820</v>
      </c>
      <c r="C8" s="377"/>
      <c r="D8" s="34"/>
      <c r="E8" s="381"/>
    </row>
    <row r="9" spans="1:5" ht="18.75">
      <c r="A9" s="253" t="s">
        <v>825</v>
      </c>
      <c r="B9" s="254" t="s">
        <v>824</v>
      </c>
      <c r="C9" s="377"/>
      <c r="D9" s="34"/>
      <c r="E9" s="34"/>
    </row>
    <row r="10" spans="1:5" ht="18.75">
      <c r="A10" s="253" t="s">
        <v>826</v>
      </c>
      <c r="B10" s="260" t="s">
        <v>1239</v>
      </c>
      <c r="C10" s="377"/>
      <c r="D10" s="34"/>
      <c r="E10" s="34"/>
    </row>
    <row r="11" spans="1:5" ht="18.75">
      <c r="A11" s="253" t="s">
        <v>1233</v>
      </c>
      <c r="B11" s="260" t="s">
        <v>1240</v>
      </c>
      <c r="C11" s="378"/>
      <c r="D11" s="34"/>
      <c r="E11" s="34"/>
    </row>
    <row r="12" spans="1:5" ht="18.75">
      <c r="A12" s="253" t="s">
        <v>1241</v>
      </c>
      <c r="B12" s="262" t="s">
        <v>1234</v>
      </c>
      <c r="C12" s="377"/>
      <c r="D12" s="34"/>
      <c r="E12" s="34"/>
    </row>
    <row r="13" spans="1:5" ht="18.75">
      <c r="A13" s="253" t="s">
        <v>1242</v>
      </c>
      <c r="B13" s="262" t="s">
        <v>1235</v>
      </c>
      <c r="C13" s="377"/>
      <c r="D13" s="34"/>
      <c r="E13" s="34"/>
    </row>
    <row r="14" spans="1:5" ht="18.75">
      <c r="A14" s="253" t="s">
        <v>1243</v>
      </c>
      <c r="B14" s="254" t="s">
        <v>528</v>
      </c>
      <c r="C14" s="377"/>
      <c r="D14" s="34"/>
      <c r="E14" s="34"/>
    </row>
    <row r="15" spans="1:5" ht="18.75">
      <c r="A15" s="253" t="s">
        <v>1244</v>
      </c>
      <c r="B15" s="254" t="s">
        <v>1236</v>
      </c>
      <c r="C15" s="377"/>
      <c r="D15" s="34"/>
      <c r="E15" s="34"/>
    </row>
    <row r="16" spans="1:5" ht="19.5" thickBot="1">
      <c r="A16" s="264" t="s">
        <v>1245</v>
      </c>
      <c r="B16" s="265" t="s">
        <v>791</v>
      </c>
      <c r="C16" s="377"/>
      <c r="D16" s="34"/>
      <c r="E16" s="34"/>
    </row>
    <row r="17" spans="1:5" ht="19.5" thickBot="1">
      <c r="A17" s="568" t="s">
        <v>1327</v>
      </c>
      <c r="B17" s="569" t="s">
        <v>1249</v>
      </c>
      <c r="C17" s="379">
        <f>SUM(C6:C16)</f>
        <v>0</v>
      </c>
      <c r="D17" s="379">
        <f>SUM(D6:D16)</f>
        <v>0</v>
      </c>
      <c r="E17" s="379">
        <f>SUM(E6:E16)</f>
        <v>0</v>
      </c>
    </row>
    <row r="18" spans="1:5" ht="19.5" thickBot="1">
      <c r="A18" s="557" t="s">
        <v>1329</v>
      </c>
      <c r="B18" s="558" t="s">
        <v>1248</v>
      </c>
      <c r="C18" s="377"/>
      <c r="D18" s="34"/>
      <c r="E18" s="34"/>
    </row>
    <row r="19" spans="1:5" ht="19.5" thickBot="1">
      <c r="A19" s="557" t="s">
        <v>1328</v>
      </c>
      <c r="B19" s="558" t="s">
        <v>1246</v>
      </c>
      <c r="C19" s="377"/>
      <c r="D19" s="34"/>
      <c r="E19" s="34"/>
    </row>
    <row r="20" spans="1:5" ht="19.5" thickBot="1">
      <c r="A20" s="557" t="s">
        <v>1253</v>
      </c>
      <c r="B20" s="558" t="s">
        <v>19</v>
      </c>
      <c r="C20" s="377"/>
      <c r="D20" s="34"/>
      <c r="E20" s="34"/>
    </row>
    <row r="21" spans="1:5" ht="19.5" thickBot="1">
      <c r="A21" s="557" t="s">
        <v>1254</v>
      </c>
      <c r="B21" s="558" t="s">
        <v>889</v>
      </c>
      <c r="C21" s="377"/>
      <c r="D21" s="34"/>
      <c r="E21" s="34"/>
    </row>
    <row r="22" spans="1:5" ht="19.5" thickBot="1">
      <c r="A22" s="568" t="s">
        <v>1330</v>
      </c>
      <c r="B22" s="569" t="s">
        <v>1247</v>
      </c>
      <c r="C22" s="377">
        <f>SUM(C18:C21)</f>
        <v>0</v>
      </c>
      <c r="D22" s="377">
        <f>SUM(D18:D21)</f>
        <v>0</v>
      </c>
      <c r="E22" s="377">
        <f>SUM(E18:E21)</f>
        <v>0</v>
      </c>
    </row>
    <row r="23" spans="1:5" ht="27" customHeight="1" thickBot="1">
      <c r="A23" s="268" t="s">
        <v>1250</v>
      </c>
      <c r="B23" s="269" t="s">
        <v>1237</v>
      </c>
      <c r="C23" s="379">
        <f>SUM(C22,C17)</f>
        <v>0</v>
      </c>
      <c r="D23" s="379">
        <f>SUM(D22,D17)</f>
        <v>0</v>
      </c>
      <c r="E23" s="379">
        <f>SUM(E22,E17)</f>
        <v>0</v>
      </c>
    </row>
    <row r="24" spans="1:5" ht="19.5" thickBot="1">
      <c r="A24" s="270"/>
      <c r="B24" s="271"/>
      <c r="C24" s="377"/>
      <c r="D24" s="34"/>
      <c r="E24" s="34"/>
    </row>
    <row r="25" spans="1:5" ht="18.75">
      <c r="A25" s="272" t="s">
        <v>1255</v>
      </c>
      <c r="B25" s="97" t="s">
        <v>590</v>
      </c>
      <c r="C25" s="275"/>
      <c r="D25" s="44"/>
      <c r="E25" s="34"/>
    </row>
    <row r="26" spans="1:5" ht="18.75">
      <c r="A26" s="559" t="s">
        <v>1256</v>
      </c>
      <c r="B26" s="97" t="s">
        <v>1251</v>
      </c>
      <c r="C26" s="275"/>
      <c r="D26" s="44"/>
      <c r="E26" s="34"/>
    </row>
    <row r="27" spans="1:5" ht="18.75">
      <c r="A27" s="276" t="s">
        <v>1252</v>
      </c>
      <c r="B27" s="255" t="s">
        <v>4</v>
      </c>
      <c r="C27" s="378"/>
      <c r="D27" s="34"/>
      <c r="E27" s="34"/>
    </row>
    <row r="28" spans="1:5" ht="19.5" thickBot="1">
      <c r="A28" s="462" t="s">
        <v>1257</v>
      </c>
      <c r="B28" s="255" t="s">
        <v>635</v>
      </c>
      <c r="C28" s="378"/>
      <c r="D28" s="34"/>
      <c r="E28" s="34"/>
    </row>
    <row r="29" spans="1:5" ht="19.5" thickBot="1">
      <c r="A29" s="582" t="s">
        <v>1258</v>
      </c>
      <c r="B29" s="583" t="s">
        <v>69</v>
      </c>
      <c r="C29" s="378">
        <f>SUM(C25:C28)</f>
        <v>0</v>
      </c>
      <c r="D29" s="378">
        <f>SUM(D25:D28)</f>
        <v>0</v>
      </c>
      <c r="E29" s="378">
        <f>SUM(E25:E28)</f>
        <v>0</v>
      </c>
    </row>
    <row r="30" spans="1:5" ht="19.5" thickBot="1">
      <c r="A30" s="282"/>
      <c r="B30" s="283"/>
      <c r="C30" s="377"/>
      <c r="D30" s="34"/>
      <c r="E30" s="34"/>
    </row>
    <row r="31" spans="1:5" ht="18.75">
      <c r="A31" s="249" t="s">
        <v>1259</v>
      </c>
      <c r="B31" s="291" t="s">
        <v>533</v>
      </c>
      <c r="C31" s="377"/>
      <c r="D31" s="34"/>
      <c r="E31" s="34"/>
    </row>
    <row r="32" spans="1:5" ht="18.75">
      <c r="A32" s="253" t="s">
        <v>1260</v>
      </c>
      <c r="B32" s="254" t="s">
        <v>534</v>
      </c>
      <c r="C32" s="377"/>
      <c r="D32" s="41"/>
      <c r="E32" s="34"/>
    </row>
    <row r="33" spans="1:5" ht="18.75">
      <c r="A33" s="253" t="s">
        <v>1262</v>
      </c>
      <c r="B33" s="254" t="s">
        <v>1261</v>
      </c>
      <c r="C33" s="377"/>
      <c r="D33" s="41"/>
      <c r="E33" s="34"/>
    </row>
    <row r="34" spans="1:5" ht="18.75">
      <c r="A34" s="253" t="s">
        <v>1263</v>
      </c>
      <c r="B34" s="254" t="s">
        <v>124</v>
      </c>
      <c r="C34" s="377"/>
      <c r="D34" s="41"/>
      <c r="E34" s="34"/>
    </row>
    <row r="35" spans="1:5" ht="18.75">
      <c r="A35" s="253" t="s">
        <v>1264</v>
      </c>
      <c r="B35" s="254" t="s">
        <v>1265</v>
      </c>
      <c r="C35" s="570"/>
      <c r="D35" s="41"/>
      <c r="E35" s="34"/>
    </row>
    <row r="36" spans="1:5" ht="18.75">
      <c r="A36" s="253" t="s">
        <v>1335</v>
      </c>
      <c r="B36" s="562" t="s">
        <v>548</v>
      </c>
      <c r="C36" s="570">
        <f>SUM(C31:C35)</f>
        <v>0</v>
      </c>
      <c r="D36" s="570">
        <f>SUM(D31:D35)</f>
        <v>0</v>
      </c>
      <c r="E36" s="570">
        <f>SUM(E31:E35)</f>
        <v>0</v>
      </c>
    </row>
    <row r="37" spans="1:5" ht="18.75">
      <c r="A37" s="253" t="s">
        <v>1342</v>
      </c>
      <c r="B37" s="254" t="s">
        <v>1343</v>
      </c>
      <c r="C37" s="570">
        <v>2592</v>
      </c>
      <c r="D37" s="570">
        <v>2157</v>
      </c>
      <c r="E37" s="570">
        <v>2088</v>
      </c>
    </row>
    <row r="38" spans="1:5" ht="18.75">
      <c r="A38" s="253" t="s">
        <v>1344</v>
      </c>
      <c r="B38" s="254" t="s">
        <v>1267</v>
      </c>
      <c r="C38" s="570"/>
      <c r="D38" s="34"/>
      <c r="E38" s="34"/>
    </row>
    <row r="39" spans="1:5" ht="18.75">
      <c r="A39" s="253" t="s">
        <v>1345</v>
      </c>
      <c r="B39" s="254" t="s">
        <v>88</v>
      </c>
      <c r="C39" s="570"/>
      <c r="D39" s="34"/>
      <c r="E39" s="34"/>
    </row>
    <row r="40" spans="1:5" ht="18.75">
      <c r="A40" s="253" t="s">
        <v>1346</v>
      </c>
      <c r="B40" s="254" t="s">
        <v>1268</v>
      </c>
      <c r="C40" s="377"/>
      <c r="D40" s="34"/>
      <c r="E40" s="34"/>
    </row>
    <row r="41" spans="1:5" ht="19.5" thickBot="1">
      <c r="A41" s="288" t="s">
        <v>1347</v>
      </c>
      <c r="B41" s="289" t="s">
        <v>1269</v>
      </c>
      <c r="C41" s="377"/>
      <c r="D41" s="34"/>
      <c r="E41" s="34"/>
    </row>
    <row r="42" spans="1:5" ht="17.25" customHeight="1" thickBot="1">
      <c r="A42" s="268" t="s">
        <v>1266</v>
      </c>
      <c r="B42" s="571" t="s">
        <v>1270</v>
      </c>
      <c r="C42" s="377">
        <f>SUM(C37:C41)</f>
        <v>2592</v>
      </c>
      <c r="D42" s="377">
        <f>SUM(D37:D41)</f>
        <v>2157</v>
      </c>
      <c r="E42" s="377">
        <f>SUM(E37:E41)</f>
        <v>2088</v>
      </c>
    </row>
    <row r="43" spans="1:5" ht="22.5" customHeight="1" thickBot="1">
      <c r="A43" s="572" t="s">
        <v>1300</v>
      </c>
      <c r="B43" s="573" t="s">
        <v>595</v>
      </c>
      <c r="C43" s="574">
        <f>SUM(C42,C36)</f>
        <v>2592</v>
      </c>
      <c r="D43" s="574">
        <f>SUM(D42,D36)</f>
        <v>2157</v>
      </c>
      <c r="E43" s="574">
        <f>SUM(E42,E36)</f>
        <v>2088</v>
      </c>
    </row>
    <row r="44" spans="1:5" ht="18.75">
      <c r="A44" s="249" t="s">
        <v>1271</v>
      </c>
      <c r="B44" s="291" t="s">
        <v>1348</v>
      </c>
      <c r="C44" s="377"/>
      <c r="D44" s="34"/>
      <c r="E44" s="34"/>
    </row>
    <row r="45" spans="1:5" ht="18.75">
      <c r="A45" s="494" t="s">
        <v>1350</v>
      </c>
      <c r="B45" s="590" t="s">
        <v>1351</v>
      </c>
      <c r="C45" s="377"/>
      <c r="D45" s="34"/>
      <c r="E45" s="34"/>
    </row>
    <row r="46" spans="1:5" ht="18.75">
      <c r="A46" s="253" t="s">
        <v>1272</v>
      </c>
      <c r="B46" s="254" t="s">
        <v>1349</v>
      </c>
      <c r="C46" s="295"/>
      <c r="D46" s="566"/>
      <c r="E46" s="34"/>
    </row>
    <row r="47" spans="1:5" ht="18.75">
      <c r="A47" s="575" t="s">
        <v>1301</v>
      </c>
      <c r="B47" s="576" t="s">
        <v>1366</v>
      </c>
      <c r="C47" s="577">
        <f>SUM(C44:C46)</f>
        <v>0</v>
      </c>
      <c r="D47" s="577">
        <f>SUM(D44:D46)</f>
        <v>0</v>
      </c>
      <c r="E47" s="577">
        <f>SUM(E44:E46)</f>
        <v>0</v>
      </c>
    </row>
    <row r="48" spans="1:5" ht="18.75">
      <c r="A48" s="253" t="s">
        <v>1275</v>
      </c>
      <c r="B48" s="254" t="s">
        <v>544</v>
      </c>
      <c r="C48" s="295"/>
      <c r="D48" s="566"/>
      <c r="E48" s="34"/>
    </row>
    <row r="49" spans="1:5" ht="18.75">
      <c r="A49" s="253" t="s">
        <v>1274</v>
      </c>
      <c r="B49" s="254" t="s">
        <v>543</v>
      </c>
      <c r="C49" s="295"/>
      <c r="D49" s="34"/>
      <c r="E49" s="34"/>
    </row>
    <row r="50" spans="1:5" ht="18.75">
      <c r="A50" s="253" t="s">
        <v>1276</v>
      </c>
      <c r="B50" s="254" t="s">
        <v>503</v>
      </c>
      <c r="C50" s="295"/>
      <c r="D50" s="34"/>
      <c r="E50" s="34"/>
    </row>
    <row r="51" spans="1:5" ht="18.75">
      <c r="A51" s="575" t="s">
        <v>1273</v>
      </c>
      <c r="B51" s="576" t="s">
        <v>1277</v>
      </c>
      <c r="C51" s="577">
        <f>SUM(C48:C50)</f>
        <v>0</v>
      </c>
      <c r="D51" s="577">
        <f>SUM(D48:D50)</f>
        <v>0</v>
      </c>
      <c r="E51" s="577">
        <f>SUM(E48:E50)</f>
        <v>0</v>
      </c>
    </row>
    <row r="52" spans="1:5" ht="18.75">
      <c r="A52" s="253" t="s">
        <v>1332</v>
      </c>
      <c r="B52" s="254" t="s">
        <v>1278</v>
      </c>
      <c r="C52" s="295"/>
      <c r="D52" s="34"/>
      <c r="E52" s="34"/>
    </row>
    <row r="53" spans="1:5" ht="18.75">
      <c r="A53" s="253" t="s">
        <v>1280</v>
      </c>
      <c r="B53" s="254" t="s">
        <v>26</v>
      </c>
      <c r="C53" s="295"/>
      <c r="D53" s="41"/>
      <c r="E53" s="34"/>
    </row>
    <row r="54" spans="1:5" ht="18.75">
      <c r="A54" s="253" t="s">
        <v>1281</v>
      </c>
      <c r="B54" s="254" t="s">
        <v>1352</v>
      </c>
      <c r="C54" s="377"/>
      <c r="D54" s="34"/>
      <c r="E54" s="34"/>
    </row>
    <row r="55" spans="1:5" ht="18.75">
      <c r="A55" s="575" t="s">
        <v>1283</v>
      </c>
      <c r="B55" s="576" t="s">
        <v>1282</v>
      </c>
      <c r="C55" s="574">
        <f>SUM(C53:C54)</f>
        <v>0</v>
      </c>
      <c r="D55" s="574">
        <f>SUM(D53:D54)</f>
        <v>0</v>
      </c>
      <c r="E55" s="574">
        <f>SUM(E53:E54)</f>
        <v>0</v>
      </c>
    </row>
    <row r="56" spans="1:5" ht="18.75">
      <c r="A56" s="575" t="s">
        <v>1284</v>
      </c>
      <c r="B56" s="588" t="s">
        <v>1333</v>
      </c>
      <c r="C56" s="589"/>
      <c r="D56" s="589"/>
      <c r="E56" s="589"/>
    </row>
    <row r="57" spans="1:5" ht="18.75">
      <c r="A57" s="288"/>
      <c r="B57" s="554" t="s">
        <v>943</v>
      </c>
      <c r="C57" s="554"/>
      <c r="D57" s="554"/>
      <c r="E57" s="554"/>
    </row>
    <row r="58" spans="1:5" ht="18.75">
      <c r="A58" s="288" t="s">
        <v>1353</v>
      </c>
      <c r="B58" s="554" t="s">
        <v>547</v>
      </c>
      <c r="C58" s="554"/>
      <c r="D58" s="554"/>
      <c r="E58" s="554"/>
    </row>
    <row r="59" spans="1:5" ht="18.75">
      <c r="A59" s="288" t="s">
        <v>1354</v>
      </c>
      <c r="B59" s="554" t="s">
        <v>1355</v>
      </c>
      <c r="C59" s="554"/>
      <c r="D59" s="554"/>
      <c r="E59" s="554"/>
    </row>
    <row r="60" spans="1:5" ht="27" customHeight="1">
      <c r="A60" s="561" t="s">
        <v>1285</v>
      </c>
      <c r="B60" s="552" t="s">
        <v>945</v>
      </c>
      <c r="C60" s="591">
        <f>SUM(C58:C59)</f>
        <v>0</v>
      </c>
      <c r="D60" s="591">
        <f>SUM(D58:D59)</f>
        <v>0</v>
      </c>
      <c r="E60" s="591">
        <f>SUM(E58:E59)</f>
        <v>0</v>
      </c>
    </row>
    <row r="61" spans="1:5" ht="23.25" customHeight="1">
      <c r="A61" s="462" t="s">
        <v>1356</v>
      </c>
      <c r="B61" s="553" t="s">
        <v>1362</v>
      </c>
      <c r="C61" s="591"/>
      <c r="D61" s="591"/>
      <c r="E61" s="591"/>
    </row>
    <row r="62" spans="1:5" ht="23.25" customHeight="1">
      <c r="A62" s="462" t="s">
        <v>1357</v>
      </c>
      <c r="B62" s="553" t="s">
        <v>1358</v>
      </c>
      <c r="C62" s="591"/>
      <c r="D62" s="591"/>
      <c r="E62" s="591"/>
    </row>
    <row r="63" spans="1:5" ht="23.25" customHeight="1">
      <c r="A63" s="462" t="s">
        <v>1359</v>
      </c>
      <c r="B63" s="553" t="s">
        <v>9</v>
      </c>
      <c r="C63" s="591"/>
      <c r="D63" s="591"/>
      <c r="E63" s="591"/>
    </row>
    <row r="64" spans="1:6" ht="23.25" customHeight="1" thickBot="1">
      <c r="A64" s="462" t="s">
        <v>1360</v>
      </c>
      <c r="B64" s="553" t="s">
        <v>1361</v>
      </c>
      <c r="C64" s="591"/>
      <c r="D64" s="591"/>
      <c r="E64" s="591"/>
      <c r="F64" s="21" t="s">
        <v>1368</v>
      </c>
    </row>
    <row r="65" spans="1:5" ht="17.25" customHeight="1" thickBot="1">
      <c r="A65" s="298" t="s">
        <v>1286</v>
      </c>
      <c r="B65" s="552" t="s">
        <v>948</v>
      </c>
      <c r="C65" s="591">
        <f>SUM(C61:C64)</f>
        <v>0</v>
      </c>
      <c r="D65" s="591">
        <f>SUM(D61:D64)</f>
        <v>0</v>
      </c>
      <c r="E65" s="591">
        <f>SUM(E61:E64)</f>
        <v>0</v>
      </c>
    </row>
    <row r="66" spans="1:5" ht="25.5" customHeight="1">
      <c r="A66" s="578" t="s">
        <v>1279</v>
      </c>
      <c r="B66" s="579" t="s">
        <v>1287</v>
      </c>
      <c r="C66" s="579">
        <f>SUM(C65+C60+C56+C55+C52)</f>
        <v>0</v>
      </c>
      <c r="D66" s="579">
        <f>SUM(D65+D60+D56+D55+D52)</f>
        <v>0</v>
      </c>
      <c r="E66" s="579">
        <f>SUM(E65+E60+E56+E55+E52)</f>
        <v>0</v>
      </c>
    </row>
    <row r="67" spans="1:5" ht="18.75">
      <c r="A67" s="253" t="s">
        <v>1288</v>
      </c>
      <c r="B67" s="553" t="s">
        <v>952</v>
      </c>
      <c r="C67" s="553"/>
      <c r="D67" s="553"/>
      <c r="E67" s="553"/>
    </row>
    <row r="68" spans="1:5" ht="18.75">
      <c r="A68" s="253" t="s">
        <v>1289</v>
      </c>
      <c r="B68" s="553" t="s">
        <v>954</v>
      </c>
      <c r="C68" s="553"/>
      <c r="D68" s="553"/>
      <c r="E68" s="553"/>
    </row>
    <row r="69" spans="1:5" ht="24" customHeight="1">
      <c r="A69" s="575" t="s">
        <v>1291</v>
      </c>
      <c r="B69" s="579" t="s">
        <v>1290</v>
      </c>
      <c r="C69" s="579">
        <f>SUM(C67:C68)</f>
        <v>0</v>
      </c>
      <c r="D69" s="579">
        <f>SUM(D67:D68)</f>
        <v>0</v>
      </c>
      <c r="E69" s="579">
        <f>SUM(E67:E68)</f>
        <v>0</v>
      </c>
    </row>
    <row r="70" spans="1:7" ht="26.25" customHeight="1" thickBot="1">
      <c r="A70" s="561" t="s">
        <v>1294</v>
      </c>
      <c r="B70" s="552" t="s">
        <v>958</v>
      </c>
      <c r="C70" s="552">
        <v>700</v>
      </c>
      <c r="D70" s="552">
        <v>534</v>
      </c>
      <c r="E70" s="552">
        <v>564</v>
      </c>
      <c r="F70" s="21">
        <f>E43+E47+E66</f>
        <v>2088</v>
      </c>
      <c r="G70" s="21">
        <f>F70*27%</f>
        <v>563.76</v>
      </c>
    </row>
    <row r="71" spans="1:5" ht="27" customHeight="1" thickBot="1">
      <c r="A71" s="268" t="s">
        <v>1295</v>
      </c>
      <c r="B71" s="552" t="s">
        <v>960</v>
      </c>
      <c r="C71" s="552"/>
      <c r="D71" s="552"/>
      <c r="E71" s="552"/>
    </row>
    <row r="72" spans="1:5" ht="19.5" thickBot="1">
      <c r="A72" s="210" t="s">
        <v>1296</v>
      </c>
      <c r="B72" s="552" t="s">
        <v>1293</v>
      </c>
      <c r="C72" s="552"/>
      <c r="D72" s="552"/>
      <c r="E72" s="552"/>
    </row>
    <row r="73" spans="1:5" ht="24.75" customHeight="1">
      <c r="A73" s="593" t="s">
        <v>1298</v>
      </c>
      <c r="B73" s="594" t="s">
        <v>1363</v>
      </c>
      <c r="C73" s="594"/>
      <c r="D73" s="552"/>
      <c r="E73" s="552"/>
    </row>
    <row r="74" spans="1:6" ht="24.75" customHeight="1">
      <c r="A74" s="592" t="s">
        <v>1364</v>
      </c>
      <c r="B74" s="563" t="s">
        <v>1365</v>
      </c>
      <c r="C74" s="563"/>
      <c r="D74" s="553"/>
      <c r="E74" s="553"/>
      <c r="F74" s="21" t="s">
        <v>1369</v>
      </c>
    </row>
    <row r="75" spans="1:5" ht="24.75" customHeight="1">
      <c r="A75" s="592" t="s">
        <v>1370</v>
      </c>
      <c r="B75" s="563" t="s">
        <v>1367</v>
      </c>
      <c r="C75" s="563"/>
      <c r="D75" s="553"/>
      <c r="E75" s="553"/>
    </row>
    <row r="76" spans="1:5" ht="18.75">
      <c r="A76" s="98" t="s">
        <v>1297</v>
      </c>
      <c r="B76" s="552" t="s">
        <v>970</v>
      </c>
      <c r="C76" s="552">
        <f>SUM(C74:C75)</f>
        <v>0</v>
      </c>
      <c r="D76" s="552">
        <f>SUM(D74:D75)</f>
        <v>0</v>
      </c>
      <c r="E76" s="552">
        <f>SUM(E74:E75)</f>
        <v>0</v>
      </c>
    </row>
    <row r="77" spans="1:5" ht="24.75" customHeight="1">
      <c r="A77" s="580" t="s">
        <v>1292</v>
      </c>
      <c r="B77" s="579" t="s">
        <v>1334</v>
      </c>
      <c r="C77" s="579">
        <f>C76+C73+C72+C71+C70</f>
        <v>700</v>
      </c>
      <c r="D77" s="579">
        <f>D76+D73+D72+D71+D70</f>
        <v>534</v>
      </c>
      <c r="E77" s="579">
        <f>E76+E73+E72+E71+E70</f>
        <v>564</v>
      </c>
    </row>
    <row r="78" spans="1:10" ht="24.75" customHeight="1">
      <c r="A78" s="587" t="s">
        <v>1299</v>
      </c>
      <c r="B78" s="585" t="s">
        <v>70</v>
      </c>
      <c r="C78" s="579">
        <f>SUM(C77+C69+C66+C47+C43)</f>
        <v>3292</v>
      </c>
      <c r="D78" s="579">
        <f>SUM(D77+D69+D66+D47+D43)</f>
        <v>2691</v>
      </c>
      <c r="E78" s="579">
        <f>SUM(E77+E69+E66+E47+E43)</f>
        <v>2652</v>
      </c>
      <c r="F78" s="560"/>
      <c r="G78" s="560"/>
      <c r="H78" s="560"/>
      <c r="I78" s="560"/>
      <c r="J78" s="560"/>
    </row>
    <row r="79" spans="1:10" ht="24.75" customHeight="1">
      <c r="A79" s="98" t="s">
        <v>1307</v>
      </c>
      <c r="B79" s="553" t="s">
        <v>1302</v>
      </c>
      <c r="C79" s="552"/>
      <c r="D79" s="552"/>
      <c r="E79" s="552"/>
      <c r="F79" s="560"/>
      <c r="G79" s="560"/>
      <c r="H79" s="560"/>
      <c r="I79" s="560"/>
      <c r="J79" s="560"/>
    </row>
    <row r="80" spans="1:10" ht="24.75" customHeight="1">
      <c r="A80" s="98" t="s">
        <v>1306</v>
      </c>
      <c r="B80" s="553" t="s">
        <v>1308</v>
      </c>
      <c r="C80" s="552"/>
      <c r="D80" s="552"/>
      <c r="E80" s="552"/>
      <c r="F80" s="560"/>
      <c r="G80" s="560"/>
      <c r="H80" s="560"/>
      <c r="I80" s="560"/>
      <c r="J80" s="560"/>
    </row>
    <row r="81" spans="1:10" ht="24.75" customHeight="1">
      <c r="A81" s="98"/>
      <c r="B81" s="97" t="s">
        <v>1304</v>
      </c>
      <c r="C81" s="552"/>
      <c r="D81" s="552"/>
      <c r="E81" s="552"/>
      <c r="F81" s="560"/>
      <c r="G81" s="560"/>
      <c r="H81" s="560"/>
      <c r="I81" s="560"/>
      <c r="J81" s="560"/>
    </row>
    <row r="82" spans="1:5" ht="18.75">
      <c r="A82" s="98"/>
      <c r="B82" s="97" t="s">
        <v>1303</v>
      </c>
      <c r="C82" s="377"/>
      <c r="D82" s="34"/>
      <c r="E82" s="34"/>
    </row>
    <row r="83" spans="1:5" ht="18.75">
      <c r="A83" s="98"/>
      <c r="B83" s="567" t="s">
        <v>1305</v>
      </c>
      <c r="C83" s="377"/>
      <c r="D83" s="34"/>
      <c r="E83" s="34"/>
    </row>
    <row r="84" spans="1:5" ht="25.5">
      <c r="A84" s="580" t="s">
        <v>1341</v>
      </c>
      <c r="B84" s="579" t="s">
        <v>1337</v>
      </c>
      <c r="C84" s="377">
        <f>SUM(C80:C83)</f>
        <v>0</v>
      </c>
      <c r="D84" s="377">
        <f>SUM(D80:D83)</f>
        <v>0</v>
      </c>
      <c r="E84" s="377">
        <f>SUM(E80:E83)</f>
        <v>0</v>
      </c>
    </row>
    <row r="85" spans="1:5" s="564" customFormat="1" ht="18.75">
      <c r="A85" s="587" t="s">
        <v>1336</v>
      </c>
      <c r="B85" s="587" t="s">
        <v>1340</v>
      </c>
      <c r="C85" s="574">
        <f>SUM(C79+C84)</f>
        <v>0</v>
      </c>
      <c r="D85" s="574">
        <f>SUM(D79+D84)</f>
        <v>0</v>
      </c>
      <c r="E85" s="574">
        <f>SUM(E79+E84)</f>
        <v>0</v>
      </c>
    </row>
    <row r="86" spans="1:5" ht="18.75">
      <c r="A86" s="97" t="s">
        <v>1309</v>
      </c>
      <c r="B86" s="553" t="s">
        <v>1113</v>
      </c>
      <c r="C86" s="553"/>
      <c r="D86" s="553"/>
      <c r="E86" s="553"/>
    </row>
    <row r="87" spans="1:5" s="382" customFormat="1" ht="15">
      <c r="A87" s="97" t="s">
        <v>1310</v>
      </c>
      <c r="B87" s="553" t="s">
        <v>1371</v>
      </c>
      <c r="C87" s="553"/>
      <c r="D87" s="553"/>
      <c r="E87" s="553"/>
    </row>
    <row r="88" spans="1:5" ht="18.75">
      <c r="A88" s="172" t="s">
        <v>1311</v>
      </c>
      <c r="B88" s="553" t="s">
        <v>1117</v>
      </c>
      <c r="C88" s="553"/>
      <c r="D88" s="553"/>
      <c r="E88" s="553"/>
    </row>
    <row r="89" spans="1:5" ht="24" customHeight="1">
      <c r="A89" s="172" t="s">
        <v>1312</v>
      </c>
      <c r="B89" s="553" t="s">
        <v>1118</v>
      </c>
      <c r="C89" s="553"/>
      <c r="D89" s="553"/>
      <c r="E89" s="553"/>
    </row>
    <row r="90" spans="1:5" ht="26.25" customHeight="1">
      <c r="A90" s="172" t="s">
        <v>1313</v>
      </c>
      <c r="B90" s="553" t="s">
        <v>1120</v>
      </c>
      <c r="C90" s="553"/>
      <c r="D90" s="553"/>
      <c r="E90" s="553"/>
    </row>
    <row r="91" spans="1:5" ht="25.5" customHeight="1">
      <c r="A91" s="172" t="s">
        <v>1314</v>
      </c>
      <c r="B91" s="553" t="s">
        <v>1126</v>
      </c>
      <c r="C91" s="553"/>
      <c r="D91" s="553"/>
      <c r="E91" s="553"/>
    </row>
    <row r="92" spans="1:5" ht="18.75">
      <c r="A92" s="584" t="s">
        <v>1315</v>
      </c>
      <c r="B92" s="585" t="s">
        <v>1339</v>
      </c>
      <c r="C92" s="552">
        <f>SUM(C86:C91)</f>
        <v>0</v>
      </c>
      <c r="D92" s="552">
        <f>SUM(D86:D91)</f>
        <v>0</v>
      </c>
      <c r="E92" s="552">
        <f>SUM(E86:E91)</f>
        <v>0</v>
      </c>
    </row>
    <row r="93" spans="1:5" ht="18.75">
      <c r="A93" s="172" t="s">
        <v>1316</v>
      </c>
      <c r="B93" s="553" t="s">
        <v>1130</v>
      </c>
      <c r="C93" s="553"/>
      <c r="D93" s="553"/>
      <c r="E93" s="553"/>
    </row>
    <row r="94" spans="1:5" ht="18.75">
      <c r="A94" s="172" t="s">
        <v>1317</v>
      </c>
      <c r="B94" s="553" t="s">
        <v>1132</v>
      </c>
      <c r="C94" s="553"/>
      <c r="D94" s="553"/>
      <c r="E94" s="553"/>
    </row>
    <row r="95" spans="1:5" ht="18.75">
      <c r="A95" s="172" t="s">
        <v>1318</v>
      </c>
      <c r="B95" s="553" t="s">
        <v>1134</v>
      </c>
      <c r="C95" s="553"/>
      <c r="D95" s="553"/>
      <c r="E95" s="553"/>
    </row>
    <row r="96" spans="1:5" ht="24" customHeight="1">
      <c r="A96" s="172" t="s">
        <v>1319</v>
      </c>
      <c r="B96" s="553" t="s">
        <v>1136</v>
      </c>
      <c r="C96" s="553"/>
      <c r="D96" s="553"/>
      <c r="E96" s="553"/>
    </row>
    <row r="97" spans="1:5" ht="18.75">
      <c r="A97" s="584" t="s">
        <v>1320</v>
      </c>
      <c r="B97" s="585" t="s">
        <v>1338</v>
      </c>
      <c r="C97" s="552">
        <f>SUM(C93:C96)</f>
        <v>0</v>
      </c>
      <c r="D97" s="552">
        <f>SUM(D93:D96)</f>
        <v>0</v>
      </c>
      <c r="E97" s="552">
        <f>SUM(E93:E96)</f>
        <v>0</v>
      </c>
    </row>
    <row r="98" spans="1:5" ht="25.5" customHeight="1">
      <c r="A98" s="172" t="s">
        <v>1323</v>
      </c>
      <c r="B98" s="555" t="s">
        <v>1325</v>
      </c>
      <c r="C98" s="555"/>
      <c r="D98" s="555"/>
      <c r="E98" s="555"/>
    </row>
    <row r="99" spans="1:5" ht="27" customHeight="1">
      <c r="A99" s="457" t="s">
        <v>1322</v>
      </c>
      <c r="B99" s="553" t="s">
        <v>1321</v>
      </c>
      <c r="C99" s="553"/>
      <c r="D99" s="553"/>
      <c r="E99" s="553"/>
    </row>
    <row r="100" spans="1:5" ht="18.75">
      <c r="A100" s="584" t="s">
        <v>1326</v>
      </c>
      <c r="B100" s="586" t="s">
        <v>1324</v>
      </c>
      <c r="C100" s="295">
        <f>SUM(C98:C99)</f>
        <v>0</v>
      </c>
      <c r="D100" s="295">
        <f>SUM(D98:D99)</f>
        <v>0</v>
      </c>
      <c r="E100" s="295">
        <f>SUM(E98:E99)</f>
        <v>0</v>
      </c>
    </row>
    <row r="101" spans="1:5" ht="18.75">
      <c r="A101" s="34"/>
      <c r="B101" s="36" t="s">
        <v>118</v>
      </c>
      <c r="C101" s="581">
        <f>SUM(C100+C97+C92+C85+C78+C29+C23)</f>
        <v>3292</v>
      </c>
      <c r="D101" s="581">
        <f>SUM(D100+D97+D92+D85+D78+D29+D23)</f>
        <v>2691</v>
      </c>
      <c r="E101" s="581">
        <f>SUM(E100+E97+E92+E85+E78+E29+E23)</f>
        <v>2652</v>
      </c>
    </row>
    <row r="104" spans="2:4" ht="18.75">
      <c r="B104" s="607" t="s">
        <v>672</v>
      </c>
      <c r="C104" s="607"/>
      <c r="D104" s="607"/>
    </row>
    <row r="105" spans="2:4" ht="18.75">
      <c r="B105" s="196" t="s">
        <v>1493</v>
      </c>
      <c r="C105" s="607">
        <f>5*40*375</f>
        <v>75000</v>
      </c>
      <c r="D105" s="607" t="s">
        <v>393</v>
      </c>
    </row>
    <row r="106" spans="2:4" ht="18.75">
      <c r="B106" s="607" t="s">
        <v>54</v>
      </c>
      <c r="C106" s="608">
        <f>C105*0.27</f>
        <v>20250</v>
      </c>
      <c r="D106" s="607"/>
    </row>
    <row r="107" spans="2:4" ht="18.75">
      <c r="B107" s="609" t="s">
        <v>62</v>
      </c>
      <c r="C107" s="608">
        <f>C105*1.27</f>
        <v>95250</v>
      </c>
      <c r="D107" s="607"/>
    </row>
    <row r="108" spans="2:4" ht="18.75">
      <c r="B108" s="607"/>
      <c r="C108" s="607"/>
      <c r="D108" s="607"/>
    </row>
    <row r="109" spans="2:4" ht="18.75">
      <c r="B109" s="607" t="s">
        <v>674</v>
      </c>
      <c r="C109" s="607"/>
      <c r="D109" s="607"/>
    </row>
    <row r="110" spans="2:4" ht="18.75">
      <c r="B110" s="607" t="s">
        <v>1494</v>
      </c>
      <c r="C110" s="607">
        <f>5*180*395</f>
        <v>355500</v>
      </c>
      <c r="D110" s="607" t="s">
        <v>393</v>
      </c>
    </row>
    <row r="111" spans="2:4" ht="18.75">
      <c r="B111" s="607" t="s">
        <v>54</v>
      </c>
      <c r="C111" s="608">
        <f>C110*0.27</f>
        <v>95985</v>
      </c>
      <c r="D111" s="607"/>
    </row>
    <row r="112" spans="2:4" ht="18.75">
      <c r="B112" s="609" t="s">
        <v>62</v>
      </c>
      <c r="C112" s="608">
        <f>C110*1.27</f>
        <v>451485</v>
      </c>
      <c r="D112" s="607"/>
    </row>
    <row r="113" spans="2:4" ht="18.75">
      <c r="B113" s="607"/>
      <c r="C113" s="607"/>
      <c r="D113" s="607"/>
    </row>
    <row r="114" spans="2:4" ht="18.75">
      <c r="B114" s="607" t="s">
        <v>681</v>
      </c>
      <c r="C114" s="607"/>
      <c r="D114" s="607"/>
    </row>
    <row r="115" spans="2:4" ht="18.75">
      <c r="B115" s="607" t="s">
        <v>1495</v>
      </c>
      <c r="C115" s="607">
        <f>400*375</f>
        <v>150000</v>
      </c>
      <c r="D115" s="607" t="s">
        <v>1496</v>
      </c>
    </row>
    <row r="116" spans="2:4" ht="18.75">
      <c r="B116" s="607" t="s">
        <v>54</v>
      </c>
      <c r="C116" s="608">
        <f>C115*0.27</f>
        <v>40500</v>
      </c>
      <c r="D116" s="607"/>
    </row>
    <row r="117" spans="2:4" ht="18.75">
      <c r="B117" s="609" t="s">
        <v>62</v>
      </c>
      <c r="C117" s="608">
        <f>C115*1.27</f>
        <v>190500</v>
      </c>
      <c r="D117" s="607"/>
    </row>
    <row r="118" spans="2:4" ht="18.75">
      <c r="B118"/>
      <c r="C118"/>
      <c r="D118"/>
    </row>
    <row r="119" spans="2:4" ht="18.75">
      <c r="B119" s="607" t="s">
        <v>683</v>
      </c>
      <c r="C119" s="607"/>
      <c r="D119" s="607"/>
    </row>
    <row r="120" spans="2:4" ht="18.75">
      <c r="B120" s="607" t="s">
        <v>1497</v>
      </c>
      <c r="C120" s="607">
        <f>2000*395</f>
        <v>790000</v>
      </c>
      <c r="D120" s="607" t="s">
        <v>1496</v>
      </c>
    </row>
    <row r="121" spans="2:4" ht="18.75">
      <c r="B121" s="607" t="s">
        <v>54</v>
      </c>
      <c r="C121" s="608">
        <f>C120*0.27</f>
        <v>213300</v>
      </c>
      <c r="D121" s="607"/>
    </row>
    <row r="122" spans="2:4" ht="18.75">
      <c r="B122" s="609" t="s">
        <v>62</v>
      </c>
      <c r="C122" s="608">
        <f>C120*1.27</f>
        <v>1003300</v>
      </c>
      <c r="D122" s="607"/>
    </row>
    <row r="123" spans="2:4" ht="18.75">
      <c r="B123" s="607"/>
      <c r="C123" s="607"/>
      <c r="D123" s="607"/>
    </row>
    <row r="124" spans="2:4" ht="18.75">
      <c r="B124" s="607" t="s">
        <v>390</v>
      </c>
      <c r="C124" s="607"/>
      <c r="D124" s="607"/>
    </row>
    <row r="125" spans="2:4" ht="18.75">
      <c r="B125" s="607" t="s">
        <v>1498</v>
      </c>
      <c r="C125" s="607">
        <f>45*20*1275</f>
        <v>1147500</v>
      </c>
      <c r="D125" s="607" t="s">
        <v>1496</v>
      </c>
    </row>
    <row r="126" spans="2:4" ht="18.75">
      <c r="B126" s="607" t="s">
        <v>54</v>
      </c>
      <c r="C126" s="608">
        <f>C125*0.27</f>
        <v>309825</v>
      </c>
      <c r="D126" s="607"/>
    </row>
    <row r="127" spans="2:4" ht="18.75">
      <c r="B127" s="609" t="s">
        <v>62</v>
      </c>
      <c r="C127" s="608">
        <f>C125*1.27</f>
        <v>1457325</v>
      </c>
      <c r="D127" s="607"/>
    </row>
    <row r="128" spans="2:4" ht="18.75">
      <c r="B128" s="607"/>
      <c r="C128" s="607"/>
      <c r="D128" s="607"/>
    </row>
    <row r="129" spans="2:4" ht="18.75">
      <c r="B129"/>
      <c r="C129"/>
      <c r="D129"/>
    </row>
    <row r="130" spans="2:4" ht="18.75">
      <c r="B130"/>
      <c r="C130"/>
      <c r="D130"/>
    </row>
  </sheetData>
  <sheetProtection/>
  <mergeCells count="1">
    <mergeCell ref="A2:E2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2:G41"/>
  <sheetViews>
    <sheetView view="pageBreakPreview" zoomScale="60" zoomScalePageLayoutView="0" workbookViewId="0" topLeftCell="A1">
      <selection activeCell="I24" sqref="I23:I24"/>
    </sheetView>
  </sheetViews>
  <sheetFormatPr defaultColWidth="8.66015625" defaultRowHeight="18"/>
  <cols>
    <col min="1" max="1" width="9" style="178" bestFit="1" customWidth="1"/>
    <col min="2" max="2" width="27.41015625" style="178" customWidth="1"/>
    <col min="3" max="3" width="8.58203125" style="178" customWidth="1"/>
    <col min="4" max="4" width="9" style="178" bestFit="1" customWidth="1"/>
    <col min="5" max="5" width="10.08203125" style="178" customWidth="1"/>
    <col min="6" max="16384" width="8.91015625" style="178" customWidth="1"/>
  </cols>
  <sheetData>
    <row r="2" spans="1:7" ht="15.75">
      <c r="A2" s="187">
        <v>562917</v>
      </c>
      <c r="B2" s="187" t="s">
        <v>277</v>
      </c>
      <c r="C2" s="35" t="s">
        <v>262</v>
      </c>
      <c r="D2" s="35"/>
      <c r="E2" s="349">
        <v>41695</v>
      </c>
      <c r="F2" s="184" t="s">
        <v>626</v>
      </c>
      <c r="G2" s="184" t="s">
        <v>616</v>
      </c>
    </row>
    <row r="3" spans="1:7" ht="15.75">
      <c r="A3" s="187"/>
      <c r="B3" s="187"/>
      <c r="C3" s="187"/>
      <c r="D3" s="187"/>
      <c r="E3" s="346"/>
      <c r="F3" s="184"/>
      <c r="G3" s="184"/>
    </row>
    <row r="4" spans="1:7" ht="15.75">
      <c r="A4" s="184"/>
      <c r="B4" s="184"/>
      <c r="C4" s="184"/>
      <c r="D4" s="184"/>
      <c r="E4" s="346"/>
      <c r="F4" s="184"/>
      <c r="G4" s="184"/>
    </row>
    <row r="5" spans="1:7" ht="15.75">
      <c r="A5" s="184">
        <v>5412</v>
      </c>
      <c r="B5" s="184" t="s">
        <v>394</v>
      </c>
      <c r="C5" s="184">
        <v>2184</v>
      </c>
      <c r="D5" s="185">
        <f>D28</f>
        <v>0</v>
      </c>
      <c r="E5" s="346"/>
      <c r="F5" s="184"/>
      <c r="G5" s="184"/>
    </row>
    <row r="6" spans="1:7" ht="15.75">
      <c r="A6" s="190">
        <v>54</v>
      </c>
      <c r="B6" s="190" t="s">
        <v>359</v>
      </c>
      <c r="C6" s="190"/>
      <c r="D6" s="190">
        <f>SUM(D5:D5)</f>
        <v>0</v>
      </c>
      <c r="E6" s="346">
        <v>2157</v>
      </c>
      <c r="F6" s="184"/>
      <c r="G6" s="185">
        <f>(C33+C38)/1000</f>
        <v>2253.525</v>
      </c>
    </row>
    <row r="7" spans="1:7" ht="15.75">
      <c r="A7" s="190"/>
      <c r="B7" s="190"/>
      <c r="C7" s="190"/>
      <c r="D7" s="190"/>
      <c r="E7" s="346"/>
      <c r="F7" s="184"/>
      <c r="G7" s="184"/>
    </row>
    <row r="8" spans="1:7" ht="15.75">
      <c r="A8" s="190">
        <v>56121</v>
      </c>
      <c r="B8" s="190" t="s">
        <v>358</v>
      </c>
      <c r="C8" s="190">
        <v>589</v>
      </c>
      <c r="D8" s="191">
        <f>D29</f>
        <v>0</v>
      </c>
      <c r="E8" s="346"/>
      <c r="F8" s="184"/>
      <c r="G8" s="185">
        <f>G6*27%</f>
        <v>608.4517500000001</v>
      </c>
    </row>
    <row r="9" spans="1:7" ht="15.75">
      <c r="A9" s="190">
        <v>56</v>
      </c>
      <c r="B9" s="190" t="s">
        <v>357</v>
      </c>
      <c r="C9" s="190"/>
      <c r="D9" s="190">
        <f>SUM(D8)</f>
        <v>0</v>
      </c>
      <c r="E9" s="346">
        <v>582</v>
      </c>
      <c r="F9" s="184"/>
      <c r="G9" s="184"/>
    </row>
    <row r="10" spans="1:7" ht="15.75">
      <c r="A10" s="190"/>
      <c r="B10" s="190"/>
      <c r="C10" s="190"/>
      <c r="D10" s="190"/>
      <c r="E10" s="346"/>
      <c r="F10" s="184"/>
      <c r="G10" s="184"/>
    </row>
    <row r="11" spans="1:7" ht="15.75">
      <c r="A11" s="347"/>
      <c r="B11" s="347" t="s">
        <v>0</v>
      </c>
      <c r="C11" s="347">
        <f>SUM(C5:C10)</f>
        <v>2773</v>
      </c>
      <c r="D11" s="347">
        <f>SUM(D6,D9)</f>
        <v>0</v>
      </c>
      <c r="E11" s="186">
        <f>SUM(E6,E9)</f>
        <v>2739</v>
      </c>
      <c r="F11" s="186">
        <f>SUM(F6,F9)</f>
        <v>0</v>
      </c>
      <c r="G11" s="186">
        <f>SUM(G6,G8)</f>
        <v>2861.9767500000003</v>
      </c>
    </row>
    <row r="12" spans="1:7" ht="15.75">
      <c r="A12" s="184"/>
      <c r="B12" s="184"/>
      <c r="C12" s="184"/>
      <c r="D12" s="184"/>
      <c r="E12" s="346"/>
      <c r="F12" s="184"/>
      <c r="G12" s="184"/>
    </row>
    <row r="13" spans="1:7" ht="15.75">
      <c r="A13" s="184"/>
      <c r="B13" s="184"/>
      <c r="C13" s="184"/>
      <c r="D13" s="184"/>
      <c r="E13" s="346"/>
      <c r="F13" s="184"/>
      <c r="G13" s="184"/>
    </row>
    <row r="14" spans="1:7" ht="15.75">
      <c r="A14" s="184">
        <v>91121</v>
      </c>
      <c r="B14" s="184" t="s">
        <v>356</v>
      </c>
      <c r="C14" s="184">
        <v>3796</v>
      </c>
      <c r="D14" s="184">
        <f>D23</f>
        <v>0</v>
      </c>
      <c r="E14" s="346">
        <v>3517</v>
      </c>
      <c r="F14" s="184"/>
      <c r="G14" s="185">
        <f>(C22+C27)/1000</f>
        <v>3594.945</v>
      </c>
    </row>
    <row r="15" spans="1:7" ht="15.75">
      <c r="A15" s="184"/>
      <c r="B15" s="184"/>
      <c r="C15" s="184"/>
      <c r="D15" s="184"/>
      <c r="E15" s="346"/>
      <c r="F15" s="184"/>
      <c r="G15" s="184"/>
    </row>
    <row r="16" spans="1:7" ht="15.75">
      <c r="A16" s="184">
        <v>919231</v>
      </c>
      <c r="B16" s="184" t="s">
        <v>355</v>
      </c>
      <c r="C16" s="184">
        <v>1025</v>
      </c>
      <c r="D16" s="184">
        <f>D24</f>
        <v>0</v>
      </c>
      <c r="E16" s="346">
        <v>950</v>
      </c>
      <c r="F16" s="184"/>
      <c r="G16" s="185">
        <f>G14*27%</f>
        <v>970.6351500000001</v>
      </c>
    </row>
    <row r="17" spans="1:7" ht="15.75">
      <c r="A17" s="184"/>
      <c r="B17" s="184"/>
      <c r="C17" s="184"/>
      <c r="D17" s="184"/>
      <c r="E17" s="346"/>
      <c r="F17" s="184"/>
      <c r="G17" s="184"/>
    </row>
    <row r="18" spans="1:7" s="189" customFormat="1" ht="15.75">
      <c r="A18" s="190">
        <v>91</v>
      </c>
      <c r="B18" s="190" t="s">
        <v>354</v>
      </c>
      <c r="C18" s="190">
        <f>SUM(C14:C17)</f>
        <v>4821</v>
      </c>
      <c r="D18" s="190">
        <f>D25</f>
        <v>0</v>
      </c>
      <c r="E18" s="183">
        <f>SUM(E14:E17)</f>
        <v>4467</v>
      </c>
      <c r="F18" s="183">
        <f>SUM(F14:F17)</f>
        <v>0</v>
      </c>
      <c r="G18" s="182">
        <f>SUM(G14:G17)</f>
        <v>4565.58015</v>
      </c>
    </row>
    <row r="19" spans="1:7" ht="15.75">
      <c r="A19" s="184"/>
      <c r="B19" s="184"/>
      <c r="C19" s="184"/>
      <c r="D19" s="184"/>
      <c r="E19" s="346"/>
      <c r="F19" s="184"/>
      <c r="G19" s="184"/>
    </row>
    <row r="20" spans="1:5" ht="15.75">
      <c r="A20" s="466"/>
      <c r="B20" s="466"/>
      <c r="C20" s="466"/>
      <c r="D20" s="466"/>
      <c r="E20" s="467"/>
    </row>
    <row r="21" spans="2:4" ht="15.75">
      <c r="B21" s="196" t="s">
        <v>686</v>
      </c>
      <c r="C21" s="196"/>
      <c r="D21" s="196"/>
    </row>
    <row r="22" spans="2:6" ht="15.75">
      <c r="B22" s="196" t="s">
        <v>687</v>
      </c>
      <c r="C22" s="196">
        <f>41*30*579</f>
        <v>712170</v>
      </c>
      <c r="D22" s="196" t="s">
        <v>393</v>
      </c>
      <c r="E22" s="196"/>
      <c r="F22" s="196"/>
    </row>
    <row r="23" spans="2:6" ht="15.75">
      <c r="B23" s="196" t="s">
        <v>54</v>
      </c>
      <c r="C23" s="197">
        <f>C22*0.27</f>
        <v>192285.90000000002</v>
      </c>
      <c r="D23" s="196"/>
      <c r="E23" s="196"/>
      <c r="F23" s="196"/>
    </row>
    <row r="24" spans="2:6" ht="15.75">
      <c r="B24" s="196" t="s">
        <v>62</v>
      </c>
      <c r="C24" s="197">
        <f>C22*1.27</f>
        <v>904455.9</v>
      </c>
      <c r="D24" s="196"/>
      <c r="E24" s="197"/>
      <c r="F24" s="196"/>
    </row>
    <row r="25" spans="2:6" ht="15.75">
      <c r="B25" s="196"/>
      <c r="C25" s="196"/>
      <c r="D25" s="196"/>
      <c r="E25" s="197"/>
      <c r="F25" s="196"/>
    </row>
    <row r="26" spans="2:6" ht="15.75">
      <c r="B26" s="196" t="s">
        <v>688</v>
      </c>
      <c r="C26" s="196"/>
      <c r="D26" s="196"/>
      <c r="E26" s="196"/>
      <c r="F26" s="196"/>
    </row>
    <row r="27" spans="2:6" ht="15.75">
      <c r="B27" s="196" t="s">
        <v>689</v>
      </c>
      <c r="C27" s="196">
        <f>(144*30+35*15)*595</f>
        <v>2882775</v>
      </c>
      <c r="D27" s="196" t="s">
        <v>393</v>
      </c>
      <c r="E27" s="196"/>
      <c r="F27" s="196"/>
    </row>
    <row r="28" spans="2:6" ht="15.75">
      <c r="B28" s="196" t="s">
        <v>54</v>
      </c>
      <c r="C28" s="197">
        <f>C27*0.27</f>
        <v>778349.25</v>
      </c>
      <c r="D28" s="196"/>
      <c r="E28" s="197"/>
      <c r="F28" s="196"/>
    </row>
    <row r="29" spans="2:6" ht="15.75">
      <c r="B29" s="196" t="s">
        <v>62</v>
      </c>
      <c r="C29" s="197">
        <f>C27*1.27</f>
        <v>3661124.25</v>
      </c>
      <c r="D29" s="196"/>
      <c r="E29" s="197"/>
      <c r="F29" s="196"/>
    </row>
    <row r="30" spans="2:6" ht="18.75">
      <c r="B30"/>
      <c r="C30"/>
      <c r="D30"/>
      <c r="E30" s="197"/>
      <c r="F30" s="196"/>
    </row>
    <row r="31" spans="2:6" ht="15.75">
      <c r="B31" s="196"/>
      <c r="C31" s="196"/>
      <c r="D31" s="196"/>
      <c r="E31" s="196"/>
      <c r="F31" s="196"/>
    </row>
    <row r="32" spans="2:6" ht="15.75">
      <c r="B32" s="196" t="s">
        <v>690</v>
      </c>
      <c r="C32" s="196"/>
      <c r="D32" s="196"/>
      <c r="E32" s="196"/>
      <c r="F32" s="196"/>
    </row>
    <row r="33" spans="2:4" ht="15.75">
      <c r="B33" s="196" t="s">
        <v>691</v>
      </c>
      <c r="C33" s="197">
        <f>41*30*355</f>
        <v>436650</v>
      </c>
      <c r="D33" s="196" t="s">
        <v>393</v>
      </c>
    </row>
    <row r="34" spans="2:4" ht="15.75">
      <c r="B34" s="196" t="s">
        <v>54</v>
      </c>
      <c r="C34" s="197">
        <f>C33*0.27</f>
        <v>117895.50000000001</v>
      </c>
      <c r="D34" s="196"/>
    </row>
    <row r="35" spans="2:4" ht="15.75">
      <c r="B35" s="196" t="s">
        <v>62</v>
      </c>
      <c r="C35" s="197">
        <f>C33*1.27</f>
        <v>554545.5</v>
      </c>
      <c r="D35" s="196"/>
    </row>
    <row r="36" spans="2:4" ht="15.75">
      <c r="B36" s="196"/>
      <c r="C36" s="196"/>
      <c r="D36" s="196"/>
    </row>
    <row r="37" spans="2:4" ht="15.75">
      <c r="B37" s="196" t="s">
        <v>692</v>
      </c>
      <c r="C37" s="196"/>
      <c r="D37" s="196"/>
    </row>
    <row r="38" spans="2:4" ht="15.75">
      <c r="B38" s="196" t="s">
        <v>693</v>
      </c>
      <c r="C38" s="197">
        <f>(144*30+35*15)*375</f>
        <v>1816875</v>
      </c>
      <c r="D38" s="196" t="s">
        <v>393</v>
      </c>
    </row>
    <row r="39" spans="2:4" ht="15.75">
      <c r="B39" s="196" t="s">
        <v>54</v>
      </c>
      <c r="C39" s="197">
        <f>C38*0.27</f>
        <v>490556.25000000006</v>
      </c>
      <c r="D39" s="196"/>
    </row>
    <row r="40" spans="2:4" ht="15.75">
      <c r="B40" s="196" t="s">
        <v>62</v>
      </c>
      <c r="C40" s="197">
        <f>C38*1.27</f>
        <v>2307431.25</v>
      </c>
      <c r="D40" s="196"/>
    </row>
    <row r="41" spans="2:4" ht="15.75">
      <c r="B41" s="196"/>
      <c r="C41" s="196"/>
      <c r="D41" s="196"/>
    </row>
  </sheetData>
  <sheetProtection/>
  <printOptions/>
  <pageMargins left="0.7" right="0.7" top="0.75" bottom="0.75" header="0.3" footer="0.3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J101"/>
  <sheetViews>
    <sheetView view="pageBreakPreview" zoomScale="80" zoomScaleSheetLayoutView="80" zoomScalePageLayoutView="0" workbookViewId="0" topLeftCell="A1">
      <selection activeCell="B17" sqref="B17"/>
    </sheetView>
  </sheetViews>
  <sheetFormatPr defaultColWidth="8.41015625" defaultRowHeight="18"/>
  <cols>
    <col min="1" max="1" width="8.41015625" style="21" customWidth="1"/>
    <col min="2" max="2" width="29.41015625" style="21" customWidth="1"/>
    <col min="3" max="3" width="8" style="382" customWidth="1"/>
    <col min="4" max="4" width="7.33203125" style="21" customWidth="1"/>
    <col min="5" max="5" width="7.75" style="21" customWidth="1"/>
    <col min="6" max="249" width="7.08203125" style="21" customWidth="1"/>
    <col min="250" max="16384" width="8.41015625" style="21" customWidth="1"/>
  </cols>
  <sheetData>
    <row r="2" spans="1:5" ht="18.75">
      <c r="A2" s="620" t="s">
        <v>1331</v>
      </c>
      <c r="B2" s="620"/>
      <c r="C2" s="620"/>
      <c r="D2" s="620"/>
      <c r="E2" s="620"/>
    </row>
    <row r="3" ht="19.5" thickBot="1">
      <c r="C3" s="243"/>
    </row>
    <row r="4" spans="1:5" ht="19.5" thickBot="1">
      <c r="A4" s="244"/>
      <c r="B4" s="245"/>
      <c r="C4" s="421" t="s">
        <v>616</v>
      </c>
      <c r="D4" s="41" t="s">
        <v>626</v>
      </c>
      <c r="E4" s="34">
        <v>2016</v>
      </c>
    </row>
    <row r="5" spans="1:5" ht="19.5" thickBot="1">
      <c r="A5" s="210"/>
      <c r="B5" s="210"/>
      <c r="C5" s="295"/>
      <c r="D5" s="34"/>
      <c r="E5" s="34"/>
    </row>
    <row r="6" spans="1:5" ht="18.75">
      <c r="A6" s="249" t="s">
        <v>819</v>
      </c>
      <c r="B6" s="250" t="s">
        <v>1238</v>
      </c>
      <c r="C6" s="376"/>
      <c r="D6" s="565"/>
      <c r="E6" s="565"/>
    </row>
    <row r="7" spans="1:5" ht="18.75">
      <c r="A7" s="253" t="s">
        <v>822</v>
      </c>
      <c r="B7" s="254" t="s">
        <v>821</v>
      </c>
      <c r="C7" s="377"/>
      <c r="D7" s="34"/>
      <c r="E7" s="34"/>
    </row>
    <row r="8" spans="1:5" ht="18.75">
      <c r="A8" s="253" t="s">
        <v>823</v>
      </c>
      <c r="B8" s="254" t="s">
        <v>820</v>
      </c>
      <c r="C8" s="377"/>
      <c r="D8" s="34"/>
      <c r="E8" s="381"/>
    </row>
    <row r="9" spans="1:5" ht="18.75">
      <c r="A9" s="253" t="s">
        <v>825</v>
      </c>
      <c r="B9" s="254" t="s">
        <v>824</v>
      </c>
      <c r="C9" s="377"/>
      <c r="D9" s="34"/>
      <c r="E9" s="34"/>
    </row>
    <row r="10" spans="1:5" ht="18.75">
      <c r="A10" s="253" t="s">
        <v>826</v>
      </c>
      <c r="B10" s="260" t="s">
        <v>1239</v>
      </c>
      <c r="C10" s="377"/>
      <c r="D10" s="34"/>
      <c r="E10" s="34"/>
    </row>
    <row r="11" spans="1:5" ht="18.75">
      <c r="A11" s="253" t="s">
        <v>1233</v>
      </c>
      <c r="B11" s="260" t="s">
        <v>1240</v>
      </c>
      <c r="C11" s="378"/>
      <c r="D11" s="34"/>
      <c r="E11" s="34"/>
    </row>
    <row r="12" spans="1:5" ht="18.75">
      <c r="A12" s="253" t="s">
        <v>1241</v>
      </c>
      <c r="B12" s="262" t="s">
        <v>1234</v>
      </c>
      <c r="C12" s="377"/>
      <c r="D12" s="34"/>
      <c r="E12" s="34"/>
    </row>
    <row r="13" spans="1:5" ht="18.75">
      <c r="A13" s="253" t="s">
        <v>1242</v>
      </c>
      <c r="B13" s="262" t="s">
        <v>1235</v>
      </c>
      <c r="C13" s="377"/>
      <c r="D13" s="34"/>
      <c r="E13" s="34"/>
    </row>
    <row r="14" spans="1:5" ht="18.75">
      <c r="A14" s="253" t="s">
        <v>1243</v>
      </c>
      <c r="B14" s="254" t="s">
        <v>528</v>
      </c>
      <c r="C14" s="377"/>
      <c r="D14" s="34"/>
      <c r="E14" s="34"/>
    </row>
    <row r="15" spans="1:5" ht="18.75">
      <c r="A15" s="253" t="s">
        <v>1244</v>
      </c>
      <c r="B15" s="254" t="s">
        <v>1236</v>
      </c>
      <c r="C15" s="377"/>
      <c r="D15" s="34"/>
      <c r="E15" s="34"/>
    </row>
    <row r="16" spans="1:5" ht="19.5" thickBot="1">
      <c r="A16" s="264" t="s">
        <v>1245</v>
      </c>
      <c r="B16" s="265" t="s">
        <v>791</v>
      </c>
      <c r="C16" s="377"/>
      <c r="D16" s="34"/>
      <c r="E16" s="34"/>
    </row>
    <row r="17" spans="1:5" ht="19.5" thickBot="1">
      <c r="A17" s="568" t="s">
        <v>1327</v>
      </c>
      <c r="B17" s="569" t="s">
        <v>1249</v>
      </c>
      <c r="C17" s="379">
        <f>SUM(C6:C16)</f>
        <v>0</v>
      </c>
      <c r="D17" s="379">
        <f>SUM(D6:D16)</f>
        <v>0</v>
      </c>
      <c r="E17" s="379">
        <f>SUM(E6:E16)</f>
        <v>0</v>
      </c>
    </row>
    <row r="18" spans="1:5" ht="19.5" thickBot="1">
      <c r="A18" s="557" t="s">
        <v>1329</v>
      </c>
      <c r="B18" s="558" t="s">
        <v>1248</v>
      </c>
      <c r="C18" s="377"/>
      <c r="D18" s="34"/>
      <c r="E18" s="34"/>
    </row>
    <row r="19" spans="1:5" ht="19.5" thickBot="1">
      <c r="A19" s="557" t="s">
        <v>1328</v>
      </c>
      <c r="B19" s="558" t="s">
        <v>1246</v>
      </c>
      <c r="C19" s="377"/>
      <c r="D19" s="34"/>
      <c r="E19" s="34"/>
    </row>
    <row r="20" spans="1:5" ht="19.5" thickBot="1">
      <c r="A20" s="557" t="s">
        <v>1253</v>
      </c>
      <c r="B20" s="558" t="s">
        <v>19</v>
      </c>
      <c r="C20" s="377"/>
      <c r="D20" s="34"/>
      <c r="E20" s="34"/>
    </row>
    <row r="21" spans="1:5" ht="19.5" thickBot="1">
      <c r="A21" s="557" t="s">
        <v>1254</v>
      </c>
      <c r="B21" s="558" t="s">
        <v>889</v>
      </c>
      <c r="C21" s="377"/>
      <c r="D21" s="34"/>
      <c r="E21" s="34"/>
    </row>
    <row r="22" spans="1:5" ht="19.5" thickBot="1">
      <c r="A22" s="568" t="s">
        <v>1330</v>
      </c>
      <c r="B22" s="569" t="s">
        <v>1247</v>
      </c>
      <c r="C22" s="377">
        <f>SUM(C18:C21)</f>
        <v>0</v>
      </c>
      <c r="D22" s="377">
        <f>SUM(D18:D21)</f>
        <v>0</v>
      </c>
      <c r="E22" s="377">
        <f>SUM(E18:E21)</f>
        <v>0</v>
      </c>
    </row>
    <row r="23" spans="1:5" ht="27" customHeight="1" thickBot="1">
      <c r="A23" s="268" t="s">
        <v>1250</v>
      </c>
      <c r="B23" s="269" t="s">
        <v>1237</v>
      </c>
      <c r="C23" s="379">
        <f>SUM(C22,C17)</f>
        <v>0</v>
      </c>
      <c r="D23" s="379">
        <f>SUM(D22,D17)</f>
        <v>0</v>
      </c>
      <c r="E23" s="379">
        <f>SUM(E22,E17)</f>
        <v>0</v>
      </c>
    </row>
    <row r="24" spans="1:5" ht="19.5" thickBot="1">
      <c r="A24" s="270"/>
      <c r="B24" s="271"/>
      <c r="C24" s="377"/>
      <c r="D24" s="34"/>
      <c r="E24" s="34"/>
    </row>
    <row r="25" spans="1:5" ht="18.75">
      <c r="A25" s="272" t="s">
        <v>1255</v>
      </c>
      <c r="B25" s="97" t="s">
        <v>590</v>
      </c>
      <c r="C25" s="275"/>
      <c r="D25" s="44"/>
      <c r="E25" s="34"/>
    </row>
    <row r="26" spans="1:5" ht="18.75">
      <c r="A26" s="559" t="s">
        <v>1256</v>
      </c>
      <c r="B26" s="97" t="s">
        <v>1251</v>
      </c>
      <c r="C26" s="275"/>
      <c r="D26" s="44"/>
      <c r="E26" s="34"/>
    </row>
    <row r="27" spans="1:5" ht="18.75">
      <c r="A27" s="276" t="s">
        <v>1252</v>
      </c>
      <c r="B27" s="255" t="s">
        <v>4</v>
      </c>
      <c r="C27" s="378"/>
      <c r="D27" s="34"/>
      <c r="E27" s="34"/>
    </row>
    <row r="28" spans="1:5" ht="19.5" thickBot="1">
      <c r="A28" s="462" t="s">
        <v>1257</v>
      </c>
      <c r="B28" s="255" t="s">
        <v>635</v>
      </c>
      <c r="C28" s="378"/>
      <c r="D28" s="34"/>
      <c r="E28" s="34"/>
    </row>
    <row r="29" spans="1:5" ht="19.5" thickBot="1">
      <c r="A29" s="582" t="s">
        <v>1258</v>
      </c>
      <c r="B29" s="583" t="s">
        <v>69</v>
      </c>
      <c r="C29" s="378">
        <f>SUM(C25:C28)</f>
        <v>0</v>
      </c>
      <c r="D29" s="378">
        <f>SUM(D25:D28)</f>
        <v>0</v>
      </c>
      <c r="E29" s="378">
        <f>SUM(E25:E28)</f>
        <v>0</v>
      </c>
    </row>
    <row r="30" spans="1:5" ht="19.5" thickBot="1">
      <c r="A30" s="282"/>
      <c r="B30" s="283"/>
      <c r="C30" s="377"/>
      <c r="D30" s="34"/>
      <c r="E30" s="34"/>
    </row>
    <row r="31" spans="1:5" ht="18.75">
      <c r="A31" s="249" t="s">
        <v>1259</v>
      </c>
      <c r="B31" s="291" t="s">
        <v>533</v>
      </c>
      <c r="C31" s="377"/>
      <c r="D31" s="34"/>
      <c r="E31" s="34"/>
    </row>
    <row r="32" spans="1:5" ht="18.75">
      <c r="A32" s="253" t="s">
        <v>1260</v>
      </c>
      <c r="B32" s="254" t="s">
        <v>534</v>
      </c>
      <c r="C32" s="377"/>
      <c r="D32" s="41"/>
      <c r="E32" s="34"/>
    </row>
    <row r="33" spans="1:5" ht="18.75">
      <c r="A33" s="253" t="s">
        <v>1262</v>
      </c>
      <c r="B33" s="254" t="s">
        <v>1261</v>
      </c>
      <c r="C33" s="377"/>
      <c r="D33" s="41"/>
      <c r="E33" s="34"/>
    </row>
    <row r="34" spans="1:5" ht="18.75">
      <c r="A34" s="253" t="s">
        <v>1263</v>
      </c>
      <c r="B34" s="254" t="s">
        <v>124</v>
      </c>
      <c r="C34" s="377"/>
      <c r="D34" s="41"/>
      <c r="E34" s="34"/>
    </row>
    <row r="35" spans="1:5" ht="18.75">
      <c r="A35" s="253" t="s">
        <v>1264</v>
      </c>
      <c r="B35" s="254" t="s">
        <v>1265</v>
      </c>
      <c r="C35" s="570"/>
      <c r="D35" s="41"/>
      <c r="E35" s="34"/>
    </row>
    <row r="36" spans="1:5" ht="18.75">
      <c r="A36" s="253" t="s">
        <v>1335</v>
      </c>
      <c r="B36" s="562" t="s">
        <v>548</v>
      </c>
      <c r="C36" s="570">
        <f>SUM(C31:C35)</f>
        <v>0</v>
      </c>
      <c r="D36" s="570">
        <f>SUM(D31:D35)</f>
        <v>0</v>
      </c>
      <c r="E36" s="570">
        <f>SUM(E31:E35)</f>
        <v>0</v>
      </c>
    </row>
    <row r="37" spans="1:5" ht="18.75">
      <c r="A37" s="253" t="s">
        <v>1342</v>
      </c>
      <c r="B37" s="254" t="s">
        <v>1343</v>
      </c>
      <c r="C37" s="570"/>
      <c r="D37" s="570"/>
      <c r="E37" s="570"/>
    </row>
    <row r="38" spans="1:5" ht="18.75">
      <c r="A38" s="253" t="s">
        <v>1344</v>
      </c>
      <c r="B38" s="254" t="s">
        <v>1267</v>
      </c>
      <c r="C38" s="570"/>
      <c r="D38" s="34"/>
      <c r="E38" s="34"/>
    </row>
    <row r="39" spans="1:5" ht="18.75">
      <c r="A39" s="253" t="s">
        <v>1345</v>
      </c>
      <c r="B39" s="254" t="s">
        <v>88</v>
      </c>
      <c r="C39" s="570"/>
      <c r="D39" s="34"/>
      <c r="E39" s="34"/>
    </row>
    <row r="40" spans="1:5" ht="18.75">
      <c r="A40" s="253" t="s">
        <v>1346</v>
      </c>
      <c r="B40" s="254" t="s">
        <v>1268</v>
      </c>
      <c r="C40" s="377"/>
      <c r="D40" s="34"/>
      <c r="E40" s="34"/>
    </row>
    <row r="41" spans="1:5" ht="19.5" thickBot="1">
      <c r="A41" s="288" t="s">
        <v>1347</v>
      </c>
      <c r="B41" s="289" t="s">
        <v>1269</v>
      </c>
      <c r="C41" s="377"/>
      <c r="D41" s="34"/>
      <c r="E41" s="34"/>
    </row>
    <row r="42" spans="1:5" ht="17.25" customHeight="1" thickBot="1">
      <c r="A42" s="268" t="s">
        <v>1266</v>
      </c>
      <c r="B42" s="571" t="s">
        <v>1270</v>
      </c>
      <c r="C42" s="377">
        <f>SUM(C37:C41)</f>
        <v>0</v>
      </c>
      <c r="D42" s="377">
        <f>SUM(D38:D41)</f>
        <v>0</v>
      </c>
      <c r="E42" s="377">
        <f>SUM(E38:E41)</f>
        <v>0</v>
      </c>
    </row>
    <row r="43" spans="1:5" ht="22.5" customHeight="1" thickBot="1">
      <c r="A43" s="572" t="s">
        <v>1300</v>
      </c>
      <c r="B43" s="573" t="s">
        <v>595</v>
      </c>
      <c r="C43" s="574">
        <f>SUM(C42,C36)</f>
        <v>0</v>
      </c>
      <c r="D43" s="574">
        <f>SUM(D42,D36)</f>
        <v>0</v>
      </c>
      <c r="E43" s="574">
        <f>SUM(E42,E36)</f>
        <v>0</v>
      </c>
    </row>
    <row r="44" spans="1:5" ht="18.75">
      <c r="A44" s="249" t="s">
        <v>1271</v>
      </c>
      <c r="B44" s="291" t="s">
        <v>1348</v>
      </c>
      <c r="C44" s="377"/>
      <c r="D44" s="34"/>
      <c r="E44" s="34"/>
    </row>
    <row r="45" spans="1:5" ht="18.75">
      <c r="A45" s="494" t="s">
        <v>1350</v>
      </c>
      <c r="B45" s="590" t="s">
        <v>1351</v>
      </c>
      <c r="C45" s="377"/>
      <c r="D45" s="34"/>
      <c r="E45" s="34"/>
    </row>
    <row r="46" spans="1:5" ht="18.75">
      <c r="A46" s="253" t="s">
        <v>1272</v>
      </c>
      <c r="B46" s="254" t="s">
        <v>1349</v>
      </c>
      <c r="C46" s="295"/>
      <c r="D46" s="566"/>
      <c r="E46" s="34"/>
    </row>
    <row r="47" spans="1:5" ht="18.75">
      <c r="A47" s="575" t="s">
        <v>1301</v>
      </c>
      <c r="B47" s="576" t="s">
        <v>1366</v>
      </c>
      <c r="C47" s="577">
        <f>SUM(C44:C46)</f>
        <v>0</v>
      </c>
      <c r="D47" s="577">
        <f>SUM(D44:D46)</f>
        <v>0</v>
      </c>
      <c r="E47" s="577">
        <f>SUM(E44:E46)</f>
        <v>0</v>
      </c>
    </row>
    <row r="48" spans="1:5" ht="18.75">
      <c r="A48" s="253" t="s">
        <v>1275</v>
      </c>
      <c r="B48" s="254" t="s">
        <v>544</v>
      </c>
      <c r="C48" s="295"/>
      <c r="D48" s="566"/>
      <c r="E48" s="34"/>
    </row>
    <row r="49" spans="1:5" ht="18.75">
      <c r="A49" s="253" t="s">
        <v>1274</v>
      </c>
      <c r="B49" s="254" t="s">
        <v>543</v>
      </c>
      <c r="C49" s="295"/>
      <c r="D49" s="34"/>
      <c r="E49" s="34"/>
    </row>
    <row r="50" spans="1:5" ht="18.75">
      <c r="A50" s="253" t="s">
        <v>1276</v>
      </c>
      <c r="B50" s="254" t="s">
        <v>503</v>
      </c>
      <c r="C50" s="295"/>
      <c r="D50" s="34"/>
      <c r="E50" s="34"/>
    </row>
    <row r="51" spans="1:5" ht="18.75">
      <c r="A51" s="575" t="s">
        <v>1273</v>
      </c>
      <c r="B51" s="576" t="s">
        <v>1277</v>
      </c>
      <c r="C51" s="577">
        <f>SUM(C48:C50)</f>
        <v>0</v>
      </c>
      <c r="D51" s="577">
        <f>SUM(D48:D50)</f>
        <v>0</v>
      </c>
      <c r="E51" s="577">
        <f>SUM(E48:E50)</f>
        <v>0</v>
      </c>
    </row>
    <row r="52" spans="1:5" ht="18.75">
      <c r="A52" s="253" t="s">
        <v>1332</v>
      </c>
      <c r="B52" s="254" t="s">
        <v>1278</v>
      </c>
      <c r="C52" s="295"/>
      <c r="D52" s="34"/>
      <c r="E52" s="34"/>
    </row>
    <row r="53" spans="1:5" ht="18.75">
      <c r="A53" s="253" t="s">
        <v>1280</v>
      </c>
      <c r="B53" s="254" t="s">
        <v>26</v>
      </c>
      <c r="C53" s="295"/>
      <c r="D53" s="41"/>
      <c r="E53" s="34"/>
    </row>
    <row r="54" spans="1:5" ht="18.75">
      <c r="A54" s="253" t="s">
        <v>1281</v>
      </c>
      <c r="B54" s="254" t="s">
        <v>1352</v>
      </c>
      <c r="C54" s="377"/>
      <c r="D54" s="34"/>
      <c r="E54" s="34"/>
    </row>
    <row r="55" spans="1:5" ht="18.75">
      <c r="A55" s="575" t="s">
        <v>1283</v>
      </c>
      <c r="B55" s="576" t="s">
        <v>1282</v>
      </c>
      <c r="C55" s="574">
        <f>SUM(C53:C54)</f>
        <v>0</v>
      </c>
      <c r="D55" s="574">
        <f>SUM(D53:D54)</f>
        <v>0</v>
      </c>
      <c r="E55" s="574">
        <f>SUM(E53:E54)</f>
        <v>0</v>
      </c>
    </row>
    <row r="56" spans="1:5" ht="18.75">
      <c r="A56" s="575" t="s">
        <v>1284</v>
      </c>
      <c r="B56" s="588" t="s">
        <v>1333</v>
      </c>
      <c r="C56" s="589"/>
      <c r="D56" s="589"/>
      <c r="E56" s="589"/>
    </row>
    <row r="57" spans="1:5" ht="18.75">
      <c r="A57" s="288"/>
      <c r="B57" s="554" t="s">
        <v>943</v>
      </c>
      <c r="C57" s="554"/>
      <c r="D57" s="554"/>
      <c r="E57" s="554"/>
    </row>
    <row r="58" spans="1:5" ht="18.75">
      <c r="A58" s="288" t="s">
        <v>1353</v>
      </c>
      <c r="B58" s="554" t="s">
        <v>547</v>
      </c>
      <c r="C58" s="554"/>
      <c r="D58" s="554"/>
      <c r="E58" s="554"/>
    </row>
    <row r="59" spans="1:5" ht="18.75">
      <c r="A59" s="288" t="s">
        <v>1354</v>
      </c>
      <c r="B59" s="554" t="s">
        <v>1355</v>
      </c>
      <c r="C59" s="554"/>
      <c r="D59" s="554"/>
      <c r="E59" s="554"/>
    </row>
    <row r="60" spans="1:5" ht="27" customHeight="1">
      <c r="A60" s="561" t="s">
        <v>1285</v>
      </c>
      <c r="B60" s="552" t="s">
        <v>945</v>
      </c>
      <c r="C60" s="591">
        <f>SUM(C58:C59)</f>
        <v>0</v>
      </c>
      <c r="D60" s="591">
        <f>SUM(D58:D59)</f>
        <v>0</v>
      </c>
      <c r="E60" s="591">
        <f>SUM(E58:E59)</f>
        <v>0</v>
      </c>
    </row>
    <row r="61" spans="1:5" ht="23.25" customHeight="1">
      <c r="A61" s="462" t="s">
        <v>1356</v>
      </c>
      <c r="B61" s="553" t="s">
        <v>1362</v>
      </c>
      <c r="C61" s="591"/>
      <c r="D61" s="591"/>
      <c r="E61" s="591"/>
    </row>
    <row r="62" spans="1:5" ht="23.25" customHeight="1">
      <c r="A62" s="462" t="s">
        <v>1357</v>
      </c>
      <c r="B62" s="553" t="s">
        <v>1358</v>
      </c>
      <c r="C62" s="591"/>
      <c r="D62" s="591"/>
      <c r="E62" s="591"/>
    </row>
    <row r="63" spans="1:5" ht="23.25" customHeight="1">
      <c r="A63" s="462" t="s">
        <v>1359</v>
      </c>
      <c r="B63" s="553" t="s">
        <v>9</v>
      </c>
      <c r="C63" s="591"/>
      <c r="D63" s="591"/>
      <c r="E63" s="591"/>
    </row>
    <row r="64" spans="1:6" ht="23.25" customHeight="1" thickBot="1">
      <c r="A64" s="462" t="s">
        <v>1360</v>
      </c>
      <c r="B64" s="553" t="s">
        <v>1361</v>
      </c>
      <c r="C64" s="591"/>
      <c r="D64" s="591"/>
      <c r="E64" s="591"/>
      <c r="F64" s="21" t="s">
        <v>1368</v>
      </c>
    </row>
    <row r="65" spans="1:5" ht="17.25" customHeight="1" thickBot="1">
      <c r="A65" s="298" t="s">
        <v>1286</v>
      </c>
      <c r="B65" s="552" t="s">
        <v>948</v>
      </c>
      <c r="C65" s="591">
        <f>SUM(C61:C64)</f>
        <v>0</v>
      </c>
      <c r="D65" s="591">
        <f>SUM(D61:D64)</f>
        <v>0</v>
      </c>
      <c r="E65" s="591">
        <f>SUM(E61:E64)</f>
        <v>0</v>
      </c>
    </row>
    <row r="66" spans="1:5" ht="25.5" customHeight="1">
      <c r="A66" s="578" t="s">
        <v>1279</v>
      </c>
      <c r="B66" s="579" t="s">
        <v>1287</v>
      </c>
      <c r="C66" s="579">
        <f>SUM(C65+C60+C56+C55+C52)</f>
        <v>0</v>
      </c>
      <c r="D66" s="579">
        <f>SUM(D65+D60+D56+D55+D52)</f>
        <v>0</v>
      </c>
      <c r="E66" s="579">
        <f>SUM(E65+E60+E56+E55+E52)</f>
        <v>0</v>
      </c>
    </row>
    <row r="67" spans="1:5" ht="18.75">
      <c r="A67" s="253" t="s">
        <v>1288</v>
      </c>
      <c r="B67" s="553" t="s">
        <v>952</v>
      </c>
      <c r="C67" s="553"/>
      <c r="D67" s="553"/>
      <c r="E67" s="553"/>
    </row>
    <row r="68" spans="1:5" ht="18.75">
      <c r="A68" s="253" t="s">
        <v>1289</v>
      </c>
      <c r="B68" s="553" t="s">
        <v>954</v>
      </c>
      <c r="C68" s="553"/>
      <c r="D68" s="553"/>
      <c r="E68" s="553"/>
    </row>
    <row r="69" spans="1:5" ht="24" customHeight="1">
      <c r="A69" s="575" t="s">
        <v>1291</v>
      </c>
      <c r="B69" s="579" t="s">
        <v>1290</v>
      </c>
      <c r="C69" s="579">
        <f>SUM(C67:C68)</f>
        <v>0</v>
      </c>
      <c r="D69" s="579">
        <f>SUM(D67:D68)</f>
        <v>0</v>
      </c>
      <c r="E69" s="579">
        <f>SUM(E67:E68)</f>
        <v>0</v>
      </c>
    </row>
    <row r="70" spans="1:5" ht="26.25" customHeight="1" thickBot="1">
      <c r="A70" s="561" t="s">
        <v>1294</v>
      </c>
      <c r="B70" s="552" t="s">
        <v>958</v>
      </c>
      <c r="C70" s="552"/>
      <c r="D70" s="552"/>
      <c r="E70" s="552"/>
    </row>
    <row r="71" spans="1:5" ht="27" customHeight="1" thickBot="1">
      <c r="A71" s="268" t="s">
        <v>1295</v>
      </c>
      <c r="B71" s="552" t="s">
        <v>960</v>
      </c>
      <c r="C71" s="552"/>
      <c r="D71" s="552"/>
      <c r="E71" s="552"/>
    </row>
    <row r="72" spans="1:5" ht="19.5" thickBot="1">
      <c r="A72" s="210" t="s">
        <v>1296</v>
      </c>
      <c r="B72" s="552" t="s">
        <v>1293</v>
      </c>
      <c r="C72" s="552"/>
      <c r="D72" s="552"/>
      <c r="E72" s="552"/>
    </row>
    <row r="73" spans="1:5" ht="24.75" customHeight="1">
      <c r="A73" s="593" t="s">
        <v>1298</v>
      </c>
      <c r="B73" s="594" t="s">
        <v>1363</v>
      </c>
      <c r="C73" s="594"/>
      <c r="D73" s="552"/>
      <c r="E73" s="552"/>
    </row>
    <row r="74" spans="1:6" ht="24.75" customHeight="1">
      <c r="A74" s="592" t="s">
        <v>1364</v>
      </c>
      <c r="B74" s="563" t="s">
        <v>1365</v>
      </c>
      <c r="C74" s="563"/>
      <c r="D74" s="553"/>
      <c r="E74" s="553"/>
      <c r="F74" s="21" t="s">
        <v>1369</v>
      </c>
    </row>
    <row r="75" spans="1:5" ht="24.75" customHeight="1">
      <c r="A75" s="592" t="s">
        <v>1370</v>
      </c>
      <c r="B75" s="563" t="s">
        <v>1367</v>
      </c>
      <c r="C75" s="563"/>
      <c r="D75" s="553"/>
      <c r="E75" s="553"/>
    </row>
    <row r="76" spans="1:5" ht="18.75">
      <c r="A76" s="98" t="s">
        <v>1297</v>
      </c>
      <c r="B76" s="552" t="s">
        <v>970</v>
      </c>
      <c r="C76" s="552">
        <f>SUM(C74:C75)</f>
        <v>0</v>
      </c>
      <c r="D76" s="552">
        <f>SUM(D74:D75)</f>
        <v>0</v>
      </c>
      <c r="E76" s="552">
        <f>SUM(E74:E75)</f>
        <v>0</v>
      </c>
    </row>
    <row r="77" spans="1:5" ht="24.75" customHeight="1">
      <c r="A77" s="580" t="s">
        <v>1292</v>
      </c>
      <c r="B77" s="579" t="s">
        <v>1334</v>
      </c>
      <c r="C77" s="579">
        <f>C76+C73+C72+C71+C70</f>
        <v>0</v>
      </c>
      <c r="D77" s="579">
        <f>D76+D73+D72+D71+D70</f>
        <v>0</v>
      </c>
      <c r="E77" s="579">
        <f>E76+E73+E72+E71+E70</f>
        <v>0</v>
      </c>
    </row>
    <row r="78" spans="1:10" ht="24.75" customHeight="1">
      <c r="A78" s="587" t="s">
        <v>1299</v>
      </c>
      <c r="B78" s="585" t="s">
        <v>70</v>
      </c>
      <c r="C78" s="579">
        <f>SUM(C77+C69+C66+C47+C43)</f>
        <v>0</v>
      </c>
      <c r="D78" s="579">
        <f>SUM(D77+D69+D66+D47+D43)</f>
        <v>0</v>
      </c>
      <c r="E78" s="579">
        <f>SUM(E77+E69+E66+E47+E43)</f>
        <v>0</v>
      </c>
      <c r="F78" s="560"/>
      <c r="G78" s="560"/>
      <c r="H78" s="560"/>
      <c r="I78" s="560"/>
      <c r="J78" s="560"/>
    </row>
    <row r="79" spans="1:10" ht="24.75" customHeight="1">
      <c r="A79" s="98" t="s">
        <v>1307</v>
      </c>
      <c r="B79" s="553" t="s">
        <v>1302</v>
      </c>
      <c r="C79" s="552"/>
      <c r="D79" s="552"/>
      <c r="E79" s="552"/>
      <c r="F79" s="560"/>
      <c r="G79" s="560"/>
      <c r="H79" s="560"/>
      <c r="I79" s="560"/>
      <c r="J79" s="560"/>
    </row>
    <row r="80" spans="1:10" ht="24.75" customHeight="1">
      <c r="A80" s="98" t="s">
        <v>1306</v>
      </c>
      <c r="B80" s="553" t="s">
        <v>1308</v>
      </c>
      <c r="C80" s="552"/>
      <c r="D80" s="552"/>
      <c r="E80" s="552"/>
      <c r="F80" s="560"/>
      <c r="G80" s="560"/>
      <c r="H80" s="560"/>
      <c r="I80" s="560"/>
      <c r="J80" s="560"/>
    </row>
    <row r="81" spans="1:10" ht="24.75" customHeight="1">
      <c r="A81" s="98"/>
      <c r="B81" s="97" t="s">
        <v>1304</v>
      </c>
      <c r="C81" s="552"/>
      <c r="D81" s="552"/>
      <c r="E81" s="552"/>
      <c r="F81" s="560"/>
      <c r="G81" s="560"/>
      <c r="H81" s="560"/>
      <c r="I81" s="560"/>
      <c r="J81" s="560"/>
    </row>
    <row r="82" spans="1:5" ht="18.75">
      <c r="A82" s="98"/>
      <c r="B82" s="97" t="s">
        <v>1303</v>
      </c>
      <c r="C82" s="377"/>
      <c r="D82" s="34"/>
      <c r="E82" s="34"/>
    </row>
    <row r="83" spans="1:5" ht="18.75">
      <c r="A83" s="98"/>
      <c r="B83" s="567" t="s">
        <v>1305</v>
      </c>
      <c r="C83" s="377"/>
      <c r="D83" s="34"/>
      <c r="E83" s="34"/>
    </row>
    <row r="84" spans="1:5" ht="25.5">
      <c r="A84" s="580" t="s">
        <v>1341</v>
      </c>
      <c r="B84" s="579" t="s">
        <v>1337</v>
      </c>
      <c r="C84" s="377">
        <f>SUM(C80:C83)</f>
        <v>0</v>
      </c>
      <c r="D84" s="377">
        <f>SUM(D80:D83)</f>
        <v>0</v>
      </c>
      <c r="E84" s="377">
        <f>SUM(E80:E83)</f>
        <v>0</v>
      </c>
    </row>
    <row r="85" spans="1:5" s="564" customFormat="1" ht="18.75">
      <c r="A85" s="587" t="s">
        <v>1336</v>
      </c>
      <c r="B85" s="587" t="s">
        <v>1340</v>
      </c>
      <c r="C85" s="574">
        <f>SUM(C79+C84)</f>
        <v>0</v>
      </c>
      <c r="D85" s="574">
        <f>SUM(D79+D84)</f>
        <v>0</v>
      </c>
      <c r="E85" s="574">
        <f>SUM(E79+E84)</f>
        <v>0</v>
      </c>
    </row>
    <row r="86" spans="1:5" ht="18.75">
      <c r="A86" s="97" t="s">
        <v>1309</v>
      </c>
      <c r="B86" s="553" t="s">
        <v>1113</v>
      </c>
      <c r="C86" s="553"/>
      <c r="D86" s="553"/>
      <c r="E86" s="553"/>
    </row>
    <row r="87" spans="1:5" s="382" customFormat="1" ht="15">
      <c r="A87" s="97" t="s">
        <v>1310</v>
      </c>
      <c r="B87" s="553" t="s">
        <v>1371</v>
      </c>
      <c r="C87" s="553"/>
      <c r="D87" s="553"/>
      <c r="E87" s="553"/>
    </row>
    <row r="88" spans="1:5" ht="18.75">
      <c r="A88" s="172" t="s">
        <v>1311</v>
      </c>
      <c r="B88" s="553" t="s">
        <v>1117</v>
      </c>
      <c r="C88" s="553"/>
      <c r="D88" s="553"/>
      <c r="E88" s="553"/>
    </row>
    <row r="89" spans="1:5" ht="24" customHeight="1">
      <c r="A89" s="172" t="s">
        <v>1312</v>
      </c>
      <c r="B89" s="553" t="s">
        <v>1118</v>
      </c>
      <c r="C89" s="553"/>
      <c r="D89" s="553"/>
      <c r="E89" s="553"/>
    </row>
    <row r="90" spans="1:5" ht="26.25" customHeight="1">
      <c r="A90" s="172" t="s">
        <v>1313</v>
      </c>
      <c r="B90" s="553" t="s">
        <v>1120</v>
      </c>
      <c r="C90" s="553"/>
      <c r="D90" s="553"/>
      <c r="E90" s="553"/>
    </row>
    <row r="91" spans="1:5" ht="25.5" customHeight="1">
      <c r="A91" s="172" t="s">
        <v>1314</v>
      </c>
      <c r="B91" s="553" t="s">
        <v>1126</v>
      </c>
      <c r="C91" s="553"/>
      <c r="D91" s="553"/>
      <c r="E91" s="553"/>
    </row>
    <row r="92" spans="1:5" ht="18.75">
      <c r="A92" s="584" t="s">
        <v>1315</v>
      </c>
      <c r="B92" s="585" t="s">
        <v>1339</v>
      </c>
      <c r="C92" s="552">
        <f>SUM(C86:C91)</f>
        <v>0</v>
      </c>
      <c r="D92" s="552">
        <f>SUM(D86:D91)</f>
        <v>0</v>
      </c>
      <c r="E92" s="552">
        <f>SUM(E86:E91)</f>
        <v>0</v>
      </c>
    </row>
    <row r="93" spans="1:5" ht="18.75">
      <c r="A93" s="172" t="s">
        <v>1316</v>
      </c>
      <c r="B93" s="553" t="s">
        <v>1130</v>
      </c>
      <c r="C93" s="553"/>
      <c r="D93" s="553"/>
      <c r="E93" s="553"/>
    </row>
    <row r="94" spans="1:5" ht="18.75">
      <c r="A94" s="172" t="s">
        <v>1317</v>
      </c>
      <c r="B94" s="553" t="s">
        <v>1132</v>
      </c>
      <c r="C94" s="553"/>
      <c r="D94" s="553"/>
      <c r="E94" s="553"/>
    </row>
    <row r="95" spans="1:5" ht="18.75">
      <c r="A95" s="172" t="s">
        <v>1318</v>
      </c>
      <c r="B95" s="553" t="s">
        <v>1134</v>
      </c>
      <c r="C95" s="553"/>
      <c r="D95" s="553"/>
      <c r="E95" s="553"/>
    </row>
    <row r="96" spans="1:5" ht="24" customHeight="1">
      <c r="A96" s="172" t="s">
        <v>1319</v>
      </c>
      <c r="B96" s="553" t="s">
        <v>1136</v>
      </c>
      <c r="C96" s="553"/>
      <c r="D96" s="553"/>
      <c r="E96" s="553"/>
    </row>
    <row r="97" spans="1:5" ht="18.75">
      <c r="A97" s="584" t="s">
        <v>1320</v>
      </c>
      <c r="B97" s="585" t="s">
        <v>1338</v>
      </c>
      <c r="C97" s="552">
        <f>SUM(C93:C96)</f>
        <v>0</v>
      </c>
      <c r="D97" s="552">
        <f>SUM(D93:D96)</f>
        <v>0</v>
      </c>
      <c r="E97" s="552">
        <f>SUM(E93:E96)</f>
        <v>0</v>
      </c>
    </row>
    <row r="98" spans="1:5" ht="25.5" customHeight="1">
      <c r="A98" s="172" t="s">
        <v>1323</v>
      </c>
      <c r="B98" s="555" t="s">
        <v>1325</v>
      </c>
      <c r="C98" s="555"/>
      <c r="D98" s="555"/>
      <c r="E98" s="555"/>
    </row>
    <row r="99" spans="1:5" ht="27" customHeight="1">
      <c r="A99" s="457" t="s">
        <v>1322</v>
      </c>
      <c r="B99" s="553" t="s">
        <v>1321</v>
      </c>
      <c r="C99" s="553"/>
      <c r="D99" s="553"/>
      <c r="E99" s="553"/>
    </row>
    <row r="100" spans="1:5" ht="18.75">
      <c r="A100" s="584" t="s">
        <v>1326</v>
      </c>
      <c r="B100" s="586" t="s">
        <v>1324</v>
      </c>
      <c r="C100" s="295">
        <f>SUM(C98:C99)</f>
        <v>0</v>
      </c>
      <c r="D100" s="295">
        <f>SUM(D98:D99)</f>
        <v>0</v>
      </c>
      <c r="E100" s="295">
        <f>SUM(E98:E99)</f>
        <v>0</v>
      </c>
    </row>
    <row r="101" spans="1:5" ht="18.75">
      <c r="A101" s="34"/>
      <c r="B101" s="36" t="s">
        <v>118</v>
      </c>
      <c r="C101" s="581">
        <f>SUM(C100+C97+C92+C85+C78+C29+C23)</f>
        <v>0</v>
      </c>
      <c r="D101" s="34"/>
      <c r="E101" s="34"/>
    </row>
  </sheetData>
  <sheetProtection/>
  <mergeCells count="1">
    <mergeCell ref="A2:E2"/>
  </mergeCells>
  <printOptions/>
  <pageMargins left="0.7" right="0.7" top="0.75" bottom="0.75" header="0.3" footer="0.3"/>
  <pageSetup horizontalDpi="300" verticalDpi="300" orientation="portrait" paperSize="9" scale="67" r:id="rId1"/>
  <rowBreaks count="2" manualBreakCount="2">
    <brk id="43" max="255" man="1"/>
    <brk id="85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C00000"/>
  </sheetPr>
  <dimension ref="A2:J113"/>
  <sheetViews>
    <sheetView zoomScalePageLayoutView="0" workbookViewId="0" topLeftCell="A58">
      <selection activeCell="C94" sqref="C94"/>
    </sheetView>
  </sheetViews>
  <sheetFormatPr defaultColWidth="8.41015625" defaultRowHeight="18"/>
  <cols>
    <col min="1" max="1" width="8.41015625" style="21" customWidth="1"/>
    <col min="2" max="2" width="29.41015625" style="21" customWidth="1"/>
    <col min="3" max="3" width="8" style="382" customWidth="1"/>
    <col min="4" max="4" width="7.33203125" style="21" customWidth="1"/>
    <col min="5" max="5" width="7.75" style="21" customWidth="1"/>
    <col min="6" max="249" width="7.08203125" style="21" customWidth="1"/>
    <col min="250" max="16384" width="8.41015625" style="21" customWidth="1"/>
  </cols>
  <sheetData>
    <row r="2" spans="1:5" ht="18.75">
      <c r="A2" s="620" t="s">
        <v>1331</v>
      </c>
      <c r="B2" s="620"/>
      <c r="C2" s="620"/>
      <c r="D2" s="620"/>
      <c r="E2" s="620"/>
    </row>
    <row r="3" ht="19.5" thickBot="1">
      <c r="C3" s="243"/>
    </row>
    <row r="4" spans="1:5" ht="19.5" thickBot="1">
      <c r="A4" s="595">
        <v>596017</v>
      </c>
      <c r="B4" s="245" t="s">
        <v>277</v>
      </c>
      <c r="C4" s="421" t="s">
        <v>616</v>
      </c>
      <c r="D4" s="41" t="s">
        <v>626</v>
      </c>
      <c r="E4" s="34">
        <v>2016</v>
      </c>
    </row>
    <row r="5" spans="1:5" ht="19.5" thickBot="1">
      <c r="A5" s="596">
        <v>999999</v>
      </c>
      <c r="B5" s="210"/>
      <c r="C5" s="295"/>
      <c r="D5" s="34"/>
      <c r="E5" s="34"/>
    </row>
    <row r="6" spans="1:5" ht="18.75">
      <c r="A6" s="249" t="s">
        <v>819</v>
      </c>
      <c r="B6" s="250" t="s">
        <v>1238</v>
      </c>
      <c r="C6" s="376"/>
      <c r="D6" s="565"/>
      <c r="E6" s="565"/>
    </row>
    <row r="7" spans="1:5" ht="18.75">
      <c r="A7" s="253" t="s">
        <v>822</v>
      </c>
      <c r="B7" s="254" t="s">
        <v>821</v>
      </c>
      <c r="C7" s="377"/>
      <c r="D7" s="34"/>
      <c r="E7" s="34"/>
    </row>
    <row r="8" spans="1:5" ht="18.75">
      <c r="A8" s="253" t="s">
        <v>823</v>
      </c>
      <c r="B8" s="254" t="s">
        <v>820</v>
      </c>
      <c r="C8" s="377"/>
      <c r="D8" s="34"/>
      <c r="E8" s="381"/>
    </row>
    <row r="9" spans="1:5" ht="18.75">
      <c r="A9" s="253" t="s">
        <v>825</v>
      </c>
      <c r="B9" s="254" t="s">
        <v>824</v>
      </c>
      <c r="C9" s="377"/>
      <c r="D9" s="34"/>
      <c r="E9" s="34"/>
    </row>
    <row r="10" spans="1:5" ht="18.75">
      <c r="A10" s="253" t="s">
        <v>826</v>
      </c>
      <c r="B10" s="260" t="s">
        <v>1239</v>
      </c>
      <c r="C10" s="377"/>
      <c r="D10" s="34"/>
      <c r="E10" s="34"/>
    </row>
    <row r="11" spans="1:5" ht="18.75">
      <c r="A11" s="253" t="s">
        <v>1233</v>
      </c>
      <c r="B11" s="260" t="s">
        <v>1240</v>
      </c>
      <c r="C11" s="378"/>
      <c r="D11" s="34"/>
      <c r="E11" s="34"/>
    </row>
    <row r="12" spans="1:5" ht="18.75">
      <c r="A12" s="253" t="s">
        <v>1241</v>
      </c>
      <c r="B12" s="262" t="s">
        <v>1234</v>
      </c>
      <c r="C12" s="377"/>
      <c r="D12" s="34"/>
      <c r="E12" s="34"/>
    </row>
    <row r="13" spans="1:5" ht="18.75">
      <c r="A13" s="253" t="s">
        <v>1242</v>
      </c>
      <c r="B13" s="262" t="s">
        <v>1235</v>
      </c>
      <c r="C13" s="377"/>
      <c r="D13" s="34"/>
      <c r="E13" s="34"/>
    </row>
    <row r="14" spans="1:5" ht="18.75">
      <c r="A14" s="253" t="s">
        <v>1243</v>
      </c>
      <c r="B14" s="254" t="s">
        <v>528</v>
      </c>
      <c r="C14" s="377"/>
      <c r="D14" s="34"/>
      <c r="E14" s="34"/>
    </row>
    <row r="15" spans="1:5" ht="18.75">
      <c r="A15" s="253" t="s">
        <v>1244</v>
      </c>
      <c r="B15" s="254" t="s">
        <v>1236</v>
      </c>
      <c r="C15" s="377"/>
      <c r="D15" s="34"/>
      <c r="E15" s="34"/>
    </row>
    <row r="16" spans="1:5" ht="19.5" thickBot="1">
      <c r="A16" s="264" t="s">
        <v>1245</v>
      </c>
      <c r="B16" s="265" t="s">
        <v>791</v>
      </c>
      <c r="C16" s="377"/>
      <c r="D16" s="34"/>
      <c r="E16" s="34"/>
    </row>
    <row r="17" spans="1:5" ht="19.5" thickBot="1">
      <c r="A17" s="568" t="s">
        <v>1327</v>
      </c>
      <c r="B17" s="569" t="s">
        <v>1249</v>
      </c>
      <c r="C17" s="379">
        <f>SUM(C6:C16)</f>
        <v>0</v>
      </c>
      <c r="D17" s="379">
        <f>SUM(D6:D16)</f>
        <v>0</v>
      </c>
      <c r="E17" s="379">
        <f>SUM(E6:E16)</f>
        <v>0</v>
      </c>
    </row>
    <row r="18" spans="1:5" ht="19.5" thickBot="1">
      <c r="A18" s="557" t="s">
        <v>1329</v>
      </c>
      <c r="B18" s="558" t="s">
        <v>1248</v>
      </c>
      <c r="C18" s="377"/>
      <c r="D18" s="34"/>
      <c r="E18" s="34"/>
    </row>
    <row r="19" spans="1:5" ht="19.5" thickBot="1">
      <c r="A19" s="557" t="s">
        <v>1328</v>
      </c>
      <c r="B19" s="558" t="s">
        <v>1246</v>
      </c>
      <c r="C19" s="377"/>
      <c r="D19" s="34"/>
      <c r="E19" s="34"/>
    </row>
    <row r="20" spans="1:5" ht="19.5" thickBot="1">
      <c r="A20" s="557" t="s">
        <v>1253</v>
      </c>
      <c r="B20" s="558" t="s">
        <v>19</v>
      </c>
      <c r="C20" s="377"/>
      <c r="D20" s="34"/>
      <c r="E20" s="34"/>
    </row>
    <row r="21" spans="1:5" ht="19.5" thickBot="1">
      <c r="A21" s="557" t="s">
        <v>1254</v>
      </c>
      <c r="B21" s="558" t="s">
        <v>889</v>
      </c>
      <c r="C21" s="377"/>
      <c r="D21" s="34"/>
      <c r="E21" s="34"/>
    </row>
    <row r="22" spans="1:5" ht="19.5" thickBot="1">
      <c r="A22" s="568" t="s">
        <v>1330</v>
      </c>
      <c r="B22" s="569" t="s">
        <v>1247</v>
      </c>
      <c r="C22" s="377">
        <f>SUM(C18:C21)</f>
        <v>0</v>
      </c>
      <c r="D22" s="377">
        <f>SUM(D18:D21)</f>
        <v>0</v>
      </c>
      <c r="E22" s="377">
        <f>SUM(E18:E21)</f>
        <v>0</v>
      </c>
    </row>
    <row r="23" spans="1:5" ht="27" customHeight="1" thickBot="1">
      <c r="A23" s="268" t="s">
        <v>1250</v>
      </c>
      <c r="B23" s="269" t="s">
        <v>1237</v>
      </c>
      <c r="C23" s="379">
        <f>SUM(C22,C17)</f>
        <v>0</v>
      </c>
      <c r="D23" s="379">
        <f>SUM(D22,D17)</f>
        <v>0</v>
      </c>
      <c r="E23" s="379">
        <f>SUM(E22,E17)</f>
        <v>0</v>
      </c>
    </row>
    <row r="24" spans="1:5" ht="19.5" thickBot="1">
      <c r="A24" s="270"/>
      <c r="B24" s="271"/>
      <c r="C24" s="377"/>
      <c r="D24" s="34"/>
      <c r="E24" s="34"/>
    </row>
    <row r="25" spans="1:5" ht="18.75">
      <c r="A25" s="272" t="s">
        <v>1255</v>
      </c>
      <c r="B25" s="97" t="s">
        <v>590</v>
      </c>
      <c r="C25" s="275"/>
      <c r="D25" s="44"/>
      <c r="E25" s="34"/>
    </row>
    <row r="26" spans="1:5" ht="18.75">
      <c r="A26" s="559" t="s">
        <v>1256</v>
      </c>
      <c r="B26" s="97" t="s">
        <v>1251</v>
      </c>
      <c r="C26" s="275"/>
      <c r="D26" s="44"/>
      <c r="E26" s="34"/>
    </row>
    <row r="27" spans="1:5" ht="18.75">
      <c r="A27" s="276" t="s">
        <v>1252</v>
      </c>
      <c r="B27" s="255" t="s">
        <v>4</v>
      </c>
      <c r="C27" s="378"/>
      <c r="D27" s="34"/>
      <c r="E27" s="34"/>
    </row>
    <row r="28" spans="1:5" ht="19.5" thickBot="1">
      <c r="A28" s="462" t="s">
        <v>1257</v>
      </c>
      <c r="B28" s="255" t="s">
        <v>635</v>
      </c>
      <c r="C28" s="378"/>
      <c r="D28" s="34"/>
      <c r="E28" s="34"/>
    </row>
    <row r="29" spans="1:5" ht="19.5" thickBot="1">
      <c r="A29" s="582" t="s">
        <v>1258</v>
      </c>
      <c r="B29" s="583" t="s">
        <v>69</v>
      </c>
      <c r="C29" s="378">
        <f>SUM(C25:C28)</f>
        <v>0</v>
      </c>
      <c r="D29" s="378">
        <f>SUM(D25:D28)</f>
        <v>0</v>
      </c>
      <c r="E29" s="378">
        <f>SUM(E25:E28)</f>
        <v>0</v>
      </c>
    </row>
    <row r="30" spans="1:5" ht="19.5" thickBot="1">
      <c r="A30" s="282"/>
      <c r="B30" s="283"/>
      <c r="C30" s="377"/>
      <c r="D30" s="34"/>
      <c r="E30" s="34"/>
    </row>
    <row r="31" spans="1:5" ht="18.75">
      <c r="A31" s="249" t="s">
        <v>1259</v>
      </c>
      <c r="B31" s="291" t="s">
        <v>533</v>
      </c>
      <c r="C31" s="377"/>
      <c r="D31" s="34"/>
      <c r="E31" s="34"/>
    </row>
    <row r="32" spans="1:5" ht="18.75">
      <c r="A32" s="253" t="s">
        <v>1260</v>
      </c>
      <c r="B32" s="254" t="s">
        <v>534</v>
      </c>
      <c r="C32" s="377"/>
      <c r="D32" s="41"/>
      <c r="E32" s="34"/>
    </row>
    <row r="33" spans="1:5" ht="18.75">
      <c r="A33" s="253" t="s">
        <v>1262</v>
      </c>
      <c r="B33" s="254" t="s">
        <v>1261</v>
      </c>
      <c r="C33" s="377"/>
      <c r="D33" s="41"/>
      <c r="E33" s="34"/>
    </row>
    <row r="34" spans="1:5" ht="18.75">
      <c r="A34" s="253" t="s">
        <v>1263</v>
      </c>
      <c r="B34" s="254" t="s">
        <v>124</v>
      </c>
      <c r="C34" s="377"/>
      <c r="D34" s="41"/>
      <c r="E34" s="34"/>
    </row>
    <row r="35" spans="1:5" ht="18.75">
      <c r="A35" s="253" t="s">
        <v>1264</v>
      </c>
      <c r="B35" s="254" t="s">
        <v>1265</v>
      </c>
      <c r="C35" s="570"/>
      <c r="D35" s="41"/>
      <c r="E35" s="34"/>
    </row>
    <row r="36" spans="1:5" ht="18.75">
      <c r="A36" s="253" t="s">
        <v>1335</v>
      </c>
      <c r="B36" s="562" t="s">
        <v>548</v>
      </c>
      <c r="C36" s="570">
        <f>SUM(C31:C35)</f>
        <v>0</v>
      </c>
      <c r="D36" s="570">
        <f>SUM(D31:D35)</f>
        <v>0</v>
      </c>
      <c r="E36" s="570">
        <f>SUM(E31:E35)</f>
        <v>0</v>
      </c>
    </row>
    <row r="37" spans="1:5" ht="18.75">
      <c r="A37" s="253" t="s">
        <v>1342</v>
      </c>
      <c r="B37" s="254" t="s">
        <v>1343</v>
      </c>
      <c r="C37" s="570">
        <v>2254</v>
      </c>
      <c r="D37" s="612">
        <v>1410</v>
      </c>
      <c r="E37" s="570">
        <v>2602</v>
      </c>
    </row>
    <row r="38" spans="1:5" ht="18.75">
      <c r="A38" s="253" t="s">
        <v>1344</v>
      </c>
      <c r="B38" s="254" t="s">
        <v>1267</v>
      </c>
      <c r="C38" s="570"/>
      <c r="D38" s="34"/>
      <c r="E38" s="34"/>
    </row>
    <row r="39" spans="1:5" ht="18.75">
      <c r="A39" s="253" t="s">
        <v>1345</v>
      </c>
      <c r="B39" s="254" t="s">
        <v>88</v>
      </c>
      <c r="C39" s="570"/>
      <c r="D39" s="34"/>
      <c r="E39" s="34"/>
    </row>
    <row r="40" spans="1:5" ht="18.75">
      <c r="A40" s="253" t="s">
        <v>1346</v>
      </c>
      <c r="B40" s="254" t="s">
        <v>1268</v>
      </c>
      <c r="C40" s="377"/>
      <c r="D40" s="34"/>
      <c r="E40" s="34"/>
    </row>
    <row r="41" spans="1:5" ht="19.5" thickBot="1">
      <c r="A41" s="288" t="s">
        <v>1347</v>
      </c>
      <c r="B41" s="289" t="s">
        <v>1269</v>
      </c>
      <c r="C41" s="377"/>
      <c r="D41" s="34"/>
      <c r="E41" s="34"/>
    </row>
    <row r="42" spans="1:5" ht="17.25" customHeight="1" thickBot="1">
      <c r="A42" s="268" t="s">
        <v>1266</v>
      </c>
      <c r="B42" s="571" t="s">
        <v>1270</v>
      </c>
      <c r="C42" s="377">
        <f>SUM(C37:C41)</f>
        <v>2254</v>
      </c>
      <c r="D42" s="377">
        <f>SUM(D37:D41)</f>
        <v>1410</v>
      </c>
      <c r="E42" s="377">
        <f>SUM(E37:E41)</f>
        <v>2602</v>
      </c>
    </row>
    <row r="43" spans="1:5" ht="22.5" customHeight="1" thickBot="1">
      <c r="A43" s="572" t="s">
        <v>1300</v>
      </c>
      <c r="B43" s="573" t="s">
        <v>595</v>
      </c>
      <c r="C43" s="574">
        <f>SUM(C42,C36)</f>
        <v>2254</v>
      </c>
      <c r="D43" s="574">
        <f>SUM(D42,D36)</f>
        <v>1410</v>
      </c>
      <c r="E43" s="574">
        <f>SUM(E42,E36)</f>
        <v>2602</v>
      </c>
    </row>
    <row r="44" spans="1:5" ht="18.75">
      <c r="A44" s="249" t="s">
        <v>1271</v>
      </c>
      <c r="B44" s="291" t="s">
        <v>1348</v>
      </c>
      <c r="C44" s="377"/>
      <c r="D44" s="34"/>
      <c r="E44" s="34"/>
    </row>
    <row r="45" spans="1:5" ht="18.75">
      <c r="A45" s="494" t="s">
        <v>1350</v>
      </c>
      <c r="B45" s="590" t="s">
        <v>1351</v>
      </c>
      <c r="C45" s="377"/>
      <c r="D45" s="34"/>
      <c r="E45" s="34"/>
    </row>
    <row r="46" spans="1:5" ht="18.75">
      <c r="A46" s="253" t="s">
        <v>1272</v>
      </c>
      <c r="B46" s="254" t="s">
        <v>1349</v>
      </c>
      <c r="C46" s="295"/>
      <c r="D46" s="566"/>
      <c r="E46" s="34"/>
    </row>
    <row r="47" spans="1:5" ht="18.75">
      <c r="A47" s="575" t="s">
        <v>1301</v>
      </c>
      <c r="B47" s="576" t="s">
        <v>1366</v>
      </c>
      <c r="C47" s="577">
        <f>SUM(C44:C46)</f>
        <v>0</v>
      </c>
      <c r="D47" s="577">
        <f>SUM(D44:D46)</f>
        <v>0</v>
      </c>
      <c r="E47" s="577">
        <f>SUM(E44:E46)</f>
        <v>0</v>
      </c>
    </row>
    <row r="48" spans="1:5" ht="18.75">
      <c r="A48" s="253" t="s">
        <v>1275</v>
      </c>
      <c r="B48" s="254" t="s">
        <v>544</v>
      </c>
      <c r="C48" s="295"/>
      <c r="D48" s="566"/>
      <c r="E48" s="34"/>
    </row>
    <row r="49" spans="1:5" ht="18.75">
      <c r="A49" s="253" t="s">
        <v>1274</v>
      </c>
      <c r="B49" s="254" t="s">
        <v>543</v>
      </c>
      <c r="C49" s="295"/>
      <c r="D49" s="34"/>
      <c r="E49" s="34"/>
    </row>
    <row r="50" spans="1:5" ht="18.75">
      <c r="A50" s="253" t="s">
        <v>1276</v>
      </c>
      <c r="B50" s="254" t="s">
        <v>503</v>
      </c>
      <c r="C50" s="295"/>
      <c r="D50" s="34"/>
      <c r="E50" s="34"/>
    </row>
    <row r="51" spans="1:5" ht="18.75">
      <c r="A51" s="575" t="s">
        <v>1273</v>
      </c>
      <c r="B51" s="576" t="s">
        <v>1277</v>
      </c>
      <c r="C51" s="577">
        <f>SUM(C48:C50)</f>
        <v>0</v>
      </c>
      <c r="D51" s="577">
        <f>SUM(D48:D50)</f>
        <v>0</v>
      </c>
      <c r="E51" s="577">
        <f>SUM(E48:E50)</f>
        <v>0</v>
      </c>
    </row>
    <row r="52" spans="1:5" ht="18.75">
      <c r="A52" s="253" t="s">
        <v>1332</v>
      </c>
      <c r="B52" s="254" t="s">
        <v>1278</v>
      </c>
      <c r="C52" s="295"/>
      <c r="D52" s="34"/>
      <c r="E52" s="34"/>
    </row>
    <row r="53" spans="1:5" ht="18.75">
      <c r="A53" s="253" t="s">
        <v>1280</v>
      </c>
      <c r="B53" s="254" t="s">
        <v>26</v>
      </c>
      <c r="C53" s="295"/>
      <c r="D53" s="41"/>
      <c r="E53" s="34"/>
    </row>
    <row r="54" spans="1:5" ht="18.75">
      <c r="A54" s="253" t="s">
        <v>1281</v>
      </c>
      <c r="B54" s="254" t="s">
        <v>1352</v>
      </c>
      <c r="C54" s="377"/>
      <c r="D54" s="34"/>
      <c r="E54" s="34"/>
    </row>
    <row r="55" spans="1:5" ht="18.75">
      <c r="A55" s="575" t="s">
        <v>1283</v>
      </c>
      <c r="B55" s="576" t="s">
        <v>1282</v>
      </c>
      <c r="C55" s="574">
        <f>SUM(C53:C54)</f>
        <v>0</v>
      </c>
      <c r="D55" s="574">
        <f>SUM(D53:D54)</f>
        <v>0</v>
      </c>
      <c r="E55" s="574">
        <f>SUM(E53:E54)</f>
        <v>0</v>
      </c>
    </row>
    <row r="56" spans="1:5" ht="18.75">
      <c r="A56" s="575" t="s">
        <v>1284</v>
      </c>
      <c r="B56" s="588" t="s">
        <v>1333</v>
      </c>
      <c r="C56" s="589"/>
      <c r="D56" s="589"/>
      <c r="E56" s="589"/>
    </row>
    <row r="57" spans="1:5" ht="18.75">
      <c r="A57" s="288"/>
      <c r="B57" s="554" t="s">
        <v>943</v>
      </c>
      <c r="C57" s="554"/>
      <c r="D57" s="554"/>
      <c r="E57" s="554"/>
    </row>
    <row r="58" spans="1:5" ht="18.75">
      <c r="A58" s="288" t="s">
        <v>1353</v>
      </c>
      <c r="B58" s="554" t="s">
        <v>547</v>
      </c>
      <c r="C58" s="554"/>
      <c r="D58" s="554"/>
      <c r="E58" s="554"/>
    </row>
    <row r="59" spans="1:5" ht="18.75">
      <c r="A59" s="288" t="s">
        <v>1354</v>
      </c>
      <c r="B59" s="554" t="s">
        <v>1355</v>
      </c>
      <c r="C59" s="554"/>
      <c r="D59" s="554"/>
      <c r="E59" s="554"/>
    </row>
    <row r="60" spans="1:5" ht="27" customHeight="1">
      <c r="A60" s="561" t="s">
        <v>1285</v>
      </c>
      <c r="B60" s="552" t="s">
        <v>945</v>
      </c>
      <c r="C60" s="591">
        <f>SUM(C58:C59)</f>
        <v>0</v>
      </c>
      <c r="D60" s="591">
        <f>SUM(D58:D59)</f>
        <v>0</v>
      </c>
      <c r="E60" s="591">
        <f>SUM(E58:E59)</f>
        <v>0</v>
      </c>
    </row>
    <row r="61" spans="1:5" ht="23.25" customHeight="1">
      <c r="A61" s="462" t="s">
        <v>1356</v>
      </c>
      <c r="B61" s="553" t="s">
        <v>1362</v>
      </c>
      <c r="C61" s="591"/>
      <c r="D61" s="591"/>
      <c r="E61" s="591"/>
    </row>
    <row r="62" spans="1:5" ht="23.25" customHeight="1">
      <c r="A62" s="462" t="s">
        <v>1357</v>
      </c>
      <c r="B62" s="553" t="s">
        <v>1358</v>
      </c>
      <c r="C62" s="591"/>
      <c r="D62" s="591"/>
      <c r="E62" s="591"/>
    </row>
    <row r="63" spans="1:5" ht="23.25" customHeight="1">
      <c r="A63" s="462" t="s">
        <v>1359</v>
      </c>
      <c r="B63" s="553" t="s">
        <v>9</v>
      </c>
      <c r="C63" s="591"/>
      <c r="D63" s="591"/>
      <c r="E63" s="591"/>
    </row>
    <row r="64" spans="1:6" ht="23.25" customHeight="1" thickBot="1">
      <c r="A64" s="462" t="s">
        <v>1360</v>
      </c>
      <c r="B64" s="553" t="s">
        <v>1361</v>
      </c>
      <c r="C64" s="591"/>
      <c r="D64" s="591"/>
      <c r="E64" s="591"/>
      <c r="F64" s="21" t="s">
        <v>1368</v>
      </c>
    </row>
    <row r="65" spans="1:5" ht="17.25" customHeight="1" thickBot="1">
      <c r="A65" s="298" t="s">
        <v>1286</v>
      </c>
      <c r="B65" s="552" t="s">
        <v>948</v>
      </c>
      <c r="C65" s="591">
        <f>SUM(C61:C64)</f>
        <v>0</v>
      </c>
      <c r="D65" s="591">
        <f>SUM(D61:D64)</f>
        <v>0</v>
      </c>
      <c r="E65" s="591">
        <f>SUM(E61:E64)</f>
        <v>0</v>
      </c>
    </row>
    <row r="66" spans="1:5" ht="25.5" customHeight="1">
      <c r="A66" s="578" t="s">
        <v>1279</v>
      </c>
      <c r="B66" s="579" t="s">
        <v>1287</v>
      </c>
      <c r="C66" s="579">
        <f>SUM(C65+C60+C56+C55+C52)</f>
        <v>0</v>
      </c>
      <c r="D66" s="579">
        <f>SUM(D65+D60+D56+D55+D52)</f>
        <v>0</v>
      </c>
      <c r="E66" s="603">
        <f>SUM(E65+E60+E56+E55+E51)</f>
        <v>0</v>
      </c>
    </row>
    <row r="67" spans="1:5" ht="18.75">
      <c r="A67" s="253" t="s">
        <v>1288</v>
      </c>
      <c r="B67" s="553" t="s">
        <v>952</v>
      </c>
      <c r="C67" s="553"/>
      <c r="D67" s="553"/>
      <c r="E67" s="553"/>
    </row>
    <row r="68" spans="1:5" ht="18.75">
      <c r="A68" s="253" t="s">
        <v>1289</v>
      </c>
      <c r="B68" s="553" t="s">
        <v>954</v>
      </c>
      <c r="C68" s="553"/>
      <c r="D68" s="553"/>
      <c r="E68" s="553"/>
    </row>
    <row r="69" spans="1:5" ht="24" customHeight="1">
      <c r="A69" s="575" t="s">
        <v>1291</v>
      </c>
      <c r="B69" s="579" t="s">
        <v>1290</v>
      </c>
      <c r="C69" s="579">
        <f>SUM(C67:C68)</f>
        <v>0</v>
      </c>
      <c r="D69" s="579">
        <f>SUM(D67:D68)</f>
        <v>0</v>
      </c>
      <c r="E69" s="579">
        <f>SUM(E67:E68)</f>
        <v>0</v>
      </c>
    </row>
    <row r="70" spans="1:7" ht="26.25" customHeight="1" thickBot="1">
      <c r="A70" s="561" t="s">
        <v>1294</v>
      </c>
      <c r="B70" s="552" t="s">
        <v>958</v>
      </c>
      <c r="C70" s="552">
        <v>608</v>
      </c>
      <c r="D70" s="552">
        <v>346</v>
      </c>
      <c r="E70" s="552">
        <v>703</v>
      </c>
      <c r="F70" s="597">
        <f>E69+E66+E47+E43</f>
        <v>2602</v>
      </c>
      <c r="G70" s="21">
        <f>F70*27%</f>
        <v>702.5400000000001</v>
      </c>
    </row>
    <row r="71" spans="1:5" ht="27" customHeight="1" thickBot="1">
      <c r="A71" s="268" t="s">
        <v>1295</v>
      </c>
      <c r="B71" s="552" t="s">
        <v>960</v>
      </c>
      <c r="C71" s="552"/>
      <c r="D71" s="552"/>
      <c r="E71" s="552"/>
    </row>
    <row r="72" spans="1:5" ht="19.5" thickBot="1">
      <c r="A72" s="210" t="s">
        <v>1296</v>
      </c>
      <c r="B72" s="552" t="s">
        <v>1293</v>
      </c>
      <c r="C72" s="552"/>
      <c r="D72" s="552"/>
      <c r="E72" s="552"/>
    </row>
    <row r="73" spans="1:5" ht="24.75" customHeight="1">
      <c r="A73" s="593" t="s">
        <v>1298</v>
      </c>
      <c r="B73" s="594" t="s">
        <v>1363</v>
      </c>
      <c r="C73" s="594"/>
      <c r="D73" s="552"/>
      <c r="E73" s="552"/>
    </row>
    <row r="74" spans="1:6" ht="24.75" customHeight="1">
      <c r="A74" s="592" t="s">
        <v>1364</v>
      </c>
      <c r="B74" s="563" t="s">
        <v>1365</v>
      </c>
      <c r="C74" s="563"/>
      <c r="D74" s="553"/>
      <c r="E74" s="553"/>
      <c r="F74" s="21" t="s">
        <v>1369</v>
      </c>
    </row>
    <row r="75" spans="1:5" ht="24.75" customHeight="1">
      <c r="A75" s="592" t="s">
        <v>1370</v>
      </c>
      <c r="B75" s="563" t="s">
        <v>1367</v>
      </c>
      <c r="C75" s="563"/>
      <c r="D75" s="553"/>
      <c r="E75" s="553"/>
    </row>
    <row r="76" spans="1:5" ht="18.75">
      <c r="A76" s="98" t="s">
        <v>1297</v>
      </c>
      <c r="B76" s="552" t="s">
        <v>970</v>
      </c>
      <c r="C76" s="552">
        <f>SUM(C74:C75)</f>
        <v>0</v>
      </c>
      <c r="D76" s="552">
        <f>SUM(D74:D75)</f>
        <v>0</v>
      </c>
      <c r="E76" s="552">
        <f>SUM(E74:E75)</f>
        <v>0</v>
      </c>
    </row>
    <row r="77" spans="1:5" ht="24.75" customHeight="1">
      <c r="A77" s="580" t="s">
        <v>1292</v>
      </c>
      <c r="B77" s="579" t="s">
        <v>1334</v>
      </c>
      <c r="C77" s="579">
        <f>C76+C73+C72+C71+C70</f>
        <v>608</v>
      </c>
      <c r="D77" s="579">
        <f>D76+D73+D72+D71+D70</f>
        <v>346</v>
      </c>
      <c r="E77" s="579">
        <f>E76+E73+E72+E71+E70</f>
        <v>703</v>
      </c>
    </row>
    <row r="78" spans="1:10" ht="24.75" customHeight="1">
      <c r="A78" s="587" t="s">
        <v>1299</v>
      </c>
      <c r="B78" s="585" t="s">
        <v>70</v>
      </c>
      <c r="C78" s="579">
        <f>SUM(C77+C69+C66+C47+C43)</f>
        <v>2862</v>
      </c>
      <c r="D78" s="579">
        <f>SUM(D77+D69+D66+D47+D43)</f>
        <v>1756</v>
      </c>
      <c r="E78" s="579">
        <f>SUM(E77+E69+E66+E47+E43)</f>
        <v>3305</v>
      </c>
      <c r="F78" s="560"/>
      <c r="G78" s="560"/>
      <c r="H78" s="560"/>
      <c r="I78" s="560"/>
      <c r="J78" s="560"/>
    </row>
    <row r="79" spans="1:10" ht="24.75" customHeight="1">
      <c r="A79" s="98" t="s">
        <v>1307</v>
      </c>
      <c r="B79" s="553" t="s">
        <v>1302</v>
      </c>
      <c r="C79" s="552"/>
      <c r="D79" s="552"/>
      <c r="E79" s="552"/>
      <c r="F79" s="560"/>
      <c r="G79" s="560"/>
      <c r="H79" s="560"/>
      <c r="I79" s="560"/>
      <c r="J79" s="560"/>
    </row>
    <row r="80" spans="1:10" ht="24.75" customHeight="1">
      <c r="A80" s="98" t="s">
        <v>1306</v>
      </c>
      <c r="B80" s="553" t="s">
        <v>1308</v>
      </c>
      <c r="C80" s="552"/>
      <c r="D80" s="552"/>
      <c r="E80" s="552"/>
      <c r="F80" s="560"/>
      <c r="G80" s="560"/>
      <c r="H80" s="560"/>
      <c r="I80" s="560"/>
      <c r="J80" s="560"/>
    </row>
    <row r="81" spans="1:10" ht="24.75" customHeight="1">
      <c r="A81" s="98"/>
      <c r="B81" s="97" t="s">
        <v>1304</v>
      </c>
      <c r="C81" s="552"/>
      <c r="D81" s="552"/>
      <c r="E81" s="552"/>
      <c r="F81" s="560"/>
      <c r="G81" s="560"/>
      <c r="H81" s="560"/>
      <c r="I81" s="560"/>
      <c r="J81" s="560"/>
    </row>
    <row r="82" spans="1:5" ht="18.75">
      <c r="A82" s="98"/>
      <c r="B82" s="97" t="s">
        <v>1303</v>
      </c>
      <c r="C82" s="377"/>
      <c r="D82" s="34"/>
      <c r="E82" s="34"/>
    </row>
    <row r="83" spans="1:5" ht="18.75">
      <c r="A83" s="98"/>
      <c r="B83" s="567" t="s">
        <v>1305</v>
      </c>
      <c r="C83" s="377"/>
      <c r="D83" s="34"/>
      <c r="E83" s="34"/>
    </row>
    <row r="84" spans="1:5" ht="25.5">
      <c r="A84" s="580" t="s">
        <v>1341</v>
      </c>
      <c r="B84" s="579" t="s">
        <v>1337</v>
      </c>
      <c r="C84" s="377">
        <f>SUM(C80:C83)</f>
        <v>0</v>
      </c>
      <c r="D84" s="377">
        <f>SUM(D80:D83)</f>
        <v>0</v>
      </c>
      <c r="E84" s="377">
        <f>SUM(E80:E83)</f>
        <v>0</v>
      </c>
    </row>
    <row r="85" spans="1:5" s="564" customFormat="1" ht="18.75">
      <c r="A85" s="587" t="s">
        <v>1336</v>
      </c>
      <c r="B85" s="587" t="s">
        <v>1340</v>
      </c>
      <c r="C85" s="574">
        <f>SUM(C79+C84)</f>
        <v>0</v>
      </c>
      <c r="D85" s="574">
        <f>SUM(D79+D84)</f>
        <v>0</v>
      </c>
      <c r="E85" s="574">
        <f>SUM(E79+E84)</f>
        <v>0</v>
      </c>
    </row>
    <row r="86" spans="1:5" ht="18.75">
      <c r="A86" s="97" t="s">
        <v>1309</v>
      </c>
      <c r="B86" s="553" t="s">
        <v>1113</v>
      </c>
      <c r="C86" s="553"/>
      <c r="D86" s="553"/>
      <c r="E86" s="553"/>
    </row>
    <row r="87" spans="1:5" s="382" customFormat="1" ht="15">
      <c r="A87" s="97" t="s">
        <v>1310</v>
      </c>
      <c r="B87" s="553" t="s">
        <v>1371</v>
      </c>
      <c r="C87" s="553"/>
      <c r="D87" s="553"/>
      <c r="E87" s="553"/>
    </row>
    <row r="88" spans="1:5" ht="18.75">
      <c r="A88" s="172" t="s">
        <v>1311</v>
      </c>
      <c r="B88" s="553" t="s">
        <v>1117</v>
      </c>
      <c r="C88" s="553"/>
      <c r="D88" s="553"/>
      <c r="E88" s="553"/>
    </row>
    <row r="89" spans="1:5" ht="24" customHeight="1">
      <c r="A89" s="172" t="s">
        <v>1312</v>
      </c>
      <c r="B89" s="553" t="s">
        <v>1118</v>
      </c>
      <c r="C89" s="553"/>
      <c r="D89" s="553"/>
      <c r="E89" s="553"/>
    </row>
    <row r="90" spans="1:5" ht="26.25" customHeight="1">
      <c r="A90" s="172" t="s">
        <v>1313</v>
      </c>
      <c r="B90" s="553" t="s">
        <v>1120</v>
      </c>
      <c r="C90" s="553"/>
      <c r="D90" s="553"/>
      <c r="E90" s="553"/>
    </row>
    <row r="91" spans="1:5" ht="25.5" customHeight="1">
      <c r="A91" s="172" t="s">
        <v>1314</v>
      </c>
      <c r="B91" s="553" t="s">
        <v>1126</v>
      </c>
      <c r="C91" s="553"/>
      <c r="D91" s="553"/>
      <c r="E91" s="553"/>
    </row>
    <row r="92" spans="1:5" ht="18.75">
      <c r="A92" s="584" t="s">
        <v>1315</v>
      </c>
      <c r="B92" s="585" t="s">
        <v>1339</v>
      </c>
      <c r="C92" s="552">
        <f>SUM(C86:C91)</f>
        <v>0</v>
      </c>
      <c r="D92" s="552">
        <f>SUM(D86:D91)</f>
        <v>0</v>
      </c>
      <c r="E92" s="552">
        <f>SUM(E86:E91)</f>
        <v>0</v>
      </c>
    </row>
    <row r="93" spans="1:5" ht="18.75">
      <c r="A93" s="172" t="s">
        <v>1316</v>
      </c>
      <c r="B93" s="553" t="s">
        <v>1130</v>
      </c>
      <c r="C93" s="553"/>
      <c r="D93" s="553"/>
      <c r="E93" s="553"/>
    </row>
    <row r="94" spans="1:5" ht="18.75">
      <c r="A94" s="172" t="s">
        <v>1317</v>
      </c>
      <c r="B94" s="553" t="s">
        <v>1132</v>
      </c>
      <c r="C94" s="553"/>
      <c r="D94" s="553"/>
      <c r="E94" s="553"/>
    </row>
    <row r="95" spans="1:5" ht="18.75">
      <c r="A95" s="172" t="s">
        <v>1318</v>
      </c>
      <c r="B95" s="553" t="s">
        <v>1134</v>
      </c>
      <c r="C95" s="553"/>
      <c r="D95" s="553"/>
      <c r="E95" s="553"/>
    </row>
    <row r="96" spans="1:5" ht="24" customHeight="1">
      <c r="A96" s="172" t="s">
        <v>1319</v>
      </c>
      <c r="B96" s="553" t="s">
        <v>1136</v>
      </c>
      <c r="C96" s="553"/>
      <c r="D96" s="553"/>
      <c r="E96" s="553"/>
    </row>
    <row r="97" spans="1:5" ht="18.75">
      <c r="A97" s="584" t="s">
        <v>1320</v>
      </c>
      <c r="B97" s="585" t="s">
        <v>1338</v>
      </c>
      <c r="C97" s="552">
        <f>SUM(C93:C96)</f>
        <v>0</v>
      </c>
      <c r="D97" s="552">
        <f>SUM(D93:D96)</f>
        <v>0</v>
      </c>
      <c r="E97" s="552">
        <f>SUM(E93:E96)</f>
        <v>0</v>
      </c>
    </row>
    <row r="98" spans="1:5" ht="25.5" customHeight="1">
      <c r="A98" s="172" t="s">
        <v>1323</v>
      </c>
      <c r="B98" s="555" t="s">
        <v>1325</v>
      </c>
      <c r="C98" s="555"/>
      <c r="D98" s="555"/>
      <c r="E98" s="555"/>
    </row>
    <row r="99" spans="1:5" ht="27" customHeight="1">
      <c r="A99" s="457" t="s">
        <v>1322</v>
      </c>
      <c r="B99" s="553" t="s">
        <v>1321</v>
      </c>
      <c r="C99" s="553"/>
      <c r="D99" s="553"/>
      <c r="E99" s="553"/>
    </row>
    <row r="100" spans="1:5" ht="18.75">
      <c r="A100" s="584" t="s">
        <v>1326</v>
      </c>
      <c r="B100" s="586" t="s">
        <v>1324</v>
      </c>
      <c r="C100" s="295">
        <f>SUM(C98:C99)</f>
        <v>0</v>
      </c>
      <c r="D100" s="295">
        <f>SUM(D98:D99)</f>
        <v>0</v>
      </c>
      <c r="E100" s="295">
        <f>SUM(E98:E99)</f>
        <v>0</v>
      </c>
    </row>
    <row r="101" spans="1:5" ht="18.75">
      <c r="A101" s="34"/>
      <c r="B101" s="36" t="s">
        <v>118</v>
      </c>
      <c r="C101" s="581">
        <f>SUM(C100+C97+C92+C85+C78+C29+C23)</f>
        <v>2862</v>
      </c>
      <c r="D101" s="581">
        <f>SUM(D100+D97+D92+D85+D78+D29+D23)</f>
        <v>1756</v>
      </c>
      <c r="E101" s="581">
        <f>SUM(E100+E97+E92+E85+E78+E29+E23)</f>
        <v>3305</v>
      </c>
    </row>
    <row r="104" spans="2:4" ht="18.75">
      <c r="B104" s="607" t="s">
        <v>690</v>
      </c>
      <c r="C104" s="607"/>
      <c r="D104" s="607"/>
    </row>
    <row r="105" spans="2:4" ht="18.75">
      <c r="B105" s="607" t="s">
        <v>1499</v>
      </c>
      <c r="C105" s="608">
        <f>41*25*375</f>
        <v>384375</v>
      </c>
      <c r="D105" s="607" t="s">
        <v>393</v>
      </c>
    </row>
    <row r="106" spans="2:4" ht="18.75">
      <c r="B106" s="607" t="s">
        <v>54</v>
      </c>
      <c r="C106" s="608">
        <f>C105*0.27</f>
        <v>103781.25</v>
      </c>
      <c r="D106" s="607"/>
    </row>
    <row r="107" spans="2:4" ht="18.75">
      <c r="B107" s="607" t="s">
        <v>62</v>
      </c>
      <c r="C107" s="608">
        <f>C105*1.27</f>
        <v>488156.25</v>
      </c>
      <c r="D107" s="607"/>
    </row>
    <row r="108" spans="2:4" ht="18.75">
      <c r="B108" s="607"/>
      <c r="C108" s="607"/>
      <c r="D108" s="607"/>
    </row>
    <row r="109" spans="2:4" ht="18.75">
      <c r="B109" s="607" t="s">
        <v>692</v>
      </c>
      <c r="C109" s="607"/>
      <c r="D109" s="607"/>
    </row>
    <row r="110" spans="2:4" ht="18.75">
      <c r="B110" s="196" t="s">
        <v>1500</v>
      </c>
      <c r="C110" s="608">
        <f>(160*25+35*15)*395</f>
        <v>1787375</v>
      </c>
      <c r="D110" s="607" t="s">
        <v>393</v>
      </c>
    </row>
    <row r="111" spans="2:4" ht="18.75">
      <c r="B111" s="607" t="s">
        <v>54</v>
      </c>
      <c r="C111" s="608">
        <f>C110*0.27</f>
        <v>482591.25000000006</v>
      </c>
      <c r="D111" s="607"/>
    </row>
    <row r="112" spans="2:4" ht="18.75">
      <c r="B112" s="607" t="s">
        <v>62</v>
      </c>
      <c r="C112" s="608">
        <f>C110*1.27</f>
        <v>2269966.25</v>
      </c>
      <c r="D112" s="607"/>
    </row>
    <row r="113" spans="2:4" ht="18.75">
      <c r="B113" s="607"/>
      <c r="C113" s="607"/>
      <c r="D113" s="607"/>
    </row>
  </sheetData>
  <sheetProtection/>
  <mergeCells count="1">
    <mergeCell ref="A2:E2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H25"/>
  <sheetViews>
    <sheetView view="pageBreakPreview" zoomScale="60" zoomScalePageLayoutView="0" workbookViewId="0" topLeftCell="A1">
      <selection activeCell="G18" sqref="G18"/>
    </sheetView>
  </sheetViews>
  <sheetFormatPr defaultColWidth="8.66015625" defaultRowHeight="18"/>
  <cols>
    <col min="1" max="1" width="16.41015625" style="21" customWidth="1"/>
    <col min="2" max="2" width="29.58203125" style="21" customWidth="1"/>
    <col min="3" max="3" width="8.41015625" style="21" customWidth="1"/>
    <col min="4" max="4" width="7.66015625" style="21" customWidth="1"/>
    <col min="5" max="5" width="11.25" style="21" bestFit="1" customWidth="1"/>
    <col min="6" max="16384" width="8.91015625" style="21" customWidth="1"/>
  </cols>
  <sheetData>
    <row r="1" spans="1:2" ht="19.5" thickBot="1">
      <c r="A1" s="3">
        <v>680001</v>
      </c>
      <c r="B1" s="103" t="s">
        <v>224</v>
      </c>
    </row>
    <row r="2" spans="1:4" ht="19.5" thickTop="1">
      <c r="A2" s="23"/>
      <c r="B2" s="3"/>
      <c r="C2" s="20"/>
      <c r="D2" s="104"/>
    </row>
    <row r="3" spans="1:7" ht="31.5" customHeight="1">
      <c r="A3" s="34" t="s">
        <v>157</v>
      </c>
      <c r="B3" s="34"/>
      <c r="C3" s="54" t="s">
        <v>261</v>
      </c>
      <c r="D3" s="43" t="s">
        <v>281</v>
      </c>
      <c r="E3" s="435" t="s">
        <v>614</v>
      </c>
      <c r="F3" s="41" t="s">
        <v>619</v>
      </c>
      <c r="G3" s="41" t="s">
        <v>616</v>
      </c>
    </row>
    <row r="4" spans="1:8" ht="18.75">
      <c r="A4" s="36"/>
      <c r="B4" s="34" t="s">
        <v>225</v>
      </c>
      <c r="C4" s="43"/>
      <c r="D4" s="43"/>
      <c r="E4" s="125"/>
      <c r="F4" s="34"/>
      <c r="G4" s="34"/>
      <c r="H4" t="s">
        <v>745</v>
      </c>
    </row>
    <row r="5" spans="1:7" ht="18.75">
      <c r="A5" s="36"/>
      <c r="B5" s="36" t="s">
        <v>283</v>
      </c>
      <c r="C5" s="43"/>
      <c r="D5" s="43"/>
      <c r="E5" s="293"/>
      <c r="F5" s="34"/>
      <c r="G5" s="34"/>
    </row>
    <row r="6" spans="1:7" ht="18.75">
      <c r="A6" s="36"/>
      <c r="B6" s="36" t="s">
        <v>62</v>
      </c>
      <c r="C6" s="43">
        <f>SUM(C4:C5)</f>
        <v>0</v>
      </c>
      <c r="D6" s="43"/>
      <c r="E6" s="125"/>
      <c r="F6" s="34"/>
      <c r="G6" s="34"/>
    </row>
    <row r="7" spans="1:7" ht="18.75">
      <c r="A7" s="36"/>
      <c r="B7" s="36"/>
      <c r="C7" s="43"/>
      <c r="D7" s="43"/>
      <c r="E7" s="125"/>
      <c r="F7" s="34"/>
      <c r="G7" s="34"/>
    </row>
    <row r="8" spans="1:7" ht="18.75">
      <c r="A8" s="34" t="s">
        <v>110</v>
      </c>
      <c r="B8" s="36"/>
      <c r="C8" s="34"/>
      <c r="D8" s="34"/>
      <c r="E8" s="125"/>
      <c r="F8" s="34"/>
      <c r="G8" s="34"/>
    </row>
    <row r="9" spans="1:7" ht="18.75">
      <c r="A9" s="34">
        <v>54913</v>
      </c>
      <c r="B9" s="34" t="s">
        <v>32</v>
      </c>
      <c r="C9" s="43">
        <v>50</v>
      </c>
      <c r="D9" s="43">
        <v>50</v>
      </c>
      <c r="E9" s="436">
        <v>50</v>
      </c>
      <c r="F9" s="34">
        <v>38</v>
      </c>
      <c r="G9" s="34">
        <v>50</v>
      </c>
    </row>
    <row r="10" spans="1:7" ht="18.75">
      <c r="A10" s="34">
        <v>54712</v>
      </c>
      <c r="B10" s="34" t="s">
        <v>150</v>
      </c>
      <c r="C10" s="43">
        <v>300</v>
      </c>
      <c r="D10" s="43">
        <v>300</v>
      </c>
      <c r="E10" s="125"/>
      <c r="F10" s="34"/>
      <c r="G10" s="34"/>
    </row>
    <row r="11" spans="1:7" ht="18.75">
      <c r="A11" s="36">
        <v>54</v>
      </c>
      <c r="B11" s="36" t="s">
        <v>123</v>
      </c>
      <c r="C11" s="43">
        <f>SUM(C9:C10)</f>
        <v>350</v>
      </c>
      <c r="D11" s="43">
        <f>SUM(D9:D10)</f>
        <v>350</v>
      </c>
      <c r="E11" s="325">
        <f>SUM(E9:E10)</f>
        <v>50</v>
      </c>
      <c r="F11" s="325">
        <f>SUM(F9:F10)</f>
        <v>38</v>
      </c>
      <c r="G11" s="325">
        <f>SUM(G9:G10)</f>
        <v>50</v>
      </c>
    </row>
    <row r="12" spans="1:7" ht="18.75">
      <c r="A12" s="36"/>
      <c r="B12" s="36"/>
      <c r="C12" s="43"/>
      <c r="D12" s="43"/>
      <c r="E12" s="125"/>
      <c r="F12" s="34"/>
      <c r="G12" s="34"/>
    </row>
    <row r="13" spans="1:8" ht="48" customHeight="1">
      <c r="A13" s="34">
        <v>552181</v>
      </c>
      <c r="B13" s="94" t="s">
        <v>251</v>
      </c>
      <c r="C13" s="44">
        <v>200</v>
      </c>
      <c r="D13" s="44">
        <v>200</v>
      </c>
      <c r="E13" s="437">
        <f>200+300</f>
        <v>500</v>
      </c>
      <c r="F13" s="492">
        <v>158</v>
      </c>
      <c r="G13" s="34">
        <v>50</v>
      </c>
      <c r="H13" t="s">
        <v>746</v>
      </c>
    </row>
    <row r="14" spans="1:7" ht="37.5">
      <c r="A14" s="34">
        <v>5531</v>
      </c>
      <c r="B14" s="423" t="s">
        <v>608</v>
      </c>
      <c r="C14" s="44"/>
      <c r="D14" s="44"/>
      <c r="E14" s="125">
        <v>50</v>
      </c>
      <c r="F14" s="34">
        <v>270</v>
      </c>
      <c r="G14" s="34"/>
    </row>
    <row r="15" spans="1:7" ht="18.75">
      <c r="A15" s="36">
        <v>55</v>
      </c>
      <c r="B15" s="36" t="s">
        <v>51</v>
      </c>
      <c r="C15" s="43">
        <f>SUM(C13:C14)</f>
        <v>200</v>
      </c>
      <c r="D15" s="43">
        <f>SUM(D13:D14)</f>
        <v>200</v>
      </c>
      <c r="E15" s="325">
        <f>SUM(E13:E14)</f>
        <v>550</v>
      </c>
      <c r="F15" s="325">
        <f>SUM(F13:F14)</f>
        <v>428</v>
      </c>
      <c r="G15" s="325">
        <f>SUM(G13:G14)</f>
        <v>50</v>
      </c>
    </row>
    <row r="16" spans="1:7" ht="18.75">
      <c r="A16" s="36"/>
      <c r="B16" s="36"/>
      <c r="C16" s="43"/>
      <c r="D16" s="43"/>
      <c r="E16" s="125"/>
      <c r="F16" s="34"/>
      <c r="G16" s="34"/>
    </row>
    <row r="17" spans="1:7" ht="18.75">
      <c r="A17" s="34">
        <v>56111</v>
      </c>
      <c r="B17" s="34" t="s">
        <v>52</v>
      </c>
      <c r="C17" s="44">
        <v>149</v>
      </c>
      <c r="D17" s="44">
        <f>(D15+D11)*0.27</f>
        <v>148.5</v>
      </c>
      <c r="E17" s="437">
        <f>(E15+E11)*27%</f>
        <v>162</v>
      </c>
      <c r="F17" s="34">
        <v>126</v>
      </c>
      <c r="G17" s="34">
        <v>27</v>
      </c>
    </row>
    <row r="18" spans="1:7" ht="18.75">
      <c r="A18" s="36">
        <v>56</v>
      </c>
      <c r="B18" s="36" t="s">
        <v>53</v>
      </c>
      <c r="C18" s="43">
        <f>SUM(C17:C17)</f>
        <v>149</v>
      </c>
      <c r="D18" s="43">
        <f>SUM(D17:D17)</f>
        <v>148.5</v>
      </c>
      <c r="E18" s="325">
        <f>SUM(E17:E17)</f>
        <v>162</v>
      </c>
      <c r="F18" s="325">
        <f>SUM(F17:F17)</f>
        <v>126</v>
      </c>
      <c r="G18" s="325">
        <f>SUM(G17:G17)</f>
        <v>27</v>
      </c>
    </row>
    <row r="19" spans="1:7" ht="18.75">
      <c r="A19" s="36"/>
      <c r="B19" s="36"/>
      <c r="C19" s="43"/>
      <c r="D19" s="43"/>
      <c r="E19" s="125"/>
      <c r="F19" s="34"/>
      <c r="G19" s="34"/>
    </row>
    <row r="20" spans="1:7" ht="18.75">
      <c r="A20" s="36"/>
      <c r="B20" s="36" t="s">
        <v>29</v>
      </c>
      <c r="C20" s="43">
        <f>SUM(C18,C15,C11)</f>
        <v>699</v>
      </c>
      <c r="D20" s="43">
        <f>SUM(D18,D15,D11)</f>
        <v>698.5</v>
      </c>
      <c r="E20" s="325">
        <f>SUM(E18,E15,E11)</f>
        <v>762</v>
      </c>
      <c r="F20" s="325">
        <f>SUM(F18,F15,F11)</f>
        <v>592</v>
      </c>
      <c r="G20" s="325">
        <f>SUM(G18,G15,G11)</f>
        <v>127</v>
      </c>
    </row>
    <row r="21" spans="1:7" ht="18.75">
      <c r="A21" s="36"/>
      <c r="B21" s="36"/>
      <c r="C21" s="34"/>
      <c r="D21" s="34"/>
      <c r="E21" s="125"/>
      <c r="F21" s="34"/>
      <c r="G21" s="34"/>
    </row>
    <row r="22" spans="1:7" ht="18.75">
      <c r="A22" s="36"/>
      <c r="B22" s="36"/>
      <c r="C22" s="44"/>
      <c r="D22" s="44"/>
      <c r="E22" s="125"/>
      <c r="F22" s="34"/>
      <c r="G22" s="34"/>
    </row>
    <row r="23" spans="1:7" ht="18.75">
      <c r="A23" s="34"/>
      <c r="B23" s="34"/>
      <c r="C23" s="34"/>
      <c r="D23" s="34"/>
      <c r="E23" s="125"/>
      <c r="F23" s="34"/>
      <c r="G23" s="34"/>
    </row>
    <row r="24" spans="1:7" ht="18.75">
      <c r="A24" s="709" t="s">
        <v>0</v>
      </c>
      <c r="B24" s="710"/>
      <c r="C24" s="43">
        <f>SUM(C20)</f>
        <v>699</v>
      </c>
      <c r="D24" s="43">
        <f>SUM(D20)</f>
        <v>698.5</v>
      </c>
      <c r="E24" s="325">
        <f>SUM(E20)</f>
        <v>762</v>
      </c>
      <c r="F24" s="325">
        <f>SUM(F20)</f>
        <v>592</v>
      </c>
      <c r="G24" s="325">
        <f>SUM(G20)</f>
        <v>127</v>
      </c>
    </row>
    <row r="25" spans="1:7" ht="18.75">
      <c r="A25" s="34"/>
      <c r="B25" s="34"/>
      <c r="C25" s="44"/>
      <c r="D25" s="34"/>
      <c r="F25" s="34"/>
      <c r="G25" s="34"/>
    </row>
  </sheetData>
  <sheetProtection/>
  <mergeCells count="1">
    <mergeCell ref="A24:B24"/>
  </mergeCells>
  <printOptions/>
  <pageMargins left="0.7" right="0.7" top="0.75" bottom="0.75" header="0.3" footer="0.3"/>
  <pageSetup horizontalDpi="300" verticalDpi="300" orientation="portrait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C00000"/>
  </sheetPr>
  <dimension ref="A2:J101"/>
  <sheetViews>
    <sheetView zoomScalePageLayoutView="0" workbookViewId="0" topLeftCell="A94">
      <selection activeCell="C35" sqref="C35"/>
    </sheetView>
  </sheetViews>
  <sheetFormatPr defaultColWidth="8.41015625" defaultRowHeight="18"/>
  <cols>
    <col min="1" max="1" width="8.41015625" style="21" customWidth="1"/>
    <col min="2" max="2" width="29.41015625" style="21" customWidth="1"/>
    <col min="3" max="3" width="8" style="382" customWidth="1"/>
    <col min="4" max="4" width="7.33203125" style="21" customWidth="1"/>
    <col min="5" max="5" width="7.75" style="21" customWidth="1"/>
    <col min="6" max="249" width="7.08203125" style="21" customWidth="1"/>
    <col min="250" max="16384" width="8.41015625" style="21" customWidth="1"/>
  </cols>
  <sheetData>
    <row r="2" spans="1:5" ht="18.75">
      <c r="A2" s="620" t="s">
        <v>1331</v>
      </c>
      <c r="B2" s="620"/>
      <c r="C2" s="620"/>
      <c r="D2" s="620"/>
      <c r="E2" s="620"/>
    </row>
    <row r="3" ht="19.5" thickBot="1">
      <c r="C3" s="243"/>
    </row>
    <row r="4" spans="1:5" ht="19.5" thickBot="1">
      <c r="A4" s="595">
        <v>680001</v>
      </c>
      <c r="B4" s="245" t="s">
        <v>236</v>
      </c>
      <c r="C4" s="421" t="s">
        <v>616</v>
      </c>
      <c r="D4" s="41" t="s">
        <v>626</v>
      </c>
      <c r="E4" s="34">
        <v>2016</v>
      </c>
    </row>
    <row r="5" spans="1:5" ht="19.5" thickBot="1">
      <c r="A5" s="596" t="s">
        <v>1384</v>
      </c>
      <c r="B5" s="210"/>
      <c r="C5" s="295"/>
      <c r="D5" s="34"/>
      <c r="E5" s="34"/>
    </row>
    <row r="6" spans="1:5" ht="18.75">
      <c r="A6" s="249" t="s">
        <v>819</v>
      </c>
      <c r="B6" s="250" t="s">
        <v>1238</v>
      </c>
      <c r="C6" s="376"/>
      <c r="D6" s="565"/>
      <c r="E6" s="565"/>
    </row>
    <row r="7" spans="1:5" ht="18.75">
      <c r="A7" s="253" t="s">
        <v>822</v>
      </c>
      <c r="B7" s="254" t="s">
        <v>821</v>
      </c>
      <c r="C7" s="377"/>
      <c r="D7" s="34"/>
      <c r="E7" s="34"/>
    </row>
    <row r="8" spans="1:5" ht="18.75">
      <c r="A8" s="253" t="s">
        <v>823</v>
      </c>
      <c r="B8" s="254" t="s">
        <v>820</v>
      </c>
      <c r="C8" s="377"/>
      <c r="D8" s="34"/>
      <c r="E8" s="381"/>
    </row>
    <row r="9" spans="1:5" ht="18.75">
      <c r="A9" s="253" t="s">
        <v>825</v>
      </c>
      <c r="B9" s="254" t="s">
        <v>824</v>
      </c>
      <c r="C9" s="377"/>
      <c r="D9" s="34"/>
      <c r="E9" s="34"/>
    </row>
    <row r="10" spans="1:5" ht="18.75">
      <c r="A10" s="253" t="s">
        <v>826</v>
      </c>
      <c r="B10" s="260" t="s">
        <v>1239</v>
      </c>
      <c r="C10" s="377"/>
      <c r="D10" s="34"/>
      <c r="E10" s="34"/>
    </row>
    <row r="11" spans="1:5" ht="18.75">
      <c r="A11" s="253" t="s">
        <v>1233</v>
      </c>
      <c r="B11" s="260" t="s">
        <v>1240</v>
      </c>
      <c r="C11" s="378"/>
      <c r="D11" s="34"/>
      <c r="E11" s="34"/>
    </row>
    <row r="12" spans="1:5" ht="18.75">
      <c r="A12" s="253" t="s">
        <v>1241</v>
      </c>
      <c r="B12" s="262" t="s">
        <v>1234</v>
      </c>
      <c r="C12" s="377"/>
      <c r="D12" s="34"/>
      <c r="E12" s="34"/>
    </row>
    <row r="13" spans="1:5" ht="18.75">
      <c r="A13" s="253" t="s">
        <v>1242</v>
      </c>
      <c r="B13" s="262" t="s">
        <v>1235</v>
      </c>
      <c r="C13" s="377"/>
      <c r="D13" s="34"/>
      <c r="E13" s="34"/>
    </row>
    <row r="14" spans="1:5" ht="18.75">
      <c r="A14" s="253" t="s">
        <v>1243</v>
      </c>
      <c r="B14" s="254" t="s">
        <v>528</v>
      </c>
      <c r="C14" s="377"/>
      <c r="D14" s="34"/>
      <c r="E14" s="34"/>
    </row>
    <row r="15" spans="1:5" ht="18.75">
      <c r="A15" s="253" t="s">
        <v>1244</v>
      </c>
      <c r="B15" s="254" t="s">
        <v>1236</v>
      </c>
      <c r="C15" s="377"/>
      <c r="D15" s="34"/>
      <c r="E15" s="34"/>
    </row>
    <row r="16" spans="1:5" ht="19.5" thickBot="1">
      <c r="A16" s="264" t="s">
        <v>1245</v>
      </c>
      <c r="B16" s="265" t="s">
        <v>791</v>
      </c>
      <c r="C16" s="377"/>
      <c r="D16" s="34"/>
      <c r="E16" s="34"/>
    </row>
    <row r="17" spans="1:5" ht="19.5" thickBot="1">
      <c r="A17" s="568" t="s">
        <v>1327</v>
      </c>
      <c r="B17" s="569" t="s">
        <v>1249</v>
      </c>
      <c r="C17" s="379">
        <f>SUM(C6:C16)</f>
        <v>0</v>
      </c>
      <c r="D17" s="379">
        <f>SUM(D6:D16)</f>
        <v>0</v>
      </c>
      <c r="E17" s="379">
        <f>SUM(E6:E16)</f>
        <v>0</v>
      </c>
    </row>
    <row r="18" spans="1:5" ht="19.5" thickBot="1">
      <c r="A18" s="557" t="s">
        <v>1329</v>
      </c>
      <c r="B18" s="558" t="s">
        <v>1248</v>
      </c>
      <c r="C18" s="377"/>
      <c r="D18" s="34"/>
      <c r="E18" s="34"/>
    </row>
    <row r="19" spans="1:5" ht="19.5" thickBot="1">
      <c r="A19" s="557" t="s">
        <v>1328</v>
      </c>
      <c r="B19" s="558" t="s">
        <v>1246</v>
      </c>
      <c r="C19" s="377"/>
      <c r="D19" s="34"/>
      <c r="E19" s="34"/>
    </row>
    <row r="20" spans="1:5" ht="19.5" thickBot="1">
      <c r="A20" s="557" t="s">
        <v>1253</v>
      </c>
      <c r="B20" s="558" t="s">
        <v>19</v>
      </c>
      <c r="C20" s="377"/>
      <c r="D20" s="34"/>
      <c r="E20" s="34"/>
    </row>
    <row r="21" spans="1:5" ht="19.5" thickBot="1">
      <c r="A21" s="557" t="s">
        <v>1254</v>
      </c>
      <c r="B21" s="558" t="s">
        <v>889</v>
      </c>
      <c r="C21" s="377"/>
      <c r="D21" s="34"/>
      <c r="E21" s="34"/>
    </row>
    <row r="22" spans="1:5" ht="19.5" thickBot="1">
      <c r="A22" s="568" t="s">
        <v>1330</v>
      </c>
      <c r="B22" s="569" t="s">
        <v>1247</v>
      </c>
      <c r="C22" s="377">
        <f>SUM(C18:C21)</f>
        <v>0</v>
      </c>
      <c r="D22" s="377">
        <f>SUM(D18:D21)</f>
        <v>0</v>
      </c>
      <c r="E22" s="377">
        <f>SUM(E18:E21)</f>
        <v>0</v>
      </c>
    </row>
    <row r="23" spans="1:5" ht="27" customHeight="1" thickBot="1">
      <c r="A23" s="268" t="s">
        <v>1250</v>
      </c>
      <c r="B23" s="269" t="s">
        <v>1237</v>
      </c>
      <c r="C23" s="379">
        <f>SUM(C22,C17)</f>
        <v>0</v>
      </c>
      <c r="D23" s="379">
        <f>SUM(D22,D17)</f>
        <v>0</v>
      </c>
      <c r="E23" s="379">
        <f>SUM(E22,E17)</f>
        <v>0</v>
      </c>
    </row>
    <row r="24" spans="1:5" ht="19.5" thickBot="1">
      <c r="A24" s="270"/>
      <c r="B24" s="271"/>
      <c r="C24" s="377"/>
      <c r="D24" s="34"/>
      <c r="E24" s="34"/>
    </row>
    <row r="25" spans="1:5" ht="18.75">
      <c r="A25" s="272" t="s">
        <v>1255</v>
      </c>
      <c r="B25" s="97" t="s">
        <v>590</v>
      </c>
      <c r="C25" s="275"/>
      <c r="D25" s="44"/>
      <c r="E25" s="34"/>
    </row>
    <row r="26" spans="1:5" ht="18.75">
      <c r="A26" s="559" t="s">
        <v>1256</v>
      </c>
      <c r="B26" s="97" t="s">
        <v>1251</v>
      </c>
      <c r="C26" s="275"/>
      <c r="D26" s="44"/>
      <c r="E26" s="34"/>
    </row>
    <row r="27" spans="1:5" ht="18.75">
      <c r="A27" s="276" t="s">
        <v>1252</v>
      </c>
      <c r="B27" s="255" t="s">
        <v>4</v>
      </c>
      <c r="C27" s="378"/>
      <c r="D27" s="34"/>
      <c r="E27" s="34"/>
    </row>
    <row r="28" spans="1:5" ht="19.5" thickBot="1">
      <c r="A28" s="462" t="s">
        <v>1257</v>
      </c>
      <c r="B28" s="255" t="s">
        <v>635</v>
      </c>
      <c r="C28" s="378"/>
      <c r="D28" s="34"/>
      <c r="E28" s="34"/>
    </row>
    <row r="29" spans="1:5" ht="19.5" thickBot="1">
      <c r="A29" s="582" t="s">
        <v>1258</v>
      </c>
      <c r="B29" s="583" t="s">
        <v>69</v>
      </c>
      <c r="C29" s="378">
        <f>SUM(C25:C28)</f>
        <v>0</v>
      </c>
      <c r="D29" s="378">
        <f>SUM(D25:D28)</f>
        <v>0</v>
      </c>
      <c r="E29" s="378">
        <f>SUM(E25:E28)</f>
        <v>0</v>
      </c>
    </row>
    <row r="30" spans="1:5" ht="19.5" thickBot="1">
      <c r="A30" s="282"/>
      <c r="B30" s="283"/>
      <c r="C30" s="377"/>
      <c r="D30" s="34"/>
      <c r="E30" s="34"/>
    </row>
    <row r="31" spans="1:5" ht="18.75">
      <c r="A31" s="249" t="s">
        <v>1259</v>
      </c>
      <c r="B31" s="291" t="s">
        <v>533</v>
      </c>
      <c r="C31" s="377"/>
      <c r="D31" s="34"/>
      <c r="E31" s="34"/>
    </row>
    <row r="32" spans="1:5" ht="18.75">
      <c r="A32" s="253" t="s">
        <v>1260</v>
      </c>
      <c r="B32" s="254" t="s">
        <v>534</v>
      </c>
      <c r="C32" s="377"/>
      <c r="D32" s="41"/>
      <c r="E32" s="34"/>
    </row>
    <row r="33" spans="1:5" ht="18.75">
      <c r="A33" s="253" t="s">
        <v>1262</v>
      </c>
      <c r="B33" s="254" t="s">
        <v>1261</v>
      </c>
      <c r="C33" s="377"/>
      <c r="D33" s="41"/>
      <c r="E33" s="34"/>
    </row>
    <row r="34" spans="1:5" ht="18.75">
      <c r="A34" s="253" t="s">
        <v>1263</v>
      </c>
      <c r="B34" s="254" t="s">
        <v>124</v>
      </c>
      <c r="C34" s="377"/>
      <c r="D34" s="41"/>
      <c r="E34" s="34"/>
    </row>
    <row r="35" spans="1:5" ht="18.75">
      <c r="A35" s="253" t="s">
        <v>1264</v>
      </c>
      <c r="B35" s="254" t="s">
        <v>1265</v>
      </c>
      <c r="C35" s="570"/>
      <c r="D35" s="41"/>
      <c r="E35" s="34"/>
    </row>
    <row r="36" spans="1:5" ht="18.75">
      <c r="A36" s="253" t="s">
        <v>1335</v>
      </c>
      <c r="B36" s="562" t="s">
        <v>548</v>
      </c>
      <c r="C36" s="570">
        <f>SUM(C31:C35)</f>
        <v>0</v>
      </c>
      <c r="D36" s="570">
        <f>SUM(D31:D35)</f>
        <v>0</v>
      </c>
      <c r="E36" s="570">
        <f>SUM(E31:E35)</f>
        <v>0</v>
      </c>
    </row>
    <row r="37" spans="1:5" ht="18.75">
      <c r="A37" s="253" t="s">
        <v>1342</v>
      </c>
      <c r="B37" s="254" t="s">
        <v>1343</v>
      </c>
      <c r="C37" s="570"/>
      <c r="D37" s="570"/>
      <c r="E37" s="570"/>
    </row>
    <row r="38" spans="1:5" ht="18.75">
      <c r="A38" s="253" t="s">
        <v>1344</v>
      </c>
      <c r="B38" s="254" t="s">
        <v>1267</v>
      </c>
      <c r="C38" s="570"/>
      <c r="D38" s="34"/>
      <c r="E38" s="34"/>
    </row>
    <row r="39" spans="1:5" ht="18.75">
      <c r="A39" s="253" t="s">
        <v>1345</v>
      </c>
      <c r="B39" s="254" t="s">
        <v>88</v>
      </c>
      <c r="C39" s="570"/>
      <c r="D39" s="34"/>
      <c r="E39" s="34"/>
    </row>
    <row r="40" spans="1:5" ht="18.75">
      <c r="A40" s="253" t="s">
        <v>1346</v>
      </c>
      <c r="B40" s="254" t="s">
        <v>1268</v>
      </c>
      <c r="C40" s="377"/>
      <c r="D40" s="34"/>
      <c r="E40" s="34"/>
    </row>
    <row r="41" spans="1:5" ht="19.5" thickBot="1">
      <c r="A41" s="288" t="s">
        <v>1347</v>
      </c>
      <c r="B41" s="289" t="s">
        <v>1269</v>
      </c>
      <c r="C41" s="377">
        <v>50</v>
      </c>
      <c r="D41" s="34">
        <v>108</v>
      </c>
      <c r="E41" s="34">
        <v>100</v>
      </c>
    </row>
    <row r="42" spans="1:5" ht="17.25" customHeight="1" thickBot="1">
      <c r="A42" s="268" t="s">
        <v>1266</v>
      </c>
      <c r="B42" s="571" t="s">
        <v>1270</v>
      </c>
      <c r="C42" s="377">
        <f>SUM(C37:C41)</f>
        <v>50</v>
      </c>
      <c r="D42" s="377">
        <f>SUM(D38:D41)</f>
        <v>108</v>
      </c>
      <c r="E42" s="377">
        <f>SUM(E38:E41)</f>
        <v>100</v>
      </c>
    </row>
    <row r="43" spans="1:5" ht="22.5" customHeight="1" thickBot="1">
      <c r="A43" s="572" t="s">
        <v>1300</v>
      </c>
      <c r="B43" s="573" t="s">
        <v>595</v>
      </c>
      <c r="C43" s="574">
        <f>SUM(C42,C36)</f>
        <v>50</v>
      </c>
      <c r="D43" s="574">
        <f>SUM(D42,D36)</f>
        <v>108</v>
      </c>
      <c r="E43" s="574">
        <f>SUM(E42,E36)</f>
        <v>100</v>
      </c>
    </row>
    <row r="44" spans="1:5" ht="18.75">
      <c r="A44" s="249" t="s">
        <v>1271</v>
      </c>
      <c r="B44" s="291" t="s">
        <v>1348</v>
      </c>
      <c r="C44" s="377"/>
      <c r="D44" s="34"/>
      <c r="E44" s="34"/>
    </row>
    <row r="45" spans="1:5" ht="18.75">
      <c r="A45" s="494" t="s">
        <v>1350</v>
      </c>
      <c r="B45" s="590" t="s">
        <v>1351</v>
      </c>
      <c r="C45" s="377"/>
      <c r="D45" s="34"/>
      <c r="E45" s="34"/>
    </row>
    <row r="46" spans="1:5" ht="18.75">
      <c r="A46" s="253" t="s">
        <v>1272</v>
      </c>
      <c r="B46" s="254" t="s">
        <v>1349</v>
      </c>
      <c r="C46" s="295"/>
      <c r="D46" s="566"/>
      <c r="E46" s="34"/>
    </row>
    <row r="47" spans="1:5" ht="18.75">
      <c r="A47" s="575" t="s">
        <v>1301</v>
      </c>
      <c r="B47" s="576" t="s">
        <v>1366</v>
      </c>
      <c r="C47" s="577">
        <f>SUM(C44:C46)</f>
        <v>0</v>
      </c>
      <c r="D47" s="577">
        <f>SUM(D44:D46)</f>
        <v>0</v>
      </c>
      <c r="E47" s="577">
        <f>SUM(E44:E46)</f>
        <v>0</v>
      </c>
    </row>
    <row r="48" spans="1:5" ht="18.75">
      <c r="A48" s="253" t="s">
        <v>1275</v>
      </c>
      <c r="B48" s="254" t="s">
        <v>544</v>
      </c>
      <c r="C48" s="295"/>
      <c r="D48" s="566"/>
      <c r="E48" s="34"/>
    </row>
    <row r="49" spans="1:5" ht="18.75">
      <c r="A49" s="253" t="s">
        <v>1274</v>
      </c>
      <c r="B49" s="254" t="s">
        <v>543</v>
      </c>
      <c r="C49" s="295"/>
      <c r="D49" s="34"/>
      <c r="E49" s="34"/>
    </row>
    <row r="50" spans="1:5" ht="18.75">
      <c r="A50" s="253" t="s">
        <v>1276</v>
      </c>
      <c r="B50" s="254" t="s">
        <v>503</v>
      </c>
      <c r="C50" s="295"/>
      <c r="D50" s="34"/>
      <c r="E50" s="34"/>
    </row>
    <row r="51" spans="1:5" ht="18.75">
      <c r="A51" s="575" t="s">
        <v>1273</v>
      </c>
      <c r="B51" s="576" t="s">
        <v>1277</v>
      </c>
      <c r="C51" s="577">
        <f>SUM(C48:C50)</f>
        <v>0</v>
      </c>
      <c r="D51" s="577">
        <f>SUM(D48:D50)</f>
        <v>0</v>
      </c>
      <c r="E51" s="577">
        <f>SUM(E48:E50)</f>
        <v>0</v>
      </c>
    </row>
    <row r="52" spans="1:5" ht="18.75">
      <c r="A52" s="253" t="s">
        <v>1332</v>
      </c>
      <c r="B52" s="254" t="s">
        <v>1278</v>
      </c>
      <c r="C52" s="295"/>
      <c r="D52" s="34"/>
      <c r="E52" s="34"/>
    </row>
    <row r="53" spans="1:5" ht="18.75">
      <c r="A53" s="253" t="s">
        <v>1280</v>
      </c>
      <c r="B53" s="254" t="s">
        <v>26</v>
      </c>
      <c r="C53" s="295">
        <v>50</v>
      </c>
      <c r="D53" s="41">
        <v>179</v>
      </c>
      <c r="E53" s="34">
        <v>100</v>
      </c>
    </row>
    <row r="54" spans="1:5" ht="18.75">
      <c r="A54" s="253" t="s">
        <v>1281</v>
      </c>
      <c r="B54" s="254" t="s">
        <v>1352</v>
      </c>
      <c r="C54" s="377"/>
      <c r="D54" s="34"/>
      <c r="E54" s="34"/>
    </row>
    <row r="55" spans="1:5" ht="18.75">
      <c r="A55" s="575" t="s">
        <v>1283</v>
      </c>
      <c r="B55" s="576" t="s">
        <v>1282</v>
      </c>
      <c r="C55" s="574">
        <f>SUM(C53:C54)</f>
        <v>50</v>
      </c>
      <c r="D55" s="574">
        <f>SUM(D53:D54)</f>
        <v>179</v>
      </c>
      <c r="E55" s="574">
        <f>SUM(E53:E54)</f>
        <v>100</v>
      </c>
    </row>
    <row r="56" spans="1:5" ht="18.75">
      <c r="A56" s="575" t="s">
        <v>1284</v>
      </c>
      <c r="B56" s="588" t="s">
        <v>1333</v>
      </c>
      <c r="C56" s="589"/>
      <c r="D56" s="589"/>
      <c r="E56" s="589"/>
    </row>
    <row r="57" spans="1:5" ht="18.75">
      <c r="A57" s="288"/>
      <c r="B57" s="554" t="s">
        <v>943</v>
      </c>
      <c r="C57" s="554"/>
      <c r="D57" s="554"/>
      <c r="E57" s="554"/>
    </row>
    <row r="58" spans="1:5" ht="18.75">
      <c r="A58" s="288" t="s">
        <v>1353</v>
      </c>
      <c r="B58" s="554" t="s">
        <v>547</v>
      </c>
      <c r="C58" s="554"/>
      <c r="D58" s="554"/>
      <c r="E58" s="554"/>
    </row>
    <row r="59" spans="1:5" ht="18.75">
      <c r="A59" s="288" t="s">
        <v>1354</v>
      </c>
      <c r="B59" s="554" t="s">
        <v>1355</v>
      </c>
      <c r="C59" s="554"/>
      <c r="D59" s="554"/>
      <c r="E59" s="554"/>
    </row>
    <row r="60" spans="1:5" ht="27" customHeight="1">
      <c r="A60" s="561" t="s">
        <v>1285</v>
      </c>
      <c r="B60" s="552" t="s">
        <v>945</v>
      </c>
      <c r="C60" s="591">
        <f>SUM(C58:C59)</f>
        <v>0</v>
      </c>
      <c r="D60" s="591">
        <f>SUM(D58:D59)</f>
        <v>0</v>
      </c>
      <c r="E60" s="591">
        <f>SUM(E58:E59)</f>
        <v>0</v>
      </c>
    </row>
    <row r="61" spans="1:5" ht="23.25" customHeight="1">
      <c r="A61" s="462" t="s">
        <v>1356</v>
      </c>
      <c r="B61" s="553" t="s">
        <v>1362</v>
      </c>
      <c r="C61" s="591"/>
      <c r="D61" s="591"/>
      <c r="E61" s="591"/>
    </row>
    <row r="62" spans="1:5" ht="23.25" customHeight="1">
      <c r="A62" s="462" t="s">
        <v>1357</v>
      </c>
      <c r="B62" s="553" t="s">
        <v>1358</v>
      </c>
      <c r="C62" s="591"/>
      <c r="D62" s="591"/>
      <c r="E62" s="591"/>
    </row>
    <row r="63" spans="1:5" ht="23.25" customHeight="1">
      <c r="A63" s="462" t="s">
        <v>1359</v>
      </c>
      <c r="B63" s="553" t="s">
        <v>9</v>
      </c>
      <c r="C63" s="591"/>
      <c r="D63" s="591"/>
      <c r="E63" s="591"/>
    </row>
    <row r="64" spans="1:6" ht="23.25" customHeight="1" thickBot="1">
      <c r="A64" s="462" t="s">
        <v>1360</v>
      </c>
      <c r="B64" s="553" t="s">
        <v>1361</v>
      </c>
      <c r="C64" s="591"/>
      <c r="D64" s="591"/>
      <c r="E64" s="591"/>
      <c r="F64" s="21" t="s">
        <v>1368</v>
      </c>
    </row>
    <row r="65" spans="1:5" ht="17.25" customHeight="1" thickBot="1">
      <c r="A65" s="298" t="s">
        <v>1286</v>
      </c>
      <c r="B65" s="552" t="s">
        <v>948</v>
      </c>
      <c r="C65" s="591">
        <f>SUM(C61:C64)</f>
        <v>0</v>
      </c>
      <c r="D65" s="591">
        <f>SUM(D61:D64)</f>
        <v>0</v>
      </c>
      <c r="E65" s="591">
        <f>SUM(E61:E64)</f>
        <v>0</v>
      </c>
    </row>
    <row r="66" spans="1:5" ht="25.5" customHeight="1">
      <c r="A66" s="578" t="s">
        <v>1279</v>
      </c>
      <c r="B66" s="579" t="s">
        <v>1287</v>
      </c>
      <c r="C66" s="579">
        <f>SUM(C65+C60+C56+C55+C52)</f>
        <v>50</v>
      </c>
      <c r="D66" s="579">
        <f>SUM(D65+D60+D56+D55+D52)</f>
        <v>179</v>
      </c>
      <c r="E66" s="579">
        <f>SUM(E65+E60+E56+E55+E52)</f>
        <v>100</v>
      </c>
    </row>
    <row r="67" spans="1:5" ht="18.75">
      <c r="A67" s="253" t="s">
        <v>1288</v>
      </c>
      <c r="B67" s="553" t="s">
        <v>952</v>
      </c>
      <c r="C67" s="553"/>
      <c r="D67" s="553"/>
      <c r="E67" s="553"/>
    </row>
    <row r="68" spans="1:5" ht="18.75">
      <c r="A68" s="253" t="s">
        <v>1289</v>
      </c>
      <c r="B68" s="553" t="s">
        <v>954</v>
      </c>
      <c r="C68" s="553"/>
      <c r="D68" s="553"/>
      <c r="E68" s="553"/>
    </row>
    <row r="69" spans="1:5" ht="24" customHeight="1">
      <c r="A69" s="575" t="s">
        <v>1291</v>
      </c>
      <c r="B69" s="579" t="s">
        <v>1290</v>
      </c>
      <c r="C69" s="579">
        <f>SUM(C67:C68)</f>
        <v>0</v>
      </c>
      <c r="D69" s="579">
        <f>SUM(D67:D68)</f>
        <v>0</v>
      </c>
      <c r="E69" s="579">
        <f>SUM(E67:E68)</f>
        <v>0</v>
      </c>
    </row>
    <row r="70" spans="1:7" ht="26.25" customHeight="1" thickBot="1">
      <c r="A70" s="561" t="s">
        <v>1294</v>
      </c>
      <c r="B70" s="552" t="s">
        <v>958</v>
      </c>
      <c r="C70" s="552">
        <v>27</v>
      </c>
      <c r="D70" s="552"/>
      <c r="E70" s="552">
        <v>54</v>
      </c>
      <c r="F70" s="597">
        <f>E43+E47+E51+E52+E55+E56+E60+E63+E64+E68</f>
        <v>200</v>
      </c>
      <c r="G70" s="21">
        <f>F70*27%</f>
        <v>54</v>
      </c>
    </row>
    <row r="71" spans="1:5" ht="27" customHeight="1" thickBot="1">
      <c r="A71" s="268" t="s">
        <v>1295</v>
      </c>
      <c r="B71" s="552" t="s">
        <v>960</v>
      </c>
      <c r="C71" s="552"/>
      <c r="D71" s="552"/>
      <c r="E71" s="552"/>
    </row>
    <row r="72" spans="1:5" ht="19.5" thickBot="1">
      <c r="A72" s="210" t="s">
        <v>1296</v>
      </c>
      <c r="B72" s="552" t="s">
        <v>1293</v>
      </c>
      <c r="C72" s="552"/>
      <c r="D72" s="552"/>
      <c r="E72" s="552"/>
    </row>
    <row r="73" spans="1:5" ht="24.75" customHeight="1">
      <c r="A73" s="593" t="s">
        <v>1298</v>
      </c>
      <c r="B73" s="594" t="s">
        <v>1363</v>
      </c>
      <c r="C73" s="594"/>
      <c r="D73" s="552"/>
      <c r="E73" s="552"/>
    </row>
    <row r="74" spans="1:6" ht="24.75" customHeight="1">
      <c r="A74" s="592" t="s">
        <v>1364</v>
      </c>
      <c r="B74" s="563" t="s">
        <v>1365</v>
      </c>
      <c r="C74" s="563"/>
      <c r="D74" s="553"/>
      <c r="E74" s="553"/>
      <c r="F74" s="21" t="s">
        <v>1369</v>
      </c>
    </row>
    <row r="75" spans="1:5" ht="24.75" customHeight="1">
      <c r="A75" s="592" t="s">
        <v>1370</v>
      </c>
      <c r="B75" s="563" t="s">
        <v>1367</v>
      </c>
      <c r="C75" s="563"/>
      <c r="D75" s="553"/>
      <c r="E75" s="553"/>
    </row>
    <row r="76" spans="1:5" ht="18.75">
      <c r="A76" s="98" t="s">
        <v>1297</v>
      </c>
      <c r="B76" s="552" t="s">
        <v>970</v>
      </c>
      <c r="C76" s="552">
        <f>SUM(C74:C75)</f>
        <v>0</v>
      </c>
      <c r="D76" s="552">
        <f>SUM(D74:D75)</f>
        <v>0</v>
      </c>
      <c r="E76" s="552">
        <f>SUM(E74:E75)</f>
        <v>0</v>
      </c>
    </row>
    <row r="77" spans="1:5" ht="24.75" customHeight="1">
      <c r="A77" s="580" t="s">
        <v>1292</v>
      </c>
      <c r="B77" s="579" t="s">
        <v>1334</v>
      </c>
      <c r="C77" s="579">
        <f>C76+C73+C72+C71+C70</f>
        <v>27</v>
      </c>
      <c r="D77" s="579">
        <f>D76+D73+D72+D71+D70</f>
        <v>0</v>
      </c>
      <c r="E77" s="579">
        <f>E76+E73+E72+E71+E70</f>
        <v>54</v>
      </c>
    </row>
    <row r="78" spans="1:10" ht="24.75" customHeight="1">
      <c r="A78" s="587" t="s">
        <v>1299</v>
      </c>
      <c r="B78" s="585" t="s">
        <v>70</v>
      </c>
      <c r="C78" s="579">
        <f>SUM(C77+C69+C66+C47+C43)</f>
        <v>127</v>
      </c>
      <c r="D78" s="579">
        <f>SUM(D77+D69+D66+D47+D43)</f>
        <v>287</v>
      </c>
      <c r="E78" s="579">
        <f>SUM(E77+E69+E66+E47+E43)</f>
        <v>254</v>
      </c>
      <c r="F78" s="560"/>
      <c r="G78" s="560"/>
      <c r="H78" s="560"/>
      <c r="I78" s="560"/>
      <c r="J78" s="560"/>
    </row>
    <row r="79" spans="1:10" ht="24.75" customHeight="1">
      <c r="A79" s="98" t="s">
        <v>1307</v>
      </c>
      <c r="B79" s="553" t="s">
        <v>1302</v>
      </c>
      <c r="C79" s="552"/>
      <c r="D79" s="552"/>
      <c r="E79" s="552"/>
      <c r="F79" s="560"/>
      <c r="G79" s="560"/>
      <c r="H79" s="560"/>
      <c r="I79" s="560"/>
      <c r="J79" s="560"/>
    </row>
    <row r="80" spans="1:10" ht="24.75" customHeight="1">
      <c r="A80" s="98" t="s">
        <v>1306</v>
      </c>
      <c r="B80" s="553" t="s">
        <v>1308</v>
      </c>
      <c r="C80" s="552"/>
      <c r="D80" s="552"/>
      <c r="E80" s="552"/>
      <c r="F80" s="560"/>
      <c r="G80" s="560"/>
      <c r="H80" s="560"/>
      <c r="I80" s="560"/>
      <c r="J80" s="560"/>
    </row>
    <row r="81" spans="1:10" ht="24.75" customHeight="1">
      <c r="A81" s="98"/>
      <c r="B81" s="97" t="s">
        <v>1304</v>
      </c>
      <c r="C81" s="552"/>
      <c r="D81" s="552"/>
      <c r="E81" s="552"/>
      <c r="F81" s="560"/>
      <c r="G81" s="560"/>
      <c r="H81" s="560"/>
      <c r="I81" s="560"/>
      <c r="J81" s="560"/>
    </row>
    <row r="82" spans="1:5" ht="18.75">
      <c r="A82" s="98"/>
      <c r="B82" s="97" t="s">
        <v>1303</v>
      </c>
      <c r="C82" s="377"/>
      <c r="D82" s="34"/>
      <c r="E82" s="34"/>
    </row>
    <row r="83" spans="1:5" ht="18.75">
      <c r="A83" s="98"/>
      <c r="B83" s="567" t="s">
        <v>1305</v>
      </c>
      <c r="C83" s="377"/>
      <c r="D83" s="34"/>
      <c r="E83" s="34"/>
    </row>
    <row r="84" spans="1:5" ht="25.5">
      <c r="A84" s="580" t="s">
        <v>1341</v>
      </c>
      <c r="B84" s="579" t="s">
        <v>1337</v>
      </c>
      <c r="C84" s="377">
        <f>SUM(C80:C83)</f>
        <v>0</v>
      </c>
      <c r="D84" s="377">
        <f>SUM(D80:D83)</f>
        <v>0</v>
      </c>
      <c r="E84" s="377">
        <f>SUM(E80:E83)</f>
        <v>0</v>
      </c>
    </row>
    <row r="85" spans="1:5" s="564" customFormat="1" ht="18.75">
      <c r="A85" s="587" t="s">
        <v>1336</v>
      </c>
      <c r="B85" s="587" t="s">
        <v>1340</v>
      </c>
      <c r="C85" s="574">
        <f>SUM(C79+C84)</f>
        <v>0</v>
      </c>
      <c r="D85" s="574">
        <f>SUM(D79+D84)</f>
        <v>0</v>
      </c>
      <c r="E85" s="574">
        <f>SUM(E79+E84)</f>
        <v>0</v>
      </c>
    </row>
    <row r="86" spans="1:5" ht="18.75">
      <c r="A86" s="97" t="s">
        <v>1309</v>
      </c>
      <c r="B86" s="553" t="s">
        <v>1113</v>
      </c>
      <c r="C86" s="553"/>
      <c r="D86" s="553"/>
      <c r="E86" s="553"/>
    </row>
    <row r="87" spans="1:5" s="382" customFormat="1" ht="15">
      <c r="A87" s="97" t="s">
        <v>1310</v>
      </c>
      <c r="B87" s="553" t="s">
        <v>1371</v>
      </c>
      <c r="C87" s="553"/>
      <c r="D87" s="553"/>
      <c r="E87" s="553"/>
    </row>
    <row r="88" spans="1:5" ht="18.75">
      <c r="A88" s="172" t="s">
        <v>1311</v>
      </c>
      <c r="B88" s="553" t="s">
        <v>1117</v>
      </c>
      <c r="C88" s="553"/>
      <c r="D88" s="553"/>
      <c r="E88" s="553"/>
    </row>
    <row r="89" spans="1:5" ht="24" customHeight="1">
      <c r="A89" s="172" t="s">
        <v>1312</v>
      </c>
      <c r="B89" s="553" t="s">
        <v>1118</v>
      </c>
      <c r="C89" s="553"/>
      <c r="D89" s="553"/>
      <c r="E89" s="553"/>
    </row>
    <row r="90" spans="1:5" ht="26.25" customHeight="1">
      <c r="A90" s="172" t="s">
        <v>1313</v>
      </c>
      <c r="B90" s="553" t="s">
        <v>1120</v>
      </c>
      <c r="C90" s="553"/>
      <c r="D90" s="553"/>
      <c r="E90" s="553"/>
    </row>
    <row r="91" spans="1:5" ht="25.5" customHeight="1">
      <c r="A91" s="172" t="s">
        <v>1314</v>
      </c>
      <c r="B91" s="553" t="s">
        <v>1126</v>
      </c>
      <c r="C91" s="553"/>
      <c r="D91" s="553"/>
      <c r="E91" s="553"/>
    </row>
    <row r="92" spans="1:5" ht="18.75">
      <c r="A92" s="584" t="s">
        <v>1315</v>
      </c>
      <c r="B92" s="585" t="s">
        <v>1339</v>
      </c>
      <c r="C92" s="552">
        <f>SUM(C86:C91)</f>
        <v>0</v>
      </c>
      <c r="D92" s="552">
        <f>SUM(D86:D91)</f>
        <v>0</v>
      </c>
      <c r="E92" s="552">
        <f>SUM(E86:E91)</f>
        <v>0</v>
      </c>
    </row>
    <row r="93" spans="1:5" ht="18.75">
      <c r="A93" s="172" t="s">
        <v>1316</v>
      </c>
      <c r="B93" s="553" t="s">
        <v>1130</v>
      </c>
      <c r="C93" s="553"/>
      <c r="D93" s="553"/>
      <c r="E93" s="553"/>
    </row>
    <row r="94" spans="1:5" ht="18.75">
      <c r="A94" s="172" t="s">
        <v>1317</v>
      </c>
      <c r="B94" s="553" t="s">
        <v>1132</v>
      </c>
      <c r="C94" s="553"/>
      <c r="D94" s="553"/>
      <c r="E94" s="553"/>
    </row>
    <row r="95" spans="1:5" ht="18.75">
      <c r="A95" s="172" t="s">
        <v>1318</v>
      </c>
      <c r="B95" s="553" t="s">
        <v>1134</v>
      </c>
      <c r="C95" s="553"/>
      <c r="D95" s="553"/>
      <c r="E95" s="553"/>
    </row>
    <row r="96" spans="1:5" ht="24" customHeight="1">
      <c r="A96" s="172" t="s">
        <v>1319</v>
      </c>
      <c r="B96" s="553" t="s">
        <v>1136</v>
      </c>
      <c r="C96" s="553"/>
      <c r="D96" s="553"/>
      <c r="E96" s="553"/>
    </row>
    <row r="97" spans="1:5" ht="18.75">
      <c r="A97" s="584" t="s">
        <v>1320</v>
      </c>
      <c r="B97" s="585" t="s">
        <v>1338</v>
      </c>
      <c r="C97" s="552">
        <f>SUM(C93:C96)</f>
        <v>0</v>
      </c>
      <c r="D97" s="552">
        <f>SUM(D93:D96)</f>
        <v>0</v>
      </c>
      <c r="E97" s="552">
        <f>SUM(E93:E96)</f>
        <v>0</v>
      </c>
    </row>
    <row r="98" spans="1:5" ht="25.5" customHeight="1">
      <c r="A98" s="172" t="s">
        <v>1323</v>
      </c>
      <c r="B98" s="555" t="s">
        <v>1325</v>
      </c>
      <c r="C98" s="555"/>
      <c r="D98" s="555"/>
      <c r="E98" s="555"/>
    </row>
    <row r="99" spans="1:5" ht="27" customHeight="1">
      <c r="A99" s="457" t="s">
        <v>1322</v>
      </c>
      <c r="B99" s="553" t="s">
        <v>1321</v>
      </c>
      <c r="C99" s="553"/>
      <c r="D99" s="553"/>
      <c r="E99" s="553"/>
    </row>
    <row r="100" spans="1:5" ht="18.75">
      <c r="A100" s="584" t="s">
        <v>1326</v>
      </c>
      <c r="B100" s="586" t="s">
        <v>1324</v>
      </c>
      <c r="C100" s="295">
        <f>SUM(C98:C99)</f>
        <v>0</v>
      </c>
      <c r="D100" s="295">
        <f>SUM(D98:D99)</f>
        <v>0</v>
      </c>
      <c r="E100" s="295">
        <f>SUM(E98:E99)</f>
        <v>0</v>
      </c>
    </row>
    <row r="101" spans="1:5" ht="18.75">
      <c r="A101" s="34"/>
      <c r="B101" s="36" t="s">
        <v>118</v>
      </c>
      <c r="C101" s="581">
        <f>SUM(C100+C97+C92+C85+C78+C29+C23)</f>
        <v>127</v>
      </c>
      <c r="D101" s="581">
        <f>SUM(D100+D97+D92+D85+D78+D29+D23)</f>
        <v>287</v>
      </c>
      <c r="E101" s="581">
        <f>SUM(E100+E97+E92+E85+E78+E29+E23)</f>
        <v>254</v>
      </c>
    </row>
  </sheetData>
  <sheetProtection/>
  <mergeCells count="1">
    <mergeCell ref="A2:E2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2:H31"/>
  <sheetViews>
    <sheetView view="pageBreakPreview" zoomScale="60" zoomScalePageLayoutView="0" workbookViewId="0" topLeftCell="A1">
      <selection activeCell="G17" sqref="G17"/>
    </sheetView>
  </sheetViews>
  <sheetFormatPr defaultColWidth="8.66015625" defaultRowHeight="18"/>
  <cols>
    <col min="1" max="1" width="9.25" style="21" customWidth="1"/>
    <col min="2" max="2" width="29.58203125" style="21" customWidth="1"/>
    <col min="3" max="3" width="9.25" style="21" customWidth="1"/>
    <col min="4" max="4" width="8.33203125" style="21" customWidth="1"/>
    <col min="5" max="5" width="11" style="21" customWidth="1"/>
    <col min="6" max="6" width="8.91015625" style="21" customWidth="1"/>
    <col min="7" max="7" width="9.41015625" style="21" customWidth="1"/>
    <col min="8" max="16384" width="8.91015625" style="21" customWidth="1"/>
  </cols>
  <sheetData>
    <row r="2" spans="1:3" ht="18.75">
      <c r="A2" s="3"/>
      <c r="B2" s="3"/>
      <c r="C2" s="4"/>
    </row>
    <row r="3" spans="1:3" ht="19.5">
      <c r="A3" s="5"/>
      <c r="B3" s="5"/>
      <c r="C3" s="24"/>
    </row>
    <row r="4" spans="1:2" ht="19.5" thickBot="1">
      <c r="A4" s="3">
        <v>680002</v>
      </c>
      <c r="B4" s="19" t="s">
        <v>250</v>
      </c>
    </row>
    <row r="5" spans="1:4" ht="20.25" thickBot="1" thickTop="1">
      <c r="A5" s="31"/>
      <c r="B5" s="3"/>
      <c r="C5" s="20"/>
      <c r="D5" s="104"/>
    </row>
    <row r="6" spans="1:3" ht="19.5" thickTop="1">
      <c r="A6" s="21" t="s">
        <v>109</v>
      </c>
      <c r="C6" s="4"/>
    </row>
    <row r="7" spans="1:4" ht="18.75">
      <c r="A7" s="3"/>
      <c r="C7" s="4"/>
      <c r="D7" s="4"/>
    </row>
    <row r="8" spans="1:4" ht="18.75">
      <c r="A8" s="3"/>
      <c r="B8" s="3"/>
      <c r="C8" s="4"/>
      <c r="D8" s="4"/>
    </row>
    <row r="9" spans="1:4" ht="18.75">
      <c r="A9" s="3"/>
      <c r="B9" s="3" t="s">
        <v>62</v>
      </c>
      <c r="C9" s="4">
        <f>SUM(C7:C8)</f>
        <v>0</v>
      </c>
      <c r="D9" s="4"/>
    </row>
    <row r="10" spans="1:4" ht="18.75">
      <c r="A10" s="3"/>
      <c r="B10" s="3"/>
      <c r="C10" s="4"/>
      <c r="D10" s="4"/>
    </row>
    <row r="11" spans="1:7" ht="37.5">
      <c r="A11" s="34" t="s">
        <v>110</v>
      </c>
      <c r="B11" s="36"/>
      <c r="C11" s="54" t="s">
        <v>265</v>
      </c>
      <c r="D11" s="43" t="s">
        <v>281</v>
      </c>
      <c r="E11" s="438" t="s">
        <v>614</v>
      </c>
      <c r="F11" s="41" t="s">
        <v>618</v>
      </c>
      <c r="G11" s="41" t="s">
        <v>616</v>
      </c>
    </row>
    <row r="12" spans="1:7" ht="18.75">
      <c r="A12" s="34">
        <v>54913</v>
      </c>
      <c r="B12" s="34" t="s">
        <v>32</v>
      </c>
      <c r="C12" s="43">
        <v>50</v>
      </c>
      <c r="D12" s="43">
        <v>50</v>
      </c>
      <c r="E12" s="436">
        <v>100</v>
      </c>
      <c r="F12" s="34">
        <v>42</v>
      </c>
      <c r="G12" s="34">
        <v>100</v>
      </c>
    </row>
    <row r="13" spans="1:7" ht="18.75">
      <c r="A13" s="34">
        <v>54712</v>
      </c>
      <c r="B13" s="34" t="s">
        <v>150</v>
      </c>
      <c r="C13" s="43"/>
      <c r="D13" s="43"/>
      <c r="E13" s="125"/>
      <c r="F13" s="34"/>
      <c r="G13" s="34"/>
    </row>
    <row r="14" spans="1:7" ht="18.75">
      <c r="A14" s="36">
        <v>54</v>
      </c>
      <c r="B14" s="36" t="s">
        <v>123</v>
      </c>
      <c r="C14" s="43">
        <f>SUM(C12:C13)</f>
        <v>50</v>
      </c>
      <c r="D14" s="43">
        <f>SUM(D12:D13)</f>
        <v>50</v>
      </c>
      <c r="E14" s="325">
        <f>SUM(E12:E13)</f>
        <v>100</v>
      </c>
      <c r="F14" s="325">
        <f>SUM(F12:F13)</f>
        <v>42</v>
      </c>
      <c r="G14" s="325">
        <f>SUM(G12:G13)</f>
        <v>100</v>
      </c>
    </row>
    <row r="15" spans="1:7" ht="18.75">
      <c r="A15" s="36"/>
      <c r="B15" s="36"/>
      <c r="C15" s="43"/>
      <c r="D15" s="43"/>
      <c r="E15" s="125"/>
      <c r="F15" s="34"/>
      <c r="G15" s="34"/>
    </row>
    <row r="16" spans="1:7" ht="18.75">
      <c r="A16" s="34">
        <v>552181</v>
      </c>
      <c r="B16" s="34" t="s">
        <v>26</v>
      </c>
      <c r="C16" s="44">
        <v>200</v>
      </c>
      <c r="D16" s="44">
        <v>200</v>
      </c>
      <c r="E16" s="436">
        <v>200</v>
      </c>
      <c r="F16" s="34">
        <v>135</v>
      </c>
      <c r="G16" s="34">
        <v>200</v>
      </c>
    </row>
    <row r="17" spans="1:7" ht="18.75">
      <c r="A17" s="34">
        <v>552129</v>
      </c>
      <c r="B17" s="34" t="s">
        <v>154</v>
      </c>
      <c r="C17" s="44">
        <v>900</v>
      </c>
      <c r="D17" s="44">
        <v>900</v>
      </c>
      <c r="E17" s="125">
        <v>900</v>
      </c>
      <c r="F17" s="34">
        <v>985</v>
      </c>
      <c r="G17" s="34">
        <v>700</v>
      </c>
    </row>
    <row r="18" spans="1:7" ht="35.25">
      <c r="A18" s="34">
        <v>555121</v>
      </c>
      <c r="B18" s="94" t="s">
        <v>148</v>
      </c>
      <c r="C18" s="44">
        <v>3500</v>
      </c>
      <c r="D18" s="44">
        <v>4800</v>
      </c>
      <c r="E18" s="125">
        <v>3800</v>
      </c>
      <c r="F18" s="34">
        <v>3100</v>
      </c>
      <c r="G18" s="34">
        <v>3400</v>
      </c>
    </row>
    <row r="19" spans="1:7" ht="37.5">
      <c r="A19" s="34">
        <v>554121</v>
      </c>
      <c r="B19" s="94" t="s">
        <v>285</v>
      </c>
      <c r="C19" s="44">
        <v>5000</v>
      </c>
      <c r="D19" s="44"/>
      <c r="E19" s="125"/>
      <c r="F19" s="34"/>
      <c r="G19" s="34"/>
    </row>
    <row r="20" spans="1:8" ht="18.75">
      <c r="A20" s="34">
        <v>5531</v>
      </c>
      <c r="B20" s="94" t="s">
        <v>151</v>
      </c>
      <c r="C20" s="44">
        <v>27</v>
      </c>
      <c r="D20" s="44">
        <v>50</v>
      </c>
      <c r="E20" s="125">
        <v>100</v>
      </c>
      <c r="F20" s="493">
        <v>86</v>
      </c>
      <c r="G20" s="34">
        <v>100</v>
      </c>
      <c r="H20" s="41" t="s">
        <v>284</v>
      </c>
    </row>
    <row r="21" spans="1:7" ht="18.75">
      <c r="A21" s="40">
        <v>55</v>
      </c>
      <c r="B21" s="40" t="s">
        <v>51</v>
      </c>
      <c r="C21" s="43">
        <f>SUM(C16:C20)</f>
        <v>9627</v>
      </c>
      <c r="D21" s="43">
        <f>SUM(D16:D20)</f>
        <v>5950</v>
      </c>
      <c r="E21" s="325">
        <f>SUM(E16:E20)</f>
        <v>5000</v>
      </c>
      <c r="F21" s="325">
        <f>SUM(F16:F20)</f>
        <v>4306</v>
      </c>
      <c r="G21" s="325">
        <f>SUM(G16:G20)</f>
        <v>4400</v>
      </c>
    </row>
    <row r="22" spans="1:7" ht="18.75">
      <c r="A22" s="40"/>
      <c r="B22" s="40"/>
      <c r="C22" s="43"/>
      <c r="D22" s="43"/>
      <c r="E22" s="125"/>
      <c r="F22" s="34"/>
      <c r="G22" s="34"/>
    </row>
    <row r="23" spans="1:7" ht="18.75">
      <c r="A23" s="34">
        <v>56111</v>
      </c>
      <c r="B23" s="34" t="s">
        <v>52</v>
      </c>
      <c r="C23" s="44">
        <f>(C21+C14)*0.27</f>
        <v>2612.79</v>
      </c>
      <c r="D23" s="44">
        <f>(D21+D14)*0.27</f>
        <v>1620</v>
      </c>
      <c r="E23" s="437">
        <f>(E14+E21)*27%</f>
        <v>1377</v>
      </c>
      <c r="F23" s="34">
        <v>976</v>
      </c>
      <c r="G23" s="34">
        <f>(G21+G14)*27%</f>
        <v>1215</v>
      </c>
    </row>
    <row r="24" spans="1:7" ht="18.75">
      <c r="A24" s="40">
        <v>56</v>
      </c>
      <c r="B24" s="40" t="s">
        <v>53</v>
      </c>
      <c r="C24" s="43">
        <f>SUM(C23:C23)</f>
        <v>2612.79</v>
      </c>
      <c r="D24" s="43">
        <f>SUM(D23:D23)</f>
        <v>1620</v>
      </c>
      <c r="E24" s="325">
        <f>SUM(E23:E23)</f>
        <v>1377</v>
      </c>
      <c r="F24" s="325">
        <f>SUM(F23:F23)</f>
        <v>976</v>
      </c>
      <c r="G24" s="325">
        <f>SUM(G23:G23)</f>
        <v>1215</v>
      </c>
    </row>
    <row r="25" spans="1:7" ht="18.75">
      <c r="A25" s="40"/>
      <c r="B25" s="40"/>
      <c r="C25" s="43"/>
      <c r="D25" s="43"/>
      <c r="E25" s="125"/>
      <c r="F25" s="34"/>
      <c r="G25" s="34"/>
    </row>
    <row r="26" spans="1:7" ht="18.75">
      <c r="A26" s="40"/>
      <c r="B26" s="40" t="s">
        <v>29</v>
      </c>
      <c r="C26" s="43">
        <f>SUM(C24,C21,C14)</f>
        <v>12289.79</v>
      </c>
      <c r="D26" s="43">
        <f>SUM(D24,D21,D14)</f>
        <v>7620</v>
      </c>
      <c r="E26" s="325">
        <f>SUM(E24,E21,E14)</f>
        <v>6477</v>
      </c>
      <c r="F26" s="325">
        <f>SUM(F24,F21,F14)</f>
        <v>5324</v>
      </c>
      <c r="G26" s="325">
        <f>SUM(G24,G21,G14)</f>
        <v>5715</v>
      </c>
    </row>
    <row r="27" spans="1:7" ht="18.75">
      <c r="A27" s="40"/>
      <c r="B27" s="40"/>
      <c r="C27" s="34"/>
      <c r="D27" s="34"/>
      <c r="E27" s="125"/>
      <c r="F27" s="34"/>
      <c r="G27" s="34"/>
    </row>
    <row r="28" spans="1:7" ht="18.75">
      <c r="A28" s="40"/>
      <c r="B28" s="40"/>
      <c r="C28" s="51"/>
      <c r="D28" s="44"/>
      <c r="E28" s="125"/>
      <c r="F28" s="34"/>
      <c r="G28" s="34"/>
    </row>
    <row r="29" spans="1:7" ht="18.75">
      <c r="A29" s="34"/>
      <c r="B29" s="34"/>
      <c r="C29" s="44"/>
      <c r="D29" s="34"/>
      <c r="E29" s="125"/>
      <c r="F29" s="34"/>
      <c r="G29" s="34"/>
    </row>
    <row r="30" spans="1:7" ht="18.75">
      <c r="A30" s="711" t="s">
        <v>0</v>
      </c>
      <c r="B30" s="710"/>
      <c r="C30" s="51">
        <f>SUM(C26+C9)</f>
        <v>12289.79</v>
      </c>
      <c r="D30" s="43">
        <f>SUM(D26)</f>
        <v>7620</v>
      </c>
      <c r="E30" s="325">
        <f>SUM(E26)</f>
        <v>6477</v>
      </c>
      <c r="F30" s="325">
        <f>SUM(F26)</f>
        <v>5324</v>
      </c>
      <c r="G30" s="325">
        <f>SUM(G26)</f>
        <v>5715</v>
      </c>
    </row>
    <row r="31" spans="1:7" ht="18.75">
      <c r="A31" s="34"/>
      <c r="B31" s="34"/>
      <c r="C31" s="44"/>
      <c r="D31" s="34"/>
      <c r="E31" s="23"/>
      <c r="F31" s="34"/>
      <c r="G31" s="34"/>
    </row>
  </sheetData>
  <sheetProtection/>
  <mergeCells count="1">
    <mergeCell ref="A30:B30"/>
  </mergeCells>
  <printOptions/>
  <pageMargins left="0.7" right="0.7" top="0.75" bottom="0.75" header="0.3" footer="0.3"/>
  <pageSetup horizontalDpi="300" verticalDpi="300" orientation="portrait" paperSize="9" scale="6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C00000"/>
  </sheetPr>
  <dimension ref="A2:J101"/>
  <sheetViews>
    <sheetView zoomScalePageLayoutView="0" workbookViewId="0" topLeftCell="A88">
      <selection activeCell="E72" sqref="E72"/>
    </sheetView>
  </sheetViews>
  <sheetFormatPr defaultColWidth="8.41015625" defaultRowHeight="18"/>
  <cols>
    <col min="1" max="1" width="8.41015625" style="21" customWidth="1"/>
    <col min="2" max="2" width="29.41015625" style="21" customWidth="1"/>
    <col min="3" max="3" width="8" style="382" customWidth="1"/>
    <col min="4" max="4" width="7.33203125" style="21" customWidth="1"/>
    <col min="5" max="5" width="7.75" style="21" customWidth="1"/>
    <col min="6" max="249" width="7.08203125" style="21" customWidth="1"/>
    <col min="250" max="16384" width="8.41015625" style="21" customWidth="1"/>
  </cols>
  <sheetData>
    <row r="2" spans="1:5" ht="18.75">
      <c r="A2" s="620" t="s">
        <v>1331</v>
      </c>
      <c r="B2" s="620"/>
      <c r="C2" s="620"/>
      <c r="D2" s="620"/>
      <c r="E2" s="620"/>
    </row>
    <row r="3" ht="19.5" thickBot="1">
      <c r="C3" s="243"/>
    </row>
    <row r="4" spans="1:5" ht="19.5" thickBot="1">
      <c r="A4" s="595">
        <v>680002</v>
      </c>
      <c r="B4" s="245" t="s">
        <v>237</v>
      </c>
      <c r="C4" s="421" t="s">
        <v>616</v>
      </c>
      <c r="D4" s="41" t="s">
        <v>626</v>
      </c>
      <c r="E4" s="34">
        <v>2016</v>
      </c>
    </row>
    <row r="5" spans="1:5" ht="19.5" thickBot="1">
      <c r="A5" s="596" t="s">
        <v>1384</v>
      </c>
      <c r="B5" s="210"/>
      <c r="C5" s="295"/>
      <c r="D5" s="34"/>
      <c r="E5" s="34"/>
    </row>
    <row r="6" spans="1:5" ht="18.75">
      <c r="A6" s="249" t="s">
        <v>819</v>
      </c>
      <c r="B6" s="250" t="s">
        <v>1238</v>
      </c>
      <c r="C6" s="376"/>
      <c r="D6" s="565"/>
      <c r="E6" s="565"/>
    </row>
    <row r="7" spans="1:5" ht="18.75">
      <c r="A7" s="253" t="s">
        <v>822</v>
      </c>
      <c r="B7" s="254" t="s">
        <v>821</v>
      </c>
      <c r="C7" s="377"/>
      <c r="D7" s="34"/>
      <c r="E7" s="34"/>
    </row>
    <row r="8" spans="1:5" ht="18.75">
      <c r="A8" s="253" t="s">
        <v>823</v>
      </c>
      <c r="B8" s="254" t="s">
        <v>820</v>
      </c>
      <c r="C8" s="377"/>
      <c r="D8" s="34"/>
      <c r="E8" s="381"/>
    </row>
    <row r="9" spans="1:5" ht="18.75">
      <c r="A9" s="253" t="s">
        <v>825</v>
      </c>
      <c r="B9" s="254" t="s">
        <v>824</v>
      </c>
      <c r="C9" s="377"/>
      <c r="D9" s="34"/>
      <c r="E9" s="34"/>
    </row>
    <row r="10" spans="1:5" ht="18.75">
      <c r="A10" s="253" t="s">
        <v>826</v>
      </c>
      <c r="B10" s="260" t="s">
        <v>1239</v>
      </c>
      <c r="C10" s="377"/>
      <c r="D10" s="34"/>
      <c r="E10" s="34"/>
    </row>
    <row r="11" spans="1:5" ht="18.75">
      <c r="A11" s="253" t="s">
        <v>1233</v>
      </c>
      <c r="B11" s="260" t="s">
        <v>1240</v>
      </c>
      <c r="C11" s="378"/>
      <c r="D11" s="34"/>
      <c r="E11" s="34"/>
    </row>
    <row r="12" spans="1:5" ht="18.75">
      <c r="A12" s="253" t="s">
        <v>1241</v>
      </c>
      <c r="B12" s="262" t="s">
        <v>1234</v>
      </c>
      <c r="C12" s="377"/>
      <c r="D12" s="34"/>
      <c r="E12" s="34"/>
    </row>
    <row r="13" spans="1:5" ht="18.75">
      <c r="A13" s="253" t="s">
        <v>1242</v>
      </c>
      <c r="B13" s="262" t="s">
        <v>1235</v>
      </c>
      <c r="C13" s="377"/>
      <c r="D13" s="34"/>
      <c r="E13" s="34"/>
    </row>
    <row r="14" spans="1:5" ht="18.75">
      <c r="A14" s="253" t="s">
        <v>1243</v>
      </c>
      <c r="B14" s="254" t="s">
        <v>528</v>
      </c>
      <c r="C14" s="377"/>
      <c r="D14" s="34"/>
      <c r="E14" s="34"/>
    </row>
    <row r="15" spans="1:5" ht="18.75">
      <c r="A15" s="253" t="s">
        <v>1244</v>
      </c>
      <c r="B15" s="254" t="s">
        <v>1236</v>
      </c>
      <c r="C15" s="377"/>
      <c r="D15" s="34"/>
      <c r="E15" s="34"/>
    </row>
    <row r="16" spans="1:5" ht="19.5" thickBot="1">
      <c r="A16" s="264" t="s">
        <v>1245</v>
      </c>
      <c r="B16" s="265" t="s">
        <v>791</v>
      </c>
      <c r="C16" s="377"/>
      <c r="D16" s="34"/>
      <c r="E16" s="34"/>
    </row>
    <row r="17" spans="1:5" ht="19.5" thickBot="1">
      <c r="A17" s="568" t="s">
        <v>1327</v>
      </c>
      <c r="B17" s="569" t="s">
        <v>1249</v>
      </c>
      <c r="C17" s="379">
        <f>SUM(C6:C16)</f>
        <v>0</v>
      </c>
      <c r="D17" s="379">
        <f>SUM(D6:D16)</f>
        <v>0</v>
      </c>
      <c r="E17" s="379">
        <f>SUM(E6:E16)</f>
        <v>0</v>
      </c>
    </row>
    <row r="18" spans="1:5" ht="19.5" thickBot="1">
      <c r="A18" s="557" t="s">
        <v>1329</v>
      </c>
      <c r="B18" s="558" t="s">
        <v>1248</v>
      </c>
      <c r="C18" s="377"/>
      <c r="D18" s="34"/>
      <c r="E18" s="34"/>
    </row>
    <row r="19" spans="1:5" ht="19.5" thickBot="1">
      <c r="A19" s="557" t="s">
        <v>1328</v>
      </c>
      <c r="B19" s="558" t="s">
        <v>1246</v>
      </c>
      <c r="C19" s="377"/>
      <c r="D19" s="34"/>
      <c r="E19" s="34"/>
    </row>
    <row r="20" spans="1:5" ht="19.5" thickBot="1">
      <c r="A20" s="557" t="s">
        <v>1253</v>
      </c>
      <c r="B20" s="558" t="s">
        <v>19</v>
      </c>
      <c r="C20" s="377"/>
      <c r="D20" s="34"/>
      <c r="E20" s="34"/>
    </row>
    <row r="21" spans="1:5" ht="19.5" thickBot="1">
      <c r="A21" s="557" t="s">
        <v>1254</v>
      </c>
      <c r="B21" s="558" t="s">
        <v>889</v>
      </c>
      <c r="C21" s="377"/>
      <c r="D21" s="34"/>
      <c r="E21" s="34"/>
    </row>
    <row r="22" spans="1:5" ht="19.5" thickBot="1">
      <c r="A22" s="568" t="s">
        <v>1330</v>
      </c>
      <c r="B22" s="569" t="s">
        <v>1247</v>
      </c>
      <c r="C22" s="377">
        <f>SUM(C18:C21)</f>
        <v>0</v>
      </c>
      <c r="D22" s="377">
        <f>SUM(D18:D21)</f>
        <v>0</v>
      </c>
      <c r="E22" s="377">
        <f>SUM(E18:E21)</f>
        <v>0</v>
      </c>
    </row>
    <row r="23" spans="1:5" ht="27" customHeight="1" thickBot="1">
      <c r="A23" s="268" t="s">
        <v>1250</v>
      </c>
      <c r="B23" s="269" t="s">
        <v>1237</v>
      </c>
      <c r="C23" s="379">
        <f>SUM(C22,C17)</f>
        <v>0</v>
      </c>
      <c r="D23" s="379">
        <f>SUM(D22,D17)</f>
        <v>0</v>
      </c>
      <c r="E23" s="379">
        <f>SUM(E22,E17)</f>
        <v>0</v>
      </c>
    </row>
    <row r="24" spans="1:5" ht="19.5" thickBot="1">
      <c r="A24" s="270"/>
      <c r="B24" s="271"/>
      <c r="C24" s="377"/>
      <c r="D24" s="34"/>
      <c r="E24" s="34"/>
    </row>
    <row r="25" spans="1:5" ht="18.75">
      <c r="A25" s="272" t="s">
        <v>1255</v>
      </c>
      <c r="B25" s="97" t="s">
        <v>590</v>
      </c>
      <c r="C25" s="275"/>
      <c r="D25" s="44"/>
      <c r="E25" s="34"/>
    </row>
    <row r="26" spans="1:5" ht="18.75">
      <c r="A26" s="559" t="s">
        <v>1256</v>
      </c>
      <c r="B26" s="97" t="s">
        <v>1251</v>
      </c>
      <c r="C26" s="275"/>
      <c r="D26" s="44"/>
      <c r="E26" s="34"/>
    </row>
    <row r="27" spans="1:5" ht="18.75">
      <c r="A27" s="276" t="s">
        <v>1252</v>
      </c>
      <c r="B27" s="255" t="s">
        <v>4</v>
      </c>
      <c r="C27" s="378"/>
      <c r="D27" s="34"/>
      <c r="E27" s="34"/>
    </row>
    <row r="28" spans="1:5" ht="19.5" thickBot="1">
      <c r="A28" s="462" t="s">
        <v>1257</v>
      </c>
      <c r="B28" s="255" t="s">
        <v>635</v>
      </c>
      <c r="C28" s="378"/>
      <c r="D28" s="34"/>
      <c r="E28" s="34"/>
    </row>
    <row r="29" spans="1:5" ht="19.5" thickBot="1">
      <c r="A29" s="582" t="s">
        <v>1258</v>
      </c>
      <c r="B29" s="583" t="s">
        <v>69</v>
      </c>
      <c r="C29" s="378">
        <f>SUM(C25:C28)</f>
        <v>0</v>
      </c>
      <c r="D29" s="378">
        <f>SUM(D25:D28)</f>
        <v>0</v>
      </c>
      <c r="E29" s="378">
        <f>SUM(E25:E28)</f>
        <v>0</v>
      </c>
    </row>
    <row r="30" spans="1:5" ht="19.5" thickBot="1">
      <c r="A30" s="282"/>
      <c r="B30" s="283"/>
      <c r="C30" s="377"/>
      <c r="D30" s="34"/>
      <c r="E30" s="34"/>
    </row>
    <row r="31" spans="1:5" ht="18.75">
      <c r="A31" s="249" t="s">
        <v>1259</v>
      </c>
      <c r="B31" s="291" t="s">
        <v>533</v>
      </c>
      <c r="C31" s="377"/>
      <c r="D31" s="34"/>
      <c r="E31" s="34"/>
    </row>
    <row r="32" spans="1:5" ht="18.75">
      <c r="A32" s="253" t="s">
        <v>1260</v>
      </c>
      <c r="B32" s="254" t="s">
        <v>534</v>
      </c>
      <c r="C32" s="377"/>
      <c r="D32" s="41"/>
      <c r="E32" s="34"/>
    </row>
    <row r="33" spans="1:5" ht="18.75">
      <c r="A33" s="253" t="s">
        <v>1262</v>
      </c>
      <c r="B33" s="254" t="s">
        <v>1261</v>
      </c>
      <c r="C33" s="377"/>
      <c r="D33" s="41"/>
      <c r="E33" s="34"/>
    </row>
    <row r="34" spans="1:5" ht="18.75">
      <c r="A34" s="253" t="s">
        <v>1263</v>
      </c>
      <c r="B34" s="254" t="s">
        <v>124</v>
      </c>
      <c r="C34" s="377"/>
      <c r="D34" s="41"/>
      <c r="E34" s="34"/>
    </row>
    <row r="35" spans="1:5" ht="18.75">
      <c r="A35" s="253" t="s">
        <v>1264</v>
      </c>
      <c r="B35" s="254" t="s">
        <v>1265</v>
      </c>
      <c r="C35" s="570"/>
      <c r="D35" s="41"/>
      <c r="E35" s="34"/>
    </row>
    <row r="36" spans="1:5" ht="18.75">
      <c r="A36" s="253" t="s">
        <v>1335</v>
      </c>
      <c r="B36" s="562" t="s">
        <v>548</v>
      </c>
      <c r="C36" s="570">
        <f>SUM(C31:C35)</f>
        <v>0</v>
      </c>
      <c r="D36" s="570">
        <f>SUM(D31:D35)</f>
        <v>0</v>
      </c>
      <c r="E36" s="570">
        <f>SUM(E31:E35)</f>
        <v>0</v>
      </c>
    </row>
    <row r="37" spans="1:5" ht="18.75">
      <c r="A37" s="253" t="s">
        <v>1342</v>
      </c>
      <c r="B37" s="254" t="s">
        <v>1343</v>
      </c>
      <c r="C37" s="570"/>
      <c r="D37" s="570"/>
      <c r="E37" s="570"/>
    </row>
    <row r="38" spans="1:5" ht="18.75">
      <c r="A38" s="253" t="s">
        <v>1344</v>
      </c>
      <c r="B38" s="254" t="s">
        <v>1267</v>
      </c>
      <c r="C38" s="570"/>
      <c r="D38" s="34"/>
      <c r="E38" s="34"/>
    </row>
    <row r="39" spans="1:5" ht="18.75">
      <c r="A39" s="253" t="s">
        <v>1345</v>
      </c>
      <c r="B39" s="254" t="s">
        <v>88</v>
      </c>
      <c r="C39" s="570"/>
      <c r="D39" s="34"/>
      <c r="E39" s="34"/>
    </row>
    <row r="40" spans="1:5" ht="18.75">
      <c r="A40" s="253" t="s">
        <v>1346</v>
      </c>
      <c r="B40" s="254" t="s">
        <v>1268</v>
      </c>
      <c r="C40" s="377"/>
      <c r="D40" s="34"/>
      <c r="E40" s="34"/>
    </row>
    <row r="41" spans="1:5" ht="19.5" thickBot="1">
      <c r="A41" s="288" t="s">
        <v>1347</v>
      </c>
      <c r="B41" s="289" t="s">
        <v>1269</v>
      </c>
      <c r="C41" s="377">
        <v>100</v>
      </c>
      <c r="D41" s="34">
        <v>10</v>
      </c>
      <c r="E41" s="34">
        <v>100</v>
      </c>
    </row>
    <row r="42" spans="1:5" ht="17.25" customHeight="1" thickBot="1">
      <c r="A42" s="268" t="s">
        <v>1266</v>
      </c>
      <c r="B42" s="571" t="s">
        <v>1270</v>
      </c>
      <c r="C42" s="377">
        <f>SUM(C37:C41)</f>
        <v>100</v>
      </c>
      <c r="D42" s="377">
        <f>SUM(D38:D41)</f>
        <v>10</v>
      </c>
      <c r="E42" s="377">
        <f>SUM(E38:E41)</f>
        <v>100</v>
      </c>
    </row>
    <row r="43" spans="1:5" ht="22.5" customHeight="1" thickBot="1">
      <c r="A43" s="572" t="s">
        <v>1300</v>
      </c>
      <c r="B43" s="573" t="s">
        <v>595</v>
      </c>
      <c r="C43" s="574">
        <f>SUM(C42,C36)</f>
        <v>100</v>
      </c>
      <c r="D43" s="574">
        <f>SUM(D42,D36)</f>
        <v>10</v>
      </c>
      <c r="E43" s="574">
        <f>SUM(E42,E36)</f>
        <v>100</v>
      </c>
    </row>
    <row r="44" spans="1:5" ht="18.75">
      <c r="A44" s="249" t="s">
        <v>1271</v>
      </c>
      <c r="B44" s="291" t="s">
        <v>1348</v>
      </c>
      <c r="C44" s="377"/>
      <c r="D44" s="34"/>
      <c r="E44" s="34"/>
    </row>
    <row r="45" spans="1:5" ht="18.75">
      <c r="A45" s="494" t="s">
        <v>1350</v>
      </c>
      <c r="B45" s="590" t="s">
        <v>1351</v>
      </c>
      <c r="C45" s="377"/>
      <c r="D45" s="34"/>
      <c r="E45" s="34"/>
    </row>
    <row r="46" spans="1:5" ht="18.75">
      <c r="A46" s="253" t="s">
        <v>1272</v>
      </c>
      <c r="B46" s="254" t="s">
        <v>1349</v>
      </c>
      <c r="C46" s="295"/>
      <c r="D46" s="566"/>
      <c r="E46" s="34"/>
    </row>
    <row r="47" spans="1:5" ht="18.75">
      <c r="A47" s="575" t="s">
        <v>1301</v>
      </c>
      <c r="B47" s="576" t="s">
        <v>1366</v>
      </c>
      <c r="C47" s="577">
        <f>SUM(C44:C46)</f>
        <v>0</v>
      </c>
      <c r="D47" s="577">
        <f>SUM(D44:D46)</f>
        <v>0</v>
      </c>
      <c r="E47" s="577">
        <f>SUM(E44:E46)</f>
        <v>0</v>
      </c>
    </row>
    <row r="48" spans="1:5" ht="18.75">
      <c r="A48" s="253" t="s">
        <v>1275</v>
      </c>
      <c r="B48" s="254" t="s">
        <v>544</v>
      </c>
      <c r="C48" s="295"/>
      <c r="D48" s="566"/>
      <c r="E48" s="34"/>
    </row>
    <row r="49" spans="1:5" ht="18.75">
      <c r="A49" s="253" t="s">
        <v>1274</v>
      </c>
      <c r="B49" s="254" t="s">
        <v>543</v>
      </c>
      <c r="C49" s="295"/>
      <c r="D49" s="34"/>
      <c r="E49" s="34"/>
    </row>
    <row r="50" spans="1:5" ht="18.75">
      <c r="A50" s="253" t="s">
        <v>1276</v>
      </c>
      <c r="B50" s="254" t="s">
        <v>503</v>
      </c>
      <c r="C50" s="295"/>
      <c r="D50" s="34"/>
      <c r="E50" s="34"/>
    </row>
    <row r="51" spans="1:5" ht="18.75">
      <c r="A51" s="575" t="s">
        <v>1273</v>
      </c>
      <c r="B51" s="576" t="s">
        <v>1277</v>
      </c>
      <c r="C51" s="577">
        <f>SUM(C48:C50)</f>
        <v>0</v>
      </c>
      <c r="D51" s="577">
        <f>SUM(D48:D50)</f>
        <v>0</v>
      </c>
      <c r="E51" s="577">
        <f>SUM(E48:E50)</f>
        <v>0</v>
      </c>
    </row>
    <row r="52" spans="1:5" ht="18.75">
      <c r="A52" s="253" t="s">
        <v>1332</v>
      </c>
      <c r="B52" s="254" t="s">
        <v>1278</v>
      </c>
      <c r="C52" s="295">
        <v>700</v>
      </c>
      <c r="D52" s="34">
        <v>580</v>
      </c>
      <c r="E52" s="34"/>
    </row>
    <row r="53" spans="1:5" ht="18.75">
      <c r="A53" s="253" t="s">
        <v>1280</v>
      </c>
      <c r="B53" s="254" t="s">
        <v>26</v>
      </c>
      <c r="C53" s="295">
        <v>200</v>
      </c>
      <c r="D53" s="41">
        <v>123</v>
      </c>
      <c r="E53" s="34">
        <v>200</v>
      </c>
    </row>
    <row r="54" spans="1:5" ht="18.75">
      <c r="A54" s="253" t="s">
        <v>1281</v>
      </c>
      <c r="B54" s="254" t="s">
        <v>1352</v>
      </c>
      <c r="C54" s="377"/>
      <c r="D54" s="34"/>
      <c r="E54" s="34"/>
    </row>
    <row r="55" spans="1:5" ht="18.75">
      <c r="A55" s="575" t="s">
        <v>1283</v>
      </c>
      <c r="B55" s="576" t="s">
        <v>1282</v>
      </c>
      <c r="C55" s="574">
        <f>SUM(C53:C54)</f>
        <v>200</v>
      </c>
      <c r="D55" s="574">
        <f>SUM(D53:D54)</f>
        <v>123</v>
      </c>
      <c r="E55" s="574">
        <f>SUM(E53:E54)</f>
        <v>200</v>
      </c>
    </row>
    <row r="56" spans="1:5" s="3" customFormat="1" ht="18.75">
      <c r="A56" s="575" t="s">
        <v>1284</v>
      </c>
      <c r="B56" s="588" t="s">
        <v>1333</v>
      </c>
      <c r="C56" s="588">
        <v>3400</v>
      </c>
      <c r="D56" s="588">
        <v>3212</v>
      </c>
      <c r="E56" s="588">
        <v>3400</v>
      </c>
    </row>
    <row r="57" spans="1:5" ht="18.75">
      <c r="A57" s="288"/>
      <c r="B57" s="554" t="s">
        <v>943</v>
      </c>
      <c r="C57" s="554"/>
      <c r="D57" s="554"/>
      <c r="E57" s="554"/>
    </row>
    <row r="58" spans="1:5" ht="18.75">
      <c r="A58" s="288" t="s">
        <v>1353</v>
      </c>
      <c r="B58" s="554" t="s">
        <v>547</v>
      </c>
      <c r="C58" s="554"/>
      <c r="D58" s="554"/>
      <c r="E58" s="554"/>
    </row>
    <row r="59" spans="1:5" ht="18.75">
      <c r="A59" s="288" t="s">
        <v>1354</v>
      </c>
      <c r="B59" s="554" t="s">
        <v>1355</v>
      </c>
      <c r="C59" s="554"/>
      <c r="D59" s="554"/>
      <c r="E59" s="554"/>
    </row>
    <row r="60" spans="1:5" ht="27" customHeight="1">
      <c r="A60" s="561" t="s">
        <v>1285</v>
      </c>
      <c r="B60" s="552" t="s">
        <v>945</v>
      </c>
      <c r="C60" s="591">
        <f>SUM(C58:C59)</f>
        <v>0</v>
      </c>
      <c r="D60" s="591">
        <f>SUM(D58:D59)</f>
        <v>0</v>
      </c>
      <c r="E60" s="591">
        <f>SUM(E58:E59)</f>
        <v>0</v>
      </c>
    </row>
    <row r="61" spans="1:5" ht="23.25" customHeight="1">
      <c r="A61" s="462" t="s">
        <v>1356</v>
      </c>
      <c r="B61" s="553" t="s">
        <v>1362</v>
      </c>
      <c r="C61" s="591"/>
      <c r="D61" s="591"/>
      <c r="E61" s="591"/>
    </row>
    <row r="62" spans="1:5" ht="23.25" customHeight="1">
      <c r="A62" s="462" t="s">
        <v>1357</v>
      </c>
      <c r="B62" s="553" t="s">
        <v>1358</v>
      </c>
      <c r="C62" s="591"/>
      <c r="D62" s="591"/>
      <c r="E62" s="591"/>
    </row>
    <row r="63" spans="1:5" ht="23.25" customHeight="1">
      <c r="A63" s="462" t="s">
        <v>1359</v>
      </c>
      <c r="B63" s="553" t="s">
        <v>9</v>
      </c>
      <c r="C63" s="591"/>
      <c r="D63" s="591"/>
      <c r="E63" s="591"/>
    </row>
    <row r="64" spans="1:6" ht="23.25" customHeight="1" thickBot="1">
      <c r="A64" s="462" t="s">
        <v>1360</v>
      </c>
      <c r="B64" s="553" t="s">
        <v>1361</v>
      </c>
      <c r="C64" s="591">
        <v>100</v>
      </c>
      <c r="D64" s="591">
        <v>87</v>
      </c>
      <c r="E64" s="591">
        <v>100</v>
      </c>
      <c r="F64" s="21" t="s">
        <v>1368</v>
      </c>
    </row>
    <row r="65" spans="1:5" ht="17.25" customHeight="1" thickBot="1">
      <c r="A65" s="298" t="s">
        <v>1286</v>
      </c>
      <c r="B65" s="552" t="s">
        <v>948</v>
      </c>
      <c r="C65" s="591">
        <f>SUM(C61:C64)</f>
        <v>100</v>
      </c>
      <c r="D65" s="591">
        <f>SUM(D61:D64)</f>
        <v>87</v>
      </c>
      <c r="E65" s="591">
        <f>SUM(E61:E64)</f>
        <v>100</v>
      </c>
    </row>
    <row r="66" spans="1:5" ht="25.5" customHeight="1">
      <c r="A66" s="578" t="s">
        <v>1279</v>
      </c>
      <c r="B66" s="579" t="s">
        <v>1287</v>
      </c>
      <c r="C66" s="579">
        <f>SUM(C65+C60+C56+C55+C52)</f>
        <v>4400</v>
      </c>
      <c r="D66" s="579">
        <f>SUM(D65+D60+D56+D55+D52)</f>
        <v>4002</v>
      </c>
      <c r="E66" s="579">
        <f>SUM(E65+E60+E56+E55+E52)</f>
        <v>3700</v>
      </c>
    </row>
    <row r="67" spans="1:5" ht="18.75">
      <c r="A67" s="253" t="s">
        <v>1288</v>
      </c>
      <c r="B67" s="553" t="s">
        <v>952</v>
      </c>
      <c r="C67" s="553"/>
      <c r="D67" s="553"/>
      <c r="E67" s="553"/>
    </row>
    <row r="68" spans="1:5" ht="18.75">
      <c r="A68" s="253" t="s">
        <v>1289</v>
      </c>
      <c r="B68" s="553" t="s">
        <v>954</v>
      </c>
      <c r="C68" s="553"/>
      <c r="D68" s="553"/>
      <c r="E68" s="553"/>
    </row>
    <row r="69" spans="1:5" ht="24" customHeight="1">
      <c r="A69" s="575" t="s">
        <v>1291</v>
      </c>
      <c r="B69" s="579" t="s">
        <v>1290</v>
      </c>
      <c r="C69" s="579">
        <f>SUM(C67:C68)</f>
        <v>0</v>
      </c>
      <c r="D69" s="579">
        <f>SUM(D67:D68)</f>
        <v>0</v>
      </c>
      <c r="E69" s="579">
        <f>SUM(E67:E68)</f>
        <v>0</v>
      </c>
    </row>
    <row r="70" spans="1:7" ht="26.25" customHeight="1" thickBot="1">
      <c r="A70" s="561" t="s">
        <v>1294</v>
      </c>
      <c r="B70" s="552" t="s">
        <v>958</v>
      </c>
      <c r="C70" s="552">
        <v>1215</v>
      </c>
      <c r="D70" s="552">
        <v>1004</v>
      </c>
      <c r="E70" s="552">
        <v>1026</v>
      </c>
      <c r="F70" s="597">
        <f>E43+E47+E51+E52+E55+E56+E60+E63+E64</f>
        <v>3800</v>
      </c>
      <c r="G70" s="21">
        <f>F70*27%</f>
        <v>1026</v>
      </c>
    </row>
    <row r="71" spans="1:5" ht="27" customHeight="1" thickBot="1">
      <c r="A71" s="268" t="s">
        <v>1295</v>
      </c>
      <c r="B71" s="552" t="s">
        <v>960</v>
      </c>
      <c r="C71" s="552"/>
      <c r="D71" s="552"/>
      <c r="E71" s="552"/>
    </row>
    <row r="72" spans="1:5" ht="19.5" thickBot="1">
      <c r="A72" s="210" t="s">
        <v>1296</v>
      </c>
      <c r="B72" s="552" t="s">
        <v>1293</v>
      </c>
      <c r="C72" s="552"/>
      <c r="D72" s="552"/>
      <c r="E72" s="552"/>
    </row>
    <row r="73" spans="1:5" ht="24.75" customHeight="1">
      <c r="A73" s="593" t="s">
        <v>1298</v>
      </c>
      <c r="B73" s="594" t="s">
        <v>1363</v>
      </c>
      <c r="C73" s="594"/>
      <c r="D73" s="552"/>
      <c r="E73" s="552"/>
    </row>
    <row r="74" spans="1:6" ht="24.75" customHeight="1">
      <c r="A74" s="592" t="s">
        <v>1364</v>
      </c>
      <c r="B74" s="563" t="s">
        <v>1365</v>
      </c>
      <c r="C74" s="563"/>
      <c r="D74" s="553"/>
      <c r="E74" s="553"/>
      <c r="F74" s="21" t="s">
        <v>1369</v>
      </c>
    </row>
    <row r="75" spans="1:5" ht="24.75" customHeight="1">
      <c r="A75" s="592" t="s">
        <v>1370</v>
      </c>
      <c r="B75" s="563" t="s">
        <v>1367</v>
      </c>
      <c r="C75" s="563"/>
      <c r="D75" s="553"/>
      <c r="E75" s="553"/>
    </row>
    <row r="76" spans="1:5" ht="18.75">
      <c r="A76" s="98" t="s">
        <v>1297</v>
      </c>
      <c r="B76" s="552" t="s">
        <v>970</v>
      </c>
      <c r="C76" s="552">
        <f>SUM(C74:C75)</f>
        <v>0</v>
      </c>
      <c r="D76" s="552">
        <f>SUM(D74:D75)</f>
        <v>0</v>
      </c>
      <c r="E76" s="552">
        <f>SUM(E74:E75)</f>
        <v>0</v>
      </c>
    </row>
    <row r="77" spans="1:5" ht="24.75" customHeight="1">
      <c r="A77" s="580" t="s">
        <v>1292</v>
      </c>
      <c r="B77" s="579" t="s">
        <v>1334</v>
      </c>
      <c r="C77" s="579">
        <f>C76+C73+C72+C71+C70</f>
        <v>1215</v>
      </c>
      <c r="D77" s="579">
        <f>D76+D73+D72+D71+D70</f>
        <v>1004</v>
      </c>
      <c r="E77" s="579">
        <f>E76+E73+E72+E71+E70</f>
        <v>1026</v>
      </c>
    </row>
    <row r="78" spans="1:10" ht="24.75" customHeight="1">
      <c r="A78" s="587" t="s">
        <v>1299</v>
      </c>
      <c r="B78" s="585" t="s">
        <v>70</v>
      </c>
      <c r="C78" s="579">
        <f>SUM(C77+C69+C66+C47+C43)</f>
        <v>5715</v>
      </c>
      <c r="D78" s="579">
        <f>SUM(D77+D69+D66+D47+D43)</f>
        <v>5016</v>
      </c>
      <c r="E78" s="579">
        <f>SUM(E77+E69+E66+E47+E43)</f>
        <v>4826</v>
      </c>
      <c r="F78" s="560"/>
      <c r="G78" s="560"/>
      <c r="H78" s="560"/>
      <c r="I78" s="560"/>
      <c r="J78" s="560"/>
    </row>
    <row r="79" spans="1:10" ht="24.75" customHeight="1">
      <c r="A79" s="98" t="s">
        <v>1307</v>
      </c>
      <c r="B79" s="553" t="s">
        <v>1302</v>
      </c>
      <c r="C79" s="552"/>
      <c r="D79" s="552"/>
      <c r="E79" s="552"/>
      <c r="F79" s="560"/>
      <c r="G79" s="560"/>
      <c r="H79" s="560"/>
      <c r="I79" s="560"/>
      <c r="J79" s="560"/>
    </row>
    <row r="80" spans="1:10" ht="24.75" customHeight="1">
      <c r="A80" s="98" t="s">
        <v>1306</v>
      </c>
      <c r="B80" s="553" t="s">
        <v>1308</v>
      </c>
      <c r="C80" s="552"/>
      <c r="D80" s="552"/>
      <c r="E80" s="552"/>
      <c r="F80" s="560"/>
      <c r="G80" s="560"/>
      <c r="H80" s="560"/>
      <c r="I80" s="560"/>
      <c r="J80" s="560"/>
    </row>
    <row r="81" spans="1:10" ht="24.75" customHeight="1">
      <c r="A81" s="98"/>
      <c r="B81" s="97" t="s">
        <v>1304</v>
      </c>
      <c r="C81" s="552"/>
      <c r="D81" s="552"/>
      <c r="E81" s="552"/>
      <c r="F81" s="560"/>
      <c r="G81" s="560"/>
      <c r="H81" s="560"/>
      <c r="I81" s="560"/>
      <c r="J81" s="560"/>
    </row>
    <row r="82" spans="1:5" ht="18.75">
      <c r="A82" s="98"/>
      <c r="B82" s="97" t="s">
        <v>1303</v>
      </c>
      <c r="C82" s="377"/>
      <c r="D82" s="34"/>
      <c r="E82" s="34"/>
    </row>
    <row r="83" spans="1:5" ht="18.75">
      <c r="A83" s="98"/>
      <c r="B83" s="567" t="s">
        <v>1305</v>
      </c>
      <c r="C83" s="377"/>
      <c r="D83" s="34"/>
      <c r="E83" s="34"/>
    </row>
    <row r="84" spans="1:5" ht="25.5">
      <c r="A84" s="580" t="s">
        <v>1341</v>
      </c>
      <c r="B84" s="579" t="s">
        <v>1337</v>
      </c>
      <c r="C84" s="377">
        <f>SUM(C80:C83)</f>
        <v>0</v>
      </c>
      <c r="D84" s="377">
        <f>SUM(D80:D83)</f>
        <v>0</v>
      </c>
      <c r="E84" s="377">
        <f>SUM(E80:E83)</f>
        <v>0</v>
      </c>
    </row>
    <row r="85" spans="1:5" s="564" customFormat="1" ht="18.75">
      <c r="A85" s="587" t="s">
        <v>1336</v>
      </c>
      <c r="B85" s="587" t="s">
        <v>1340</v>
      </c>
      <c r="C85" s="574">
        <f>SUM(C79+C84)</f>
        <v>0</v>
      </c>
      <c r="D85" s="574">
        <f>SUM(D79+D84)</f>
        <v>0</v>
      </c>
      <c r="E85" s="574">
        <f>SUM(E79+E84)</f>
        <v>0</v>
      </c>
    </row>
    <row r="86" spans="1:5" ht="18.75">
      <c r="A86" s="97" t="s">
        <v>1309</v>
      </c>
      <c r="B86" s="553" t="s">
        <v>1113</v>
      </c>
      <c r="C86" s="553"/>
      <c r="D86" s="553"/>
      <c r="E86" s="553"/>
    </row>
    <row r="87" spans="1:5" s="382" customFormat="1" ht="15">
      <c r="A87" s="97" t="s">
        <v>1310</v>
      </c>
      <c r="B87" s="553" t="s">
        <v>1371</v>
      </c>
      <c r="C87" s="553"/>
      <c r="D87" s="553"/>
      <c r="E87" s="553"/>
    </row>
    <row r="88" spans="1:5" ht="18.75">
      <c r="A88" s="172" t="s">
        <v>1311</v>
      </c>
      <c r="B88" s="553" t="s">
        <v>1117</v>
      </c>
      <c r="C88" s="553"/>
      <c r="D88" s="553"/>
      <c r="E88" s="553"/>
    </row>
    <row r="89" spans="1:5" ht="24" customHeight="1">
      <c r="A89" s="172" t="s">
        <v>1312</v>
      </c>
      <c r="B89" s="553" t="s">
        <v>1118</v>
      </c>
      <c r="C89" s="553"/>
      <c r="D89" s="553"/>
      <c r="E89" s="553"/>
    </row>
    <row r="90" spans="1:5" ht="26.25" customHeight="1">
      <c r="A90" s="172" t="s">
        <v>1313</v>
      </c>
      <c r="B90" s="553" t="s">
        <v>1120</v>
      </c>
      <c r="C90" s="553"/>
      <c r="D90" s="553"/>
      <c r="E90" s="553"/>
    </row>
    <row r="91" spans="1:5" ht="25.5" customHeight="1">
      <c r="A91" s="172" t="s">
        <v>1314</v>
      </c>
      <c r="B91" s="553" t="s">
        <v>1126</v>
      </c>
      <c r="C91" s="553"/>
      <c r="D91" s="553"/>
      <c r="E91" s="553"/>
    </row>
    <row r="92" spans="1:5" ht="18.75">
      <c r="A92" s="584" t="s">
        <v>1315</v>
      </c>
      <c r="B92" s="585" t="s">
        <v>1339</v>
      </c>
      <c r="C92" s="552">
        <f>SUM(C86:C91)</f>
        <v>0</v>
      </c>
      <c r="D92" s="552">
        <f>SUM(D86:D91)</f>
        <v>0</v>
      </c>
      <c r="E92" s="552">
        <f>SUM(E86:E91)</f>
        <v>0</v>
      </c>
    </row>
    <row r="93" spans="1:5" ht="18.75">
      <c r="A93" s="172" t="s">
        <v>1316</v>
      </c>
      <c r="B93" s="553" t="s">
        <v>1130</v>
      </c>
      <c r="C93" s="553"/>
      <c r="D93" s="553"/>
      <c r="E93" s="553"/>
    </row>
    <row r="94" spans="1:5" ht="18.75">
      <c r="A94" s="172" t="s">
        <v>1317</v>
      </c>
      <c r="B94" s="553" t="s">
        <v>1132</v>
      </c>
      <c r="C94" s="553"/>
      <c r="D94" s="553"/>
      <c r="E94" s="553"/>
    </row>
    <row r="95" spans="1:5" ht="18.75">
      <c r="A95" s="172" t="s">
        <v>1318</v>
      </c>
      <c r="B95" s="553" t="s">
        <v>1134</v>
      </c>
      <c r="C95" s="553"/>
      <c r="D95" s="553"/>
      <c r="E95" s="553"/>
    </row>
    <row r="96" spans="1:5" ht="24" customHeight="1">
      <c r="A96" s="172" t="s">
        <v>1319</v>
      </c>
      <c r="B96" s="553" t="s">
        <v>1136</v>
      </c>
      <c r="C96" s="553"/>
      <c r="D96" s="553"/>
      <c r="E96" s="553"/>
    </row>
    <row r="97" spans="1:5" ht="18.75">
      <c r="A97" s="584" t="s">
        <v>1320</v>
      </c>
      <c r="B97" s="585" t="s">
        <v>1338</v>
      </c>
      <c r="C97" s="552">
        <f>SUM(C93:C96)</f>
        <v>0</v>
      </c>
      <c r="D97" s="552">
        <f>SUM(D93:D96)</f>
        <v>0</v>
      </c>
      <c r="E97" s="552">
        <f>SUM(E93:E96)</f>
        <v>0</v>
      </c>
    </row>
    <row r="98" spans="1:5" ht="25.5" customHeight="1">
      <c r="A98" s="172" t="s">
        <v>1323</v>
      </c>
      <c r="B98" s="555" t="s">
        <v>1325</v>
      </c>
      <c r="C98" s="555"/>
      <c r="D98" s="555"/>
      <c r="E98" s="555"/>
    </row>
    <row r="99" spans="1:5" ht="27" customHeight="1">
      <c r="A99" s="457" t="s">
        <v>1322</v>
      </c>
      <c r="B99" s="553" t="s">
        <v>1321</v>
      </c>
      <c r="C99" s="553"/>
      <c r="D99" s="553"/>
      <c r="E99" s="553"/>
    </row>
    <row r="100" spans="1:5" ht="18.75">
      <c r="A100" s="584" t="s">
        <v>1326</v>
      </c>
      <c r="B100" s="586" t="s">
        <v>1324</v>
      </c>
      <c r="C100" s="295">
        <f>SUM(C98:C99)</f>
        <v>0</v>
      </c>
      <c r="D100" s="295">
        <f>SUM(D98:D99)</f>
        <v>0</v>
      </c>
      <c r="E100" s="295">
        <f>SUM(E98:E99)</f>
        <v>0</v>
      </c>
    </row>
    <row r="101" spans="1:5" ht="18.75">
      <c r="A101" s="34"/>
      <c r="B101" s="36" t="s">
        <v>118</v>
      </c>
      <c r="C101" s="581">
        <f>SUM(C100+C97+C92+C85+C78+C29+C23)</f>
        <v>5715</v>
      </c>
      <c r="D101" s="581">
        <f>SUM(D100+D97+D92+D85+D78+D29+D23)</f>
        <v>5016</v>
      </c>
      <c r="E101" s="581">
        <f>SUM(E100+E97+E92+E85+E78+E29+E23)</f>
        <v>4826</v>
      </c>
    </row>
  </sheetData>
  <sheetProtection/>
  <mergeCells count="1">
    <mergeCell ref="A2:E2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3:G15"/>
  <sheetViews>
    <sheetView view="pageBreakPreview" zoomScale="60" zoomScalePageLayoutView="0" workbookViewId="0" topLeftCell="A1">
      <selection activeCell="F9" sqref="F9"/>
    </sheetView>
  </sheetViews>
  <sheetFormatPr defaultColWidth="8.66015625" defaultRowHeight="18"/>
  <cols>
    <col min="1" max="1" width="9.08203125" style="21" bestFit="1" customWidth="1"/>
    <col min="2" max="2" width="32.66015625" style="21" customWidth="1"/>
    <col min="3" max="3" width="7.75" style="21" customWidth="1"/>
    <col min="4" max="4" width="8.25" style="21" customWidth="1"/>
    <col min="5" max="5" width="10.91015625" style="21" customWidth="1"/>
    <col min="6" max="16384" width="8.91015625" style="21" customWidth="1"/>
  </cols>
  <sheetData>
    <row r="3" spans="1:2" ht="19.5" thickBot="1">
      <c r="A3" s="3">
        <v>750000</v>
      </c>
      <c r="B3" s="105" t="s">
        <v>191</v>
      </c>
    </row>
    <row r="4" spans="1:7" ht="19.5" thickBot="1">
      <c r="A4" s="32"/>
      <c r="C4" s="21" t="s">
        <v>262</v>
      </c>
      <c r="D4" s="16" t="s">
        <v>281</v>
      </c>
      <c r="E4" s="80">
        <v>41695</v>
      </c>
      <c r="F4" t="s">
        <v>615</v>
      </c>
      <c r="G4" t="s">
        <v>616</v>
      </c>
    </row>
    <row r="6" spans="1:7" ht="18.75">
      <c r="A6" s="34"/>
      <c r="B6" s="34"/>
      <c r="C6" s="36"/>
      <c r="D6" s="36"/>
      <c r="E6" s="34"/>
      <c r="F6" s="34"/>
      <c r="G6" s="34"/>
    </row>
    <row r="7" spans="1:7" ht="18.75">
      <c r="A7" s="34">
        <v>55219</v>
      </c>
      <c r="B7" s="34" t="s">
        <v>86</v>
      </c>
      <c r="C7" s="34">
        <v>4</v>
      </c>
      <c r="D7" s="34">
        <v>4</v>
      </c>
      <c r="E7" s="42">
        <v>4</v>
      </c>
      <c r="F7" s="34"/>
      <c r="G7" s="34"/>
    </row>
    <row r="8" spans="1:7" ht="18.75">
      <c r="A8" s="34">
        <v>5531</v>
      </c>
      <c r="B8" s="34" t="s">
        <v>87</v>
      </c>
      <c r="C8" s="34">
        <v>200</v>
      </c>
      <c r="D8" s="34">
        <v>200</v>
      </c>
      <c r="E8" s="36">
        <v>250</v>
      </c>
      <c r="F8" s="34">
        <v>250</v>
      </c>
      <c r="G8" s="34">
        <v>250</v>
      </c>
    </row>
    <row r="9" spans="1:7" ht="18.75">
      <c r="A9" s="34">
        <v>55</v>
      </c>
      <c r="B9" s="34" t="s">
        <v>51</v>
      </c>
      <c r="C9" s="34">
        <f>SUM(C7:C8)</f>
        <v>204</v>
      </c>
      <c r="D9" s="34">
        <f>SUM(D7:D8)</f>
        <v>204</v>
      </c>
      <c r="E9" s="36">
        <f>SUM(E7:E8)</f>
        <v>254</v>
      </c>
      <c r="F9" s="36">
        <f>SUM(F7:F8)</f>
        <v>250</v>
      </c>
      <c r="G9" s="36">
        <f>SUM(G7:G8)</f>
        <v>250</v>
      </c>
    </row>
    <row r="10" spans="1:7" ht="18.75">
      <c r="A10" s="34"/>
      <c r="B10" s="34"/>
      <c r="C10" s="34"/>
      <c r="D10" s="34"/>
      <c r="E10" s="34"/>
      <c r="F10" s="34"/>
      <c r="G10" s="34"/>
    </row>
    <row r="11" spans="1:7" ht="18.75">
      <c r="A11" s="34">
        <v>56111</v>
      </c>
      <c r="B11" s="34" t="s">
        <v>54</v>
      </c>
      <c r="C11" s="34"/>
      <c r="D11" s="34"/>
      <c r="E11" s="34"/>
      <c r="F11" s="34"/>
      <c r="G11" s="34"/>
    </row>
    <row r="12" spans="1:7" ht="18.75">
      <c r="A12" s="34"/>
      <c r="B12" s="34"/>
      <c r="C12" s="34"/>
      <c r="D12" s="34"/>
      <c r="E12" s="34"/>
      <c r="F12" s="34"/>
      <c r="G12" s="34"/>
    </row>
    <row r="13" spans="1:7" ht="18.75">
      <c r="A13" s="34"/>
      <c r="B13" s="34" t="s">
        <v>70</v>
      </c>
      <c r="C13" s="34">
        <f>SUM(C9,C11)</f>
        <v>204</v>
      </c>
      <c r="D13" s="34">
        <f>SUM(D9,D11)</f>
        <v>204</v>
      </c>
      <c r="E13" s="36">
        <f>SUM(E9,E11)</f>
        <v>254</v>
      </c>
      <c r="F13" s="36">
        <f>SUM(F9,F11)</f>
        <v>250</v>
      </c>
      <c r="G13" s="36">
        <f>SUM(G9,G11)</f>
        <v>250</v>
      </c>
    </row>
    <row r="14" spans="1:7" ht="18.75">
      <c r="A14" s="34"/>
      <c r="B14" s="34"/>
      <c r="C14" s="34"/>
      <c r="D14" s="34"/>
      <c r="E14" s="34"/>
      <c r="F14" s="34"/>
      <c r="G14" s="34"/>
    </row>
    <row r="15" spans="1:7" ht="18.75">
      <c r="A15" s="36"/>
      <c r="B15" s="36" t="s">
        <v>0</v>
      </c>
      <c r="C15" s="34">
        <f>SUM(C13)</f>
        <v>204</v>
      </c>
      <c r="D15" s="34">
        <f>SUM(D13)</f>
        <v>204</v>
      </c>
      <c r="E15" s="36">
        <f>SUM(E13)</f>
        <v>254</v>
      </c>
      <c r="F15" s="36">
        <f>SUM(F13)</f>
        <v>250</v>
      </c>
      <c r="G15" s="36">
        <f>SUM(G13)</f>
        <v>250</v>
      </c>
    </row>
  </sheetData>
  <sheetProtection/>
  <printOptions/>
  <pageMargins left="0.7" right="0.7" top="0.75" bottom="0.75" header="0.3" footer="0.3"/>
  <pageSetup horizontalDpi="300" verticalDpi="300" orientation="portrait" paperSize="9" scale="7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C00000"/>
  </sheetPr>
  <dimension ref="A2:J101"/>
  <sheetViews>
    <sheetView zoomScalePageLayoutView="0" workbookViewId="0" topLeftCell="A52">
      <selection activeCell="D62" sqref="D62"/>
    </sheetView>
  </sheetViews>
  <sheetFormatPr defaultColWidth="8.41015625" defaultRowHeight="18"/>
  <cols>
    <col min="1" max="1" width="8.41015625" style="21" customWidth="1"/>
    <col min="2" max="2" width="29.41015625" style="21" customWidth="1"/>
    <col min="3" max="3" width="8" style="382" customWidth="1"/>
    <col min="4" max="4" width="7.33203125" style="21" customWidth="1"/>
    <col min="5" max="5" width="7.75" style="21" customWidth="1"/>
    <col min="6" max="249" width="7.08203125" style="21" customWidth="1"/>
    <col min="250" max="16384" width="8.41015625" style="21" customWidth="1"/>
  </cols>
  <sheetData>
    <row r="2" spans="1:5" ht="18.75">
      <c r="A2" s="620" t="s">
        <v>1331</v>
      </c>
      <c r="B2" s="620"/>
      <c r="C2" s="620"/>
      <c r="D2" s="620"/>
      <c r="E2" s="620"/>
    </row>
    <row r="3" ht="19.5" thickBot="1">
      <c r="C3" s="243"/>
    </row>
    <row r="4" spans="1:5" ht="19.5" thickBot="1">
      <c r="A4" s="595">
        <v>750000</v>
      </c>
      <c r="B4" s="245" t="s">
        <v>1382</v>
      </c>
      <c r="C4" s="421" t="s">
        <v>616</v>
      </c>
      <c r="D4" s="41" t="s">
        <v>626</v>
      </c>
      <c r="E4" s="34">
        <v>2016</v>
      </c>
    </row>
    <row r="5" spans="1:5" ht="19.5" thickBot="1">
      <c r="A5" s="596" t="s">
        <v>1383</v>
      </c>
      <c r="B5" s="210"/>
      <c r="C5" s="295"/>
      <c r="D5" s="34"/>
      <c r="E5" s="34"/>
    </row>
    <row r="6" spans="1:5" ht="18.75">
      <c r="A6" s="249" t="s">
        <v>819</v>
      </c>
      <c r="B6" s="250" t="s">
        <v>1238</v>
      </c>
      <c r="C6" s="376"/>
      <c r="D6" s="565"/>
      <c r="E6" s="565"/>
    </row>
    <row r="7" spans="1:5" ht="18.75">
      <c r="A7" s="253" t="s">
        <v>822</v>
      </c>
      <c r="B7" s="254" t="s">
        <v>821</v>
      </c>
      <c r="C7" s="377"/>
      <c r="D7" s="34"/>
      <c r="E7" s="34"/>
    </row>
    <row r="8" spans="1:5" ht="18.75">
      <c r="A8" s="253" t="s">
        <v>823</v>
      </c>
      <c r="B8" s="254" t="s">
        <v>820</v>
      </c>
      <c r="C8" s="377"/>
      <c r="D8" s="34"/>
      <c r="E8" s="381"/>
    </row>
    <row r="9" spans="1:5" ht="18.75">
      <c r="A9" s="253" t="s">
        <v>825</v>
      </c>
      <c r="B9" s="254" t="s">
        <v>824</v>
      </c>
      <c r="C9" s="377"/>
      <c r="D9" s="34"/>
      <c r="E9" s="34"/>
    </row>
    <row r="10" spans="1:5" ht="18.75">
      <c r="A10" s="253" t="s">
        <v>826</v>
      </c>
      <c r="B10" s="260" t="s">
        <v>1239</v>
      </c>
      <c r="C10" s="377"/>
      <c r="D10" s="34"/>
      <c r="E10" s="34"/>
    </row>
    <row r="11" spans="1:5" ht="18.75">
      <c r="A11" s="253" t="s">
        <v>1233</v>
      </c>
      <c r="B11" s="260" t="s">
        <v>1240</v>
      </c>
      <c r="C11" s="378"/>
      <c r="D11" s="34"/>
      <c r="E11" s="34"/>
    </row>
    <row r="12" spans="1:5" ht="18.75">
      <c r="A12" s="253" t="s">
        <v>1241</v>
      </c>
      <c r="B12" s="262" t="s">
        <v>1234</v>
      </c>
      <c r="C12" s="377"/>
      <c r="D12" s="34"/>
      <c r="E12" s="34"/>
    </row>
    <row r="13" spans="1:5" ht="18.75">
      <c r="A13" s="253" t="s">
        <v>1242</v>
      </c>
      <c r="B13" s="262" t="s">
        <v>1235</v>
      </c>
      <c r="C13" s="377"/>
      <c r="D13" s="34"/>
      <c r="E13" s="34"/>
    </row>
    <row r="14" spans="1:5" ht="18.75">
      <c r="A14" s="253" t="s">
        <v>1243</v>
      </c>
      <c r="B14" s="254" t="s">
        <v>528</v>
      </c>
      <c r="C14" s="377"/>
      <c r="D14" s="34"/>
      <c r="E14" s="34"/>
    </row>
    <row r="15" spans="1:5" ht="18.75">
      <c r="A15" s="253" t="s">
        <v>1244</v>
      </c>
      <c r="B15" s="254" t="s">
        <v>1236</v>
      </c>
      <c r="C15" s="377"/>
      <c r="D15" s="34"/>
      <c r="E15" s="34"/>
    </row>
    <row r="16" spans="1:5" ht="19.5" thickBot="1">
      <c r="A16" s="264" t="s">
        <v>1245</v>
      </c>
      <c r="B16" s="265" t="s">
        <v>791</v>
      </c>
      <c r="C16" s="377"/>
      <c r="D16" s="34"/>
      <c r="E16" s="34"/>
    </row>
    <row r="17" spans="1:5" ht="19.5" thickBot="1">
      <c r="A17" s="568" t="s">
        <v>1327</v>
      </c>
      <c r="B17" s="569" t="s">
        <v>1249</v>
      </c>
      <c r="C17" s="379">
        <f>SUM(C6:C16)</f>
        <v>0</v>
      </c>
      <c r="D17" s="379">
        <f>SUM(D6:D16)</f>
        <v>0</v>
      </c>
      <c r="E17" s="379">
        <f>SUM(E6:E16)</f>
        <v>0</v>
      </c>
    </row>
    <row r="18" spans="1:5" ht="19.5" thickBot="1">
      <c r="A18" s="557" t="s">
        <v>1329</v>
      </c>
      <c r="B18" s="558" t="s">
        <v>1248</v>
      </c>
      <c r="C18" s="377"/>
      <c r="D18" s="34"/>
      <c r="E18" s="34"/>
    </row>
    <row r="19" spans="1:5" ht="19.5" thickBot="1">
      <c r="A19" s="557" t="s">
        <v>1328</v>
      </c>
      <c r="B19" s="558" t="s">
        <v>1246</v>
      </c>
      <c r="C19" s="377"/>
      <c r="D19" s="34"/>
      <c r="E19" s="34"/>
    </row>
    <row r="20" spans="1:5" ht="19.5" thickBot="1">
      <c r="A20" s="557" t="s">
        <v>1253</v>
      </c>
      <c r="B20" s="558" t="s">
        <v>19</v>
      </c>
      <c r="C20" s="377"/>
      <c r="D20" s="34"/>
      <c r="E20" s="34"/>
    </row>
    <row r="21" spans="1:5" ht="19.5" thickBot="1">
      <c r="A21" s="557" t="s">
        <v>1254</v>
      </c>
      <c r="B21" s="558" t="s">
        <v>889</v>
      </c>
      <c r="C21" s="377"/>
      <c r="D21" s="34"/>
      <c r="E21" s="34"/>
    </row>
    <row r="22" spans="1:5" ht="19.5" thickBot="1">
      <c r="A22" s="568" t="s">
        <v>1330</v>
      </c>
      <c r="B22" s="569" t="s">
        <v>1247</v>
      </c>
      <c r="C22" s="377">
        <f>SUM(C18:C21)</f>
        <v>0</v>
      </c>
      <c r="D22" s="377">
        <f>SUM(D18:D21)</f>
        <v>0</v>
      </c>
      <c r="E22" s="377">
        <f>SUM(E18:E21)</f>
        <v>0</v>
      </c>
    </row>
    <row r="23" spans="1:5" ht="27" customHeight="1" thickBot="1">
      <c r="A23" s="268" t="s">
        <v>1250</v>
      </c>
      <c r="B23" s="269" t="s">
        <v>1237</v>
      </c>
      <c r="C23" s="379">
        <f>SUM(C22,C17)</f>
        <v>0</v>
      </c>
      <c r="D23" s="379">
        <f>SUM(D22,D17)</f>
        <v>0</v>
      </c>
      <c r="E23" s="379">
        <f>SUM(E22,E17)</f>
        <v>0</v>
      </c>
    </row>
    <row r="24" spans="1:5" ht="19.5" thickBot="1">
      <c r="A24" s="270"/>
      <c r="B24" s="271"/>
      <c r="C24" s="377"/>
      <c r="D24" s="34"/>
      <c r="E24" s="34"/>
    </row>
    <row r="25" spans="1:5" ht="18.75">
      <c r="A25" s="272" t="s">
        <v>1255</v>
      </c>
      <c r="B25" s="97" t="s">
        <v>590</v>
      </c>
      <c r="C25" s="275"/>
      <c r="D25" s="44"/>
      <c r="E25" s="34"/>
    </row>
    <row r="26" spans="1:5" ht="18.75">
      <c r="A26" s="559" t="s">
        <v>1256</v>
      </c>
      <c r="B26" s="97" t="s">
        <v>1251</v>
      </c>
      <c r="C26" s="275"/>
      <c r="D26" s="44"/>
      <c r="E26" s="34"/>
    </row>
    <row r="27" spans="1:5" ht="18.75">
      <c r="A27" s="276" t="s">
        <v>1252</v>
      </c>
      <c r="B27" s="255" t="s">
        <v>4</v>
      </c>
      <c r="C27" s="378"/>
      <c r="D27" s="34"/>
      <c r="E27" s="34"/>
    </row>
    <row r="28" spans="1:5" ht="19.5" thickBot="1">
      <c r="A28" s="462" t="s">
        <v>1257</v>
      </c>
      <c r="B28" s="255" t="s">
        <v>635</v>
      </c>
      <c r="C28" s="378"/>
      <c r="D28" s="34"/>
      <c r="E28" s="34"/>
    </row>
    <row r="29" spans="1:5" ht="19.5" thickBot="1">
      <c r="A29" s="582" t="s">
        <v>1258</v>
      </c>
      <c r="B29" s="583" t="s">
        <v>69</v>
      </c>
      <c r="C29" s="378">
        <f>SUM(C25:C28)</f>
        <v>0</v>
      </c>
      <c r="D29" s="378">
        <f>SUM(D25:D28)</f>
        <v>0</v>
      </c>
      <c r="E29" s="378">
        <f>SUM(E25:E28)</f>
        <v>0</v>
      </c>
    </row>
    <row r="30" spans="1:5" ht="19.5" thickBot="1">
      <c r="A30" s="282"/>
      <c r="B30" s="283"/>
      <c r="C30" s="377"/>
      <c r="D30" s="34"/>
      <c r="E30" s="34"/>
    </row>
    <row r="31" spans="1:5" ht="18.75">
      <c r="A31" s="249" t="s">
        <v>1259</v>
      </c>
      <c r="B31" s="291" t="s">
        <v>533</v>
      </c>
      <c r="C31" s="377"/>
      <c r="D31" s="34"/>
      <c r="E31" s="34"/>
    </row>
    <row r="32" spans="1:5" ht="18.75">
      <c r="A32" s="253" t="s">
        <v>1260</v>
      </c>
      <c r="B32" s="254" t="s">
        <v>534</v>
      </c>
      <c r="C32" s="377"/>
      <c r="D32" s="41"/>
      <c r="E32" s="34"/>
    </row>
    <row r="33" spans="1:5" ht="18.75">
      <c r="A33" s="253" t="s">
        <v>1262</v>
      </c>
      <c r="B33" s="254" t="s">
        <v>1261</v>
      </c>
      <c r="C33" s="377"/>
      <c r="D33" s="41"/>
      <c r="E33" s="34"/>
    </row>
    <row r="34" spans="1:5" ht="18.75">
      <c r="A34" s="253" t="s">
        <v>1263</v>
      </c>
      <c r="B34" s="254" t="s">
        <v>124</v>
      </c>
      <c r="C34" s="377"/>
      <c r="D34" s="41"/>
      <c r="E34" s="34"/>
    </row>
    <row r="35" spans="1:5" ht="18.75">
      <c r="A35" s="253" t="s">
        <v>1264</v>
      </c>
      <c r="B35" s="254" t="s">
        <v>1265</v>
      </c>
      <c r="C35" s="570"/>
      <c r="D35" s="41"/>
      <c r="E35" s="34"/>
    </row>
    <row r="36" spans="1:5" ht="18.75">
      <c r="A36" s="253" t="s">
        <v>1335</v>
      </c>
      <c r="B36" s="562" t="s">
        <v>548</v>
      </c>
      <c r="C36" s="570">
        <f>SUM(C31:C35)</f>
        <v>0</v>
      </c>
      <c r="D36" s="570">
        <f>SUM(D31:D35)</f>
        <v>0</v>
      </c>
      <c r="E36" s="570">
        <f>SUM(E31:E35)</f>
        <v>0</v>
      </c>
    </row>
    <row r="37" spans="1:5" ht="18.75">
      <c r="A37" s="253" t="s">
        <v>1342</v>
      </c>
      <c r="B37" s="254" t="s">
        <v>1343</v>
      </c>
      <c r="C37" s="570"/>
      <c r="D37" s="570"/>
      <c r="E37" s="570"/>
    </row>
    <row r="38" spans="1:5" ht="18.75">
      <c r="A38" s="253" t="s">
        <v>1344</v>
      </c>
      <c r="B38" s="254" t="s">
        <v>1267</v>
      </c>
      <c r="C38" s="570"/>
      <c r="D38" s="34"/>
      <c r="E38" s="34"/>
    </row>
    <row r="39" spans="1:5" ht="18.75">
      <c r="A39" s="253" t="s">
        <v>1345</v>
      </c>
      <c r="B39" s="254" t="s">
        <v>88</v>
      </c>
      <c r="C39" s="570"/>
      <c r="D39" s="34"/>
      <c r="E39" s="34"/>
    </row>
    <row r="40" spans="1:5" ht="18.75">
      <c r="A40" s="253" t="s">
        <v>1346</v>
      </c>
      <c r="B40" s="254" t="s">
        <v>1268</v>
      </c>
      <c r="C40" s="377"/>
      <c r="D40" s="34"/>
      <c r="E40" s="34"/>
    </row>
    <row r="41" spans="1:5" ht="19.5" thickBot="1">
      <c r="A41" s="288" t="s">
        <v>1347</v>
      </c>
      <c r="B41" s="289" t="s">
        <v>1269</v>
      </c>
      <c r="C41" s="377"/>
      <c r="D41" s="34"/>
      <c r="E41" s="34"/>
    </row>
    <row r="42" spans="1:5" ht="17.25" customHeight="1" thickBot="1">
      <c r="A42" s="268" t="s">
        <v>1266</v>
      </c>
      <c r="B42" s="571" t="s">
        <v>1270</v>
      </c>
      <c r="C42" s="377">
        <f>SUM(C37:C41)</f>
        <v>0</v>
      </c>
      <c r="D42" s="377">
        <f>SUM(D38:D41)</f>
        <v>0</v>
      </c>
      <c r="E42" s="377">
        <f>SUM(E38:E41)</f>
        <v>0</v>
      </c>
    </row>
    <row r="43" spans="1:5" ht="22.5" customHeight="1" thickBot="1">
      <c r="A43" s="572" t="s">
        <v>1300</v>
      </c>
      <c r="B43" s="573" t="s">
        <v>595</v>
      </c>
      <c r="C43" s="574">
        <f>SUM(C42,C36)</f>
        <v>0</v>
      </c>
      <c r="D43" s="574">
        <f>SUM(D42,D36)</f>
        <v>0</v>
      </c>
      <c r="E43" s="574">
        <f>SUM(E42,E36)</f>
        <v>0</v>
      </c>
    </row>
    <row r="44" spans="1:5" ht="18.75">
      <c r="A44" s="249" t="s">
        <v>1271</v>
      </c>
      <c r="B44" s="291" t="s">
        <v>1348</v>
      </c>
      <c r="C44" s="377"/>
      <c r="D44" s="34"/>
      <c r="E44" s="34"/>
    </row>
    <row r="45" spans="1:5" ht="18.75">
      <c r="A45" s="494" t="s">
        <v>1350</v>
      </c>
      <c r="B45" s="590" t="s">
        <v>1351</v>
      </c>
      <c r="C45" s="377"/>
      <c r="D45" s="34"/>
      <c r="E45" s="34"/>
    </row>
    <row r="46" spans="1:5" ht="18.75">
      <c r="A46" s="253" t="s">
        <v>1272</v>
      </c>
      <c r="B46" s="254" t="s">
        <v>1349</v>
      </c>
      <c r="C46" s="295"/>
      <c r="D46" s="566"/>
      <c r="E46" s="34"/>
    </row>
    <row r="47" spans="1:5" ht="18.75">
      <c r="A47" s="575" t="s">
        <v>1301</v>
      </c>
      <c r="B47" s="576" t="s">
        <v>1366</v>
      </c>
      <c r="C47" s="577">
        <f>SUM(C44:C46)</f>
        <v>0</v>
      </c>
      <c r="D47" s="577">
        <f>SUM(D44:D46)</f>
        <v>0</v>
      </c>
      <c r="E47" s="577">
        <f>SUM(E44:E46)</f>
        <v>0</v>
      </c>
    </row>
    <row r="48" spans="1:5" ht="18.75">
      <c r="A48" s="253" t="s">
        <v>1275</v>
      </c>
      <c r="B48" s="254" t="s">
        <v>544</v>
      </c>
      <c r="C48" s="295"/>
      <c r="D48" s="566"/>
      <c r="E48" s="34"/>
    </row>
    <row r="49" spans="1:5" ht="18.75">
      <c r="A49" s="253" t="s">
        <v>1274</v>
      </c>
      <c r="B49" s="254" t="s">
        <v>543</v>
      </c>
      <c r="C49" s="295"/>
      <c r="D49" s="34"/>
      <c r="E49" s="34"/>
    </row>
    <row r="50" spans="1:5" ht="18.75">
      <c r="A50" s="253" t="s">
        <v>1276</v>
      </c>
      <c r="B50" s="254" t="s">
        <v>503</v>
      </c>
      <c r="C50" s="295"/>
      <c r="D50" s="34"/>
      <c r="E50" s="34"/>
    </row>
    <row r="51" spans="1:5" ht="18.75">
      <c r="A51" s="575" t="s">
        <v>1273</v>
      </c>
      <c r="B51" s="576" t="s">
        <v>1277</v>
      </c>
      <c r="C51" s="577">
        <f>SUM(C48:C50)</f>
        <v>0</v>
      </c>
      <c r="D51" s="577">
        <f>SUM(D48:D50)</f>
        <v>0</v>
      </c>
      <c r="E51" s="577">
        <f>SUM(E48:E50)</f>
        <v>0</v>
      </c>
    </row>
    <row r="52" spans="1:5" ht="18.75">
      <c r="A52" s="253" t="s">
        <v>1332</v>
      </c>
      <c r="B52" s="254" t="s">
        <v>1278</v>
      </c>
      <c r="C52" s="295"/>
      <c r="D52" s="34"/>
      <c r="E52" s="34"/>
    </row>
    <row r="53" spans="1:5" ht="18.75">
      <c r="A53" s="253" t="s">
        <v>1280</v>
      </c>
      <c r="B53" s="254" t="s">
        <v>26</v>
      </c>
      <c r="C53" s="295"/>
      <c r="D53" s="41"/>
      <c r="E53" s="34"/>
    </row>
    <row r="54" spans="1:5" ht="18.75">
      <c r="A54" s="253" t="s">
        <v>1281</v>
      </c>
      <c r="B54" s="254" t="s">
        <v>1352</v>
      </c>
      <c r="C54" s="377"/>
      <c r="D54" s="34"/>
      <c r="E54" s="34"/>
    </row>
    <row r="55" spans="1:5" ht="18.75">
      <c r="A55" s="575" t="s">
        <v>1283</v>
      </c>
      <c r="B55" s="576" t="s">
        <v>1282</v>
      </c>
      <c r="C55" s="574">
        <f>SUM(C53:C54)</f>
        <v>0</v>
      </c>
      <c r="D55" s="574">
        <f>SUM(D53:D54)</f>
        <v>0</v>
      </c>
      <c r="E55" s="574">
        <f>SUM(E53:E54)</f>
        <v>0</v>
      </c>
    </row>
    <row r="56" spans="1:5" ht="18.75">
      <c r="A56" s="575" t="s">
        <v>1284</v>
      </c>
      <c r="B56" s="588" t="s">
        <v>1333</v>
      </c>
      <c r="C56" s="589"/>
      <c r="D56" s="589"/>
      <c r="E56" s="589"/>
    </row>
    <row r="57" spans="1:5" ht="18.75">
      <c r="A57" s="288"/>
      <c r="B57" s="554" t="s">
        <v>943</v>
      </c>
      <c r="C57" s="554"/>
      <c r="D57" s="554"/>
      <c r="E57" s="554"/>
    </row>
    <row r="58" spans="1:6" ht="18.75">
      <c r="A58" s="288" t="s">
        <v>1353</v>
      </c>
      <c r="B58" s="554" t="s">
        <v>547</v>
      </c>
      <c r="C58" s="554">
        <v>250</v>
      </c>
      <c r="D58" s="554">
        <v>250</v>
      </c>
      <c r="E58" s="554">
        <v>250</v>
      </c>
      <c r="F58" s="21" t="s">
        <v>1459</v>
      </c>
    </row>
    <row r="59" spans="1:5" ht="18.75">
      <c r="A59" s="288" t="s">
        <v>1354</v>
      </c>
      <c r="B59" s="554" t="s">
        <v>1355</v>
      </c>
      <c r="C59" s="554"/>
      <c r="D59" s="554"/>
      <c r="E59" s="554"/>
    </row>
    <row r="60" spans="1:5" ht="27" customHeight="1">
      <c r="A60" s="561" t="s">
        <v>1285</v>
      </c>
      <c r="B60" s="552" t="s">
        <v>945</v>
      </c>
      <c r="C60" s="591">
        <f>SUM(C58:C59)</f>
        <v>250</v>
      </c>
      <c r="D60" s="591">
        <f>SUM(D58:D59)</f>
        <v>250</v>
      </c>
      <c r="E60" s="591">
        <f>SUM(E58:E59)</f>
        <v>250</v>
      </c>
    </row>
    <row r="61" spans="1:5" ht="23.25" customHeight="1">
      <c r="A61" s="462" t="s">
        <v>1356</v>
      </c>
      <c r="B61" s="553" t="s">
        <v>1362</v>
      </c>
      <c r="C61" s="591"/>
      <c r="D61" s="591"/>
      <c r="E61" s="591"/>
    </row>
    <row r="62" spans="1:5" ht="23.25" customHeight="1">
      <c r="A62" s="462" t="s">
        <v>1357</v>
      </c>
      <c r="B62" s="553" t="s">
        <v>1358</v>
      </c>
      <c r="C62" s="591"/>
      <c r="D62" s="591"/>
      <c r="E62" s="591"/>
    </row>
    <row r="63" spans="1:5" ht="23.25" customHeight="1">
      <c r="A63" s="462" t="s">
        <v>1359</v>
      </c>
      <c r="B63" s="553" t="s">
        <v>9</v>
      </c>
      <c r="C63" s="591"/>
      <c r="D63" s="591"/>
      <c r="E63" s="591"/>
    </row>
    <row r="64" spans="1:6" ht="23.25" customHeight="1" thickBot="1">
      <c r="A64" s="462" t="s">
        <v>1360</v>
      </c>
      <c r="B64" s="553" t="s">
        <v>1361</v>
      </c>
      <c r="C64" s="591"/>
      <c r="D64" s="591"/>
      <c r="E64" s="591"/>
      <c r="F64" s="21" t="s">
        <v>1368</v>
      </c>
    </row>
    <row r="65" spans="1:5" ht="17.25" customHeight="1" thickBot="1">
      <c r="A65" s="298" t="s">
        <v>1286</v>
      </c>
      <c r="B65" s="552" t="s">
        <v>948</v>
      </c>
      <c r="C65" s="591">
        <f>SUM(C61:C64)</f>
        <v>0</v>
      </c>
      <c r="D65" s="591">
        <f>SUM(D61:D64)</f>
        <v>0</v>
      </c>
      <c r="E65" s="591">
        <f>SUM(E61:E64)</f>
        <v>0</v>
      </c>
    </row>
    <row r="66" spans="1:5" ht="25.5" customHeight="1">
      <c r="A66" s="578" t="s">
        <v>1279</v>
      </c>
      <c r="B66" s="579" t="s">
        <v>1287</v>
      </c>
      <c r="C66" s="579">
        <f>SUM(C65+C60+C56+C55+C52)</f>
        <v>250</v>
      </c>
      <c r="D66" s="579">
        <f>SUM(D65+D60+D56+D55+D52)</f>
        <v>250</v>
      </c>
      <c r="E66" s="579">
        <f>SUM(E65+E60+E56+E55+E52)</f>
        <v>250</v>
      </c>
    </row>
    <row r="67" spans="1:5" ht="18.75">
      <c r="A67" s="253" t="s">
        <v>1288</v>
      </c>
      <c r="B67" s="553" t="s">
        <v>952</v>
      </c>
      <c r="C67" s="553"/>
      <c r="D67" s="553"/>
      <c r="E67" s="553"/>
    </row>
    <row r="68" spans="1:5" ht="18.75">
      <c r="A68" s="253" t="s">
        <v>1289</v>
      </c>
      <c r="B68" s="553" t="s">
        <v>954</v>
      </c>
      <c r="C68" s="553"/>
      <c r="D68" s="553"/>
      <c r="E68" s="553"/>
    </row>
    <row r="69" spans="1:5" ht="24" customHeight="1">
      <c r="A69" s="575" t="s">
        <v>1291</v>
      </c>
      <c r="B69" s="579" t="s">
        <v>1290</v>
      </c>
      <c r="C69" s="579">
        <f>SUM(C67:C68)</f>
        <v>0</v>
      </c>
      <c r="D69" s="579">
        <f>SUM(D67:D68)</f>
        <v>0</v>
      </c>
      <c r="E69" s="579">
        <f>SUM(E67:E68)</f>
        <v>0</v>
      </c>
    </row>
    <row r="70" spans="1:5" ht="26.25" customHeight="1" thickBot="1">
      <c r="A70" s="561" t="s">
        <v>1294</v>
      </c>
      <c r="B70" s="552" t="s">
        <v>958</v>
      </c>
      <c r="C70" s="552"/>
      <c r="D70" s="552"/>
      <c r="E70" s="552"/>
    </row>
    <row r="71" spans="1:5" ht="27" customHeight="1" thickBot="1">
      <c r="A71" s="268" t="s">
        <v>1295</v>
      </c>
      <c r="B71" s="552" t="s">
        <v>960</v>
      </c>
      <c r="C71" s="552"/>
      <c r="D71" s="552"/>
      <c r="E71" s="552"/>
    </row>
    <row r="72" spans="1:5" ht="19.5" thickBot="1">
      <c r="A72" s="210" t="s">
        <v>1296</v>
      </c>
      <c r="B72" s="552" t="s">
        <v>1293</v>
      </c>
      <c r="C72" s="552"/>
      <c r="D72" s="552"/>
      <c r="E72" s="552"/>
    </row>
    <row r="73" spans="1:5" ht="24.75" customHeight="1">
      <c r="A73" s="593" t="s">
        <v>1298</v>
      </c>
      <c r="B73" s="594" t="s">
        <v>1363</v>
      </c>
      <c r="C73" s="594"/>
      <c r="D73" s="552"/>
      <c r="E73" s="552"/>
    </row>
    <row r="74" spans="1:6" ht="24.75" customHeight="1">
      <c r="A74" s="592" t="s">
        <v>1364</v>
      </c>
      <c r="B74" s="563" t="s">
        <v>1365</v>
      </c>
      <c r="C74" s="563"/>
      <c r="D74" s="553"/>
      <c r="E74" s="553"/>
      <c r="F74" s="21" t="s">
        <v>1369</v>
      </c>
    </row>
    <row r="75" spans="1:5" ht="24.75" customHeight="1">
      <c r="A75" s="592" t="s">
        <v>1370</v>
      </c>
      <c r="B75" s="563" t="s">
        <v>1367</v>
      </c>
      <c r="C75" s="563"/>
      <c r="D75" s="553"/>
      <c r="E75" s="553"/>
    </row>
    <row r="76" spans="1:5" ht="18.75">
      <c r="A76" s="98" t="s">
        <v>1297</v>
      </c>
      <c r="B76" s="552" t="s">
        <v>970</v>
      </c>
      <c r="C76" s="552">
        <f>SUM(C74:C75)</f>
        <v>0</v>
      </c>
      <c r="D76" s="552">
        <f>SUM(D74:D75)</f>
        <v>0</v>
      </c>
      <c r="E76" s="552">
        <f>SUM(E74:E75)</f>
        <v>0</v>
      </c>
    </row>
    <row r="77" spans="1:5" ht="24.75" customHeight="1">
      <c r="A77" s="580" t="s">
        <v>1292</v>
      </c>
      <c r="B77" s="579" t="s">
        <v>1334</v>
      </c>
      <c r="C77" s="579">
        <f>C76+C73+C72+C71+C70</f>
        <v>0</v>
      </c>
      <c r="D77" s="579">
        <f>D76+D73+D72+D71+D70</f>
        <v>0</v>
      </c>
      <c r="E77" s="579">
        <f>E76+E73+E72+E71+E70</f>
        <v>0</v>
      </c>
    </row>
    <row r="78" spans="1:10" ht="24.75" customHeight="1">
      <c r="A78" s="587" t="s">
        <v>1299</v>
      </c>
      <c r="B78" s="585" t="s">
        <v>70</v>
      </c>
      <c r="C78" s="579">
        <f>SUM(C77+C69+C66+C47+C43)</f>
        <v>250</v>
      </c>
      <c r="D78" s="579">
        <f>SUM(D77+D69+D66+D47+D43)</f>
        <v>250</v>
      </c>
      <c r="E78" s="579">
        <f>SUM(E77+E69+E66+E47+E43)</f>
        <v>250</v>
      </c>
      <c r="F78" s="560"/>
      <c r="G78" s="560"/>
      <c r="H78" s="560"/>
      <c r="I78" s="560"/>
      <c r="J78" s="560"/>
    </row>
    <row r="79" spans="1:10" ht="24.75" customHeight="1">
      <c r="A79" s="98" t="s">
        <v>1307</v>
      </c>
      <c r="B79" s="553" t="s">
        <v>1302</v>
      </c>
      <c r="C79" s="552"/>
      <c r="D79" s="552"/>
      <c r="E79" s="552"/>
      <c r="F79" s="560"/>
      <c r="G79" s="560"/>
      <c r="H79" s="560"/>
      <c r="I79" s="560"/>
      <c r="J79" s="560"/>
    </row>
    <row r="80" spans="1:10" ht="24.75" customHeight="1">
      <c r="A80" s="98" t="s">
        <v>1306</v>
      </c>
      <c r="B80" s="553" t="s">
        <v>1308</v>
      </c>
      <c r="C80" s="552"/>
      <c r="D80" s="552"/>
      <c r="E80" s="552"/>
      <c r="F80" s="560"/>
      <c r="G80" s="560"/>
      <c r="H80" s="560"/>
      <c r="I80" s="560"/>
      <c r="J80" s="560"/>
    </row>
    <row r="81" spans="1:10" ht="24.75" customHeight="1">
      <c r="A81" s="98"/>
      <c r="B81" s="97" t="s">
        <v>1304</v>
      </c>
      <c r="C81" s="552"/>
      <c r="D81" s="552"/>
      <c r="E81" s="552"/>
      <c r="F81" s="560"/>
      <c r="G81" s="560"/>
      <c r="H81" s="560"/>
      <c r="I81" s="560"/>
      <c r="J81" s="560"/>
    </row>
    <row r="82" spans="1:5" ht="18.75">
      <c r="A82" s="98"/>
      <c r="B82" s="97" t="s">
        <v>1303</v>
      </c>
      <c r="C82" s="377"/>
      <c r="D82" s="34"/>
      <c r="E82" s="34"/>
    </row>
    <row r="83" spans="1:5" ht="18.75">
      <c r="A83" s="98"/>
      <c r="B83" s="567" t="s">
        <v>1305</v>
      </c>
      <c r="C83" s="377"/>
      <c r="D83" s="34"/>
      <c r="E83" s="34"/>
    </row>
    <row r="84" spans="1:5" ht="25.5">
      <c r="A84" s="580" t="s">
        <v>1341</v>
      </c>
      <c r="B84" s="579" t="s">
        <v>1337</v>
      </c>
      <c r="C84" s="377">
        <f>SUM(C80:C83)</f>
        <v>0</v>
      </c>
      <c r="D84" s="377">
        <f>SUM(D80:D83)</f>
        <v>0</v>
      </c>
      <c r="E84" s="377">
        <f>SUM(E80:E83)</f>
        <v>0</v>
      </c>
    </row>
    <row r="85" spans="1:5" s="564" customFormat="1" ht="18.75">
      <c r="A85" s="587" t="s">
        <v>1336</v>
      </c>
      <c r="B85" s="587" t="s">
        <v>1340</v>
      </c>
      <c r="C85" s="574">
        <f>SUM(C79+C84)</f>
        <v>0</v>
      </c>
      <c r="D85" s="574">
        <f>SUM(D79+D84)</f>
        <v>0</v>
      </c>
      <c r="E85" s="574">
        <f>SUM(E79+E84)</f>
        <v>0</v>
      </c>
    </row>
    <row r="86" spans="1:5" ht="18.75">
      <c r="A86" s="97" t="s">
        <v>1309</v>
      </c>
      <c r="B86" s="553" t="s">
        <v>1113</v>
      </c>
      <c r="C86" s="553"/>
      <c r="D86" s="553"/>
      <c r="E86" s="553"/>
    </row>
    <row r="87" spans="1:5" s="382" customFormat="1" ht="15">
      <c r="A87" s="97" t="s">
        <v>1310</v>
      </c>
      <c r="B87" s="553" t="s">
        <v>1371</v>
      </c>
      <c r="C87" s="553"/>
      <c r="D87" s="553"/>
      <c r="E87" s="553"/>
    </row>
    <row r="88" spans="1:5" ht="18.75">
      <c r="A88" s="172" t="s">
        <v>1311</v>
      </c>
      <c r="B88" s="553" t="s">
        <v>1117</v>
      </c>
      <c r="C88" s="553"/>
      <c r="D88" s="553"/>
      <c r="E88" s="553"/>
    </row>
    <row r="89" spans="1:5" ht="24" customHeight="1">
      <c r="A89" s="172" t="s">
        <v>1312</v>
      </c>
      <c r="B89" s="553" t="s">
        <v>1118</v>
      </c>
      <c r="C89" s="553"/>
      <c r="D89" s="553"/>
      <c r="E89" s="553"/>
    </row>
    <row r="90" spans="1:5" ht="26.25" customHeight="1">
      <c r="A90" s="172" t="s">
        <v>1313</v>
      </c>
      <c r="B90" s="553" t="s">
        <v>1120</v>
      </c>
      <c r="C90" s="553"/>
      <c r="D90" s="553"/>
      <c r="E90" s="553"/>
    </row>
    <row r="91" spans="1:5" ht="25.5" customHeight="1">
      <c r="A91" s="172" t="s">
        <v>1314</v>
      </c>
      <c r="B91" s="553" t="s">
        <v>1126</v>
      </c>
      <c r="C91" s="553"/>
      <c r="D91" s="553"/>
      <c r="E91" s="553"/>
    </row>
    <row r="92" spans="1:5" ht="18.75">
      <c r="A92" s="584" t="s">
        <v>1315</v>
      </c>
      <c r="B92" s="585" t="s">
        <v>1339</v>
      </c>
      <c r="C92" s="552">
        <f>SUM(C86:C91)</f>
        <v>0</v>
      </c>
      <c r="D92" s="552">
        <f>SUM(D86:D91)</f>
        <v>0</v>
      </c>
      <c r="E92" s="552">
        <f>SUM(E86:E91)</f>
        <v>0</v>
      </c>
    </row>
    <row r="93" spans="1:5" ht="18.75">
      <c r="A93" s="172" t="s">
        <v>1316</v>
      </c>
      <c r="B93" s="553" t="s">
        <v>1130</v>
      </c>
      <c r="C93" s="553"/>
      <c r="D93" s="553"/>
      <c r="E93" s="553"/>
    </row>
    <row r="94" spans="1:5" ht="18.75">
      <c r="A94" s="172" t="s">
        <v>1317</v>
      </c>
      <c r="B94" s="553" t="s">
        <v>1132</v>
      </c>
      <c r="C94" s="553"/>
      <c r="D94" s="553"/>
      <c r="E94" s="553"/>
    </row>
    <row r="95" spans="1:5" ht="18.75">
      <c r="A95" s="172" t="s">
        <v>1318</v>
      </c>
      <c r="B95" s="553" t="s">
        <v>1134</v>
      </c>
      <c r="C95" s="553"/>
      <c r="D95" s="553"/>
      <c r="E95" s="553"/>
    </row>
    <row r="96" spans="1:5" ht="24" customHeight="1">
      <c r="A96" s="172" t="s">
        <v>1319</v>
      </c>
      <c r="B96" s="553" t="s">
        <v>1136</v>
      </c>
      <c r="C96" s="553"/>
      <c r="D96" s="553"/>
      <c r="E96" s="553"/>
    </row>
    <row r="97" spans="1:5" ht="18.75">
      <c r="A97" s="584" t="s">
        <v>1320</v>
      </c>
      <c r="B97" s="585" t="s">
        <v>1338</v>
      </c>
      <c r="C97" s="552">
        <f>SUM(C93:C96)</f>
        <v>0</v>
      </c>
      <c r="D97" s="552">
        <f>SUM(D93:D96)</f>
        <v>0</v>
      </c>
      <c r="E97" s="552">
        <f>SUM(E93:E96)</f>
        <v>0</v>
      </c>
    </row>
    <row r="98" spans="1:5" ht="25.5" customHeight="1">
      <c r="A98" s="172" t="s">
        <v>1323</v>
      </c>
      <c r="B98" s="555" t="s">
        <v>1325</v>
      </c>
      <c r="C98" s="555"/>
      <c r="D98" s="555"/>
      <c r="E98" s="555"/>
    </row>
    <row r="99" spans="1:5" ht="27" customHeight="1">
      <c r="A99" s="457" t="s">
        <v>1322</v>
      </c>
      <c r="B99" s="553" t="s">
        <v>1321</v>
      </c>
      <c r="C99" s="553"/>
      <c r="D99" s="553"/>
      <c r="E99" s="553"/>
    </row>
    <row r="100" spans="1:5" ht="18.75">
      <c r="A100" s="584" t="s">
        <v>1326</v>
      </c>
      <c r="B100" s="586" t="s">
        <v>1324</v>
      </c>
      <c r="C100" s="295">
        <f>SUM(C98:C99)</f>
        <v>0</v>
      </c>
      <c r="D100" s="295">
        <f>SUM(D98:D99)</f>
        <v>0</v>
      </c>
      <c r="E100" s="295">
        <f>SUM(E98:E99)</f>
        <v>0</v>
      </c>
    </row>
    <row r="101" spans="1:5" ht="18.75">
      <c r="A101" s="34"/>
      <c r="B101" s="36" t="s">
        <v>118</v>
      </c>
      <c r="C101" s="581">
        <f>SUM(C100+C97+C92+C85+C78+C29+C23)</f>
        <v>250</v>
      </c>
      <c r="D101" s="581">
        <f>SUM(D100+D97+D92+D85+D78+D29+D23)</f>
        <v>250</v>
      </c>
      <c r="E101" s="581">
        <f>SUM(E100+E97+E92+E85+E78+E29+E23)</f>
        <v>250</v>
      </c>
    </row>
  </sheetData>
  <sheetProtection/>
  <mergeCells count="1">
    <mergeCell ref="A2:E2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H51"/>
  <sheetViews>
    <sheetView view="pageBreakPreview" zoomScale="60" zoomScalePageLayoutView="0" workbookViewId="0" topLeftCell="A1">
      <selection activeCell="I20" sqref="I20"/>
    </sheetView>
  </sheetViews>
  <sheetFormatPr defaultColWidth="8.66015625" defaultRowHeight="18"/>
  <cols>
    <col min="1" max="1" width="10.75" style="11" customWidth="1"/>
    <col min="2" max="2" width="37.66015625" style="11" customWidth="1"/>
    <col min="3" max="3" width="1.58203125" style="11" customWidth="1"/>
    <col min="4" max="4" width="7.41015625" style="11" customWidth="1"/>
    <col min="5" max="5" width="7.58203125" style="11" customWidth="1"/>
    <col min="6" max="6" width="7.41015625" style="11" customWidth="1"/>
    <col min="7" max="16384" width="8.91015625" style="11" customWidth="1"/>
  </cols>
  <sheetData>
    <row r="1" spans="1:2" ht="16.5" thickBot="1">
      <c r="A1" s="12">
        <v>841348</v>
      </c>
      <c r="B1" s="10" t="s">
        <v>621</v>
      </c>
    </row>
    <row r="2" spans="1:8" ht="31.5" thickTop="1">
      <c r="A2" s="13"/>
      <c r="B2" s="14"/>
      <c r="C2" s="17"/>
      <c r="D2" s="329" t="s">
        <v>262</v>
      </c>
      <c r="E2" s="329" t="s">
        <v>281</v>
      </c>
      <c r="F2" s="46" t="s">
        <v>614</v>
      </c>
      <c r="G2" s="25" t="s">
        <v>615</v>
      </c>
      <c r="H2" s="25" t="s">
        <v>616</v>
      </c>
    </row>
    <row r="3" spans="1:8" ht="15.75">
      <c r="A3" s="25">
        <v>381134</v>
      </c>
      <c r="B3" s="28" t="s">
        <v>119</v>
      </c>
      <c r="C3" s="199"/>
      <c r="D3" s="26">
        <v>3600</v>
      </c>
      <c r="E3" s="26">
        <v>3600</v>
      </c>
      <c r="F3" s="25">
        <v>3600</v>
      </c>
      <c r="G3" s="25">
        <v>3600</v>
      </c>
      <c r="H3" s="25">
        <v>3600</v>
      </c>
    </row>
    <row r="4" spans="1:8" ht="15.75">
      <c r="A4" s="28"/>
      <c r="B4" s="28"/>
      <c r="C4" s="328"/>
      <c r="D4" s="46"/>
      <c r="E4" s="25"/>
      <c r="F4" s="25"/>
      <c r="G4" s="25"/>
      <c r="H4" s="25"/>
    </row>
    <row r="5" spans="1:8" ht="15">
      <c r="A5" s="25">
        <v>516</v>
      </c>
      <c r="B5" s="25" t="s">
        <v>121</v>
      </c>
      <c r="C5" s="122"/>
      <c r="D5" s="25"/>
      <c r="E5" s="25"/>
      <c r="F5" s="25"/>
      <c r="G5" s="25"/>
      <c r="H5" s="25"/>
    </row>
    <row r="6" spans="1:8" ht="15">
      <c r="A6" s="25"/>
      <c r="B6" s="25" t="s">
        <v>140</v>
      </c>
      <c r="C6" s="122"/>
      <c r="D6" s="25"/>
      <c r="E6" s="25"/>
      <c r="F6" s="25"/>
      <c r="G6" s="25"/>
      <c r="H6" s="25"/>
    </row>
    <row r="7" spans="1:8" ht="15">
      <c r="A7" s="25"/>
      <c r="B7" s="25" t="s">
        <v>174</v>
      </c>
      <c r="C7" s="122"/>
      <c r="D7" s="25"/>
      <c r="E7" s="25"/>
      <c r="F7" s="25"/>
      <c r="G7" s="25"/>
      <c r="H7" s="25"/>
    </row>
    <row r="8" spans="1:8" ht="15">
      <c r="A8" s="25"/>
      <c r="B8" s="25" t="s">
        <v>147</v>
      </c>
      <c r="C8" s="122"/>
      <c r="D8" s="25"/>
      <c r="E8" s="25"/>
      <c r="F8" s="25"/>
      <c r="G8" s="25"/>
      <c r="H8" s="25"/>
    </row>
    <row r="9" spans="1:8" ht="15">
      <c r="A9" s="25">
        <v>51313</v>
      </c>
      <c r="B9" s="25" t="s">
        <v>30</v>
      </c>
      <c r="C9" s="122"/>
      <c r="D9" s="25"/>
      <c r="E9" s="25"/>
      <c r="F9" s="25"/>
      <c r="G9" s="25"/>
      <c r="H9" s="25"/>
    </row>
    <row r="10" spans="1:8" ht="15">
      <c r="A10" s="25">
        <v>51319</v>
      </c>
      <c r="B10" s="25" t="s">
        <v>173</v>
      </c>
      <c r="C10" s="122"/>
      <c r="D10" s="25"/>
      <c r="E10" s="25"/>
      <c r="F10" s="25"/>
      <c r="G10" s="25"/>
      <c r="H10" s="25"/>
    </row>
    <row r="11" spans="1:8" ht="15">
      <c r="A11" s="25">
        <v>5131912</v>
      </c>
      <c r="B11" s="25" t="s">
        <v>40</v>
      </c>
      <c r="C11" s="122"/>
      <c r="D11" s="25"/>
      <c r="E11" s="25"/>
      <c r="F11" s="25"/>
      <c r="G11" s="25"/>
      <c r="H11" s="25"/>
    </row>
    <row r="12" spans="1:8" ht="15">
      <c r="A12" s="25">
        <v>51414</v>
      </c>
      <c r="B12" s="25" t="s">
        <v>39</v>
      </c>
      <c r="C12" s="122"/>
      <c r="D12" s="25"/>
      <c r="E12" s="25"/>
      <c r="F12" s="25"/>
      <c r="G12" s="25"/>
      <c r="H12" s="25"/>
    </row>
    <row r="13" spans="1:8" ht="15">
      <c r="A13" s="25">
        <v>51412</v>
      </c>
      <c r="B13" s="25" t="s">
        <v>27</v>
      </c>
      <c r="C13" s="122"/>
      <c r="D13" s="25"/>
      <c r="E13" s="25"/>
      <c r="F13" s="25"/>
      <c r="G13" s="25"/>
      <c r="H13" s="25"/>
    </row>
    <row r="14" spans="1:8" ht="15.75">
      <c r="A14" s="28">
        <v>51</v>
      </c>
      <c r="B14" s="28" t="s">
        <v>50</v>
      </c>
      <c r="C14" s="116"/>
      <c r="D14" s="30"/>
      <c r="E14" s="25"/>
      <c r="F14" s="25"/>
      <c r="G14" s="25"/>
      <c r="H14" s="25"/>
    </row>
    <row r="15" spans="1:8" ht="8.25" customHeight="1">
      <c r="A15" s="25"/>
      <c r="B15" s="25"/>
      <c r="C15" s="122"/>
      <c r="D15" s="25"/>
      <c r="E15" s="25"/>
      <c r="F15" s="25"/>
      <c r="G15" s="25"/>
      <c r="H15" s="25"/>
    </row>
    <row r="16" spans="1:8" ht="15">
      <c r="A16" s="25">
        <v>5311</v>
      </c>
      <c r="B16" s="25" t="s">
        <v>2</v>
      </c>
      <c r="C16" s="122"/>
      <c r="D16" s="25"/>
      <c r="E16" s="25"/>
      <c r="F16" s="25"/>
      <c r="G16" s="25"/>
      <c r="H16" s="25"/>
    </row>
    <row r="17" spans="1:8" ht="15">
      <c r="A17" s="25">
        <v>5321</v>
      </c>
      <c r="B17" s="25" t="s">
        <v>3</v>
      </c>
      <c r="C17" s="122"/>
      <c r="D17" s="25"/>
      <c r="E17" s="25"/>
      <c r="F17" s="25"/>
      <c r="G17" s="25"/>
      <c r="H17" s="25"/>
    </row>
    <row r="18" spans="1:8" ht="15">
      <c r="A18" s="25">
        <v>5331</v>
      </c>
      <c r="B18" s="25" t="s">
        <v>4</v>
      </c>
      <c r="C18" s="122"/>
      <c r="D18" s="25"/>
      <c r="E18" s="25"/>
      <c r="F18" s="25"/>
      <c r="G18" s="25"/>
      <c r="H18" s="25"/>
    </row>
    <row r="19" spans="1:8" ht="15">
      <c r="A19" s="25">
        <v>5341</v>
      </c>
      <c r="B19" s="25" t="s">
        <v>42</v>
      </c>
      <c r="C19" s="122"/>
      <c r="D19" s="25"/>
      <c r="E19" s="25"/>
      <c r="F19" s="25"/>
      <c r="G19" s="25"/>
      <c r="H19" s="25"/>
    </row>
    <row r="20" spans="1:8" ht="15.75">
      <c r="A20" s="28">
        <v>53</v>
      </c>
      <c r="B20" s="28" t="s">
        <v>5</v>
      </c>
      <c r="C20" s="116"/>
      <c r="D20" s="30"/>
      <c r="E20" s="25"/>
      <c r="F20" s="25"/>
      <c r="G20" s="25"/>
      <c r="H20" s="25"/>
    </row>
    <row r="21" spans="1:8" ht="10.5" customHeight="1">
      <c r="A21" s="25"/>
      <c r="B21" s="25"/>
      <c r="C21" s="122"/>
      <c r="D21" s="25"/>
      <c r="E21" s="25"/>
      <c r="F21" s="25"/>
      <c r="G21" s="25"/>
      <c r="H21" s="25"/>
    </row>
    <row r="22" spans="1:8" ht="15">
      <c r="A22" s="25">
        <v>5441</v>
      </c>
      <c r="B22" s="25" t="s">
        <v>31</v>
      </c>
      <c r="C22" s="122"/>
      <c r="D22" s="25"/>
      <c r="E22" s="25"/>
      <c r="F22" s="25"/>
      <c r="G22" s="25"/>
      <c r="H22" s="25"/>
    </row>
    <row r="23" spans="1:8" ht="15">
      <c r="A23" s="25">
        <v>5481</v>
      </c>
      <c r="B23" s="25" t="s">
        <v>128</v>
      </c>
      <c r="C23" s="122"/>
      <c r="D23" s="25"/>
      <c r="E23" s="25"/>
      <c r="F23" s="25"/>
      <c r="G23" s="25"/>
      <c r="H23" s="25"/>
    </row>
    <row r="24" spans="1:8" ht="15">
      <c r="A24" s="25">
        <v>5471</v>
      </c>
      <c r="B24" s="25" t="s">
        <v>115</v>
      </c>
      <c r="C24" s="122"/>
      <c r="D24" s="25"/>
      <c r="E24" s="25"/>
      <c r="F24" s="25"/>
      <c r="G24" s="25"/>
      <c r="H24" s="25"/>
    </row>
    <row r="25" spans="1:8" ht="15">
      <c r="A25" s="25">
        <v>5491</v>
      </c>
      <c r="B25" s="25" t="s">
        <v>32</v>
      </c>
      <c r="C25" s="122"/>
      <c r="D25" s="25"/>
      <c r="E25" s="25"/>
      <c r="F25" s="25"/>
      <c r="G25" s="25"/>
      <c r="H25" s="25"/>
    </row>
    <row r="26" spans="1:8" ht="15.75">
      <c r="A26" s="28">
        <v>54</v>
      </c>
      <c r="B26" s="28" t="s">
        <v>7</v>
      </c>
      <c r="C26" s="116"/>
      <c r="D26" s="30"/>
      <c r="E26" s="30"/>
      <c r="F26" s="25"/>
      <c r="G26" s="25"/>
      <c r="H26" s="25"/>
    </row>
    <row r="27" spans="1:8" ht="10.5" customHeight="1">
      <c r="A27" s="25"/>
      <c r="B27" s="25"/>
      <c r="C27" s="122"/>
      <c r="D27" s="25"/>
      <c r="E27" s="25"/>
      <c r="F27" s="25"/>
      <c r="G27" s="25"/>
      <c r="H27" s="25"/>
    </row>
    <row r="28" spans="1:8" ht="15">
      <c r="A28" s="25">
        <v>55111</v>
      </c>
      <c r="B28" s="25" t="s">
        <v>33</v>
      </c>
      <c r="C28" s="122"/>
      <c r="D28" s="25"/>
      <c r="E28" s="25"/>
      <c r="F28" s="25"/>
      <c r="G28" s="25"/>
      <c r="H28" s="25"/>
    </row>
    <row r="29" spans="1:8" ht="15">
      <c r="A29" s="25">
        <v>55119</v>
      </c>
      <c r="B29" s="25" t="s">
        <v>122</v>
      </c>
      <c r="C29" s="122"/>
      <c r="D29" s="25"/>
      <c r="E29" s="25"/>
      <c r="F29" s="25"/>
      <c r="G29" s="25"/>
      <c r="H29" s="25"/>
    </row>
    <row r="30" spans="1:8" ht="15">
      <c r="A30" s="25">
        <v>55214</v>
      </c>
      <c r="B30" s="25" t="s">
        <v>36</v>
      </c>
      <c r="C30" s="122"/>
      <c r="D30" s="25"/>
      <c r="E30" s="25"/>
      <c r="F30" s="25"/>
      <c r="G30" s="25"/>
      <c r="H30" s="25"/>
    </row>
    <row r="31" spans="1:8" ht="15">
      <c r="A31" s="25">
        <v>55215</v>
      </c>
      <c r="B31" s="25" t="s">
        <v>35</v>
      </c>
      <c r="C31" s="122"/>
      <c r="D31" s="25"/>
      <c r="E31" s="25"/>
      <c r="F31" s="25"/>
      <c r="G31" s="25"/>
      <c r="H31" s="25"/>
    </row>
    <row r="32" spans="1:8" ht="15">
      <c r="A32" s="25">
        <v>55217</v>
      </c>
      <c r="B32" s="25" t="s">
        <v>12</v>
      </c>
      <c r="C32" s="122"/>
      <c r="D32" s="25"/>
      <c r="E32" s="25"/>
      <c r="F32" s="25"/>
      <c r="G32" s="25"/>
      <c r="H32" s="25"/>
    </row>
    <row r="33" spans="1:8" ht="15">
      <c r="A33" s="25">
        <v>552181</v>
      </c>
      <c r="B33" s="25" t="s">
        <v>26</v>
      </c>
      <c r="C33" s="122"/>
      <c r="D33" s="25"/>
      <c r="E33" s="25"/>
      <c r="F33" s="25"/>
      <c r="G33" s="25"/>
      <c r="H33" s="25"/>
    </row>
    <row r="34" spans="1:8" ht="15">
      <c r="A34" s="25">
        <v>552191</v>
      </c>
      <c r="B34" s="25" t="s">
        <v>37</v>
      </c>
      <c r="C34" s="122"/>
      <c r="D34" s="25"/>
      <c r="E34" s="25"/>
      <c r="F34" s="25"/>
      <c r="G34" s="25"/>
      <c r="H34" s="25"/>
    </row>
    <row r="35" spans="1:8" ht="15">
      <c r="A35" s="25">
        <v>5532</v>
      </c>
      <c r="B35" s="25" t="s">
        <v>144</v>
      </c>
      <c r="C35" s="122"/>
      <c r="D35" s="25"/>
      <c r="E35" s="25"/>
      <c r="F35" s="25"/>
      <c r="G35" s="25"/>
      <c r="H35" s="25"/>
    </row>
    <row r="36" spans="1:8" ht="15.75">
      <c r="A36" s="28">
        <v>55</v>
      </c>
      <c r="B36" s="28" t="s">
        <v>16</v>
      </c>
      <c r="C36" s="116"/>
      <c r="D36" s="30"/>
      <c r="E36" s="30"/>
      <c r="F36" s="25"/>
      <c r="G36" s="25"/>
      <c r="H36" s="25"/>
    </row>
    <row r="37" spans="1:8" ht="9.75" customHeight="1">
      <c r="A37" s="25"/>
      <c r="B37" s="25"/>
      <c r="C37" s="122"/>
      <c r="D37" s="25"/>
      <c r="E37" s="25"/>
      <c r="F37" s="25"/>
      <c r="G37" s="25"/>
      <c r="H37" s="25"/>
    </row>
    <row r="38" spans="1:8" ht="15">
      <c r="A38" s="25">
        <v>56111</v>
      </c>
      <c r="B38" s="25" t="s">
        <v>38</v>
      </c>
      <c r="C38" s="122"/>
      <c r="D38" s="25"/>
      <c r="E38" s="25"/>
      <c r="F38" s="25"/>
      <c r="G38" s="25"/>
      <c r="H38" s="25"/>
    </row>
    <row r="39" spans="1:8" ht="15">
      <c r="A39" s="25">
        <v>56211</v>
      </c>
      <c r="B39" s="25" t="s">
        <v>18</v>
      </c>
      <c r="C39" s="122"/>
      <c r="D39" s="25"/>
      <c r="E39" s="25"/>
      <c r="F39" s="25"/>
      <c r="G39" s="25"/>
      <c r="H39" s="25"/>
    </row>
    <row r="40" spans="1:8" ht="15">
      <c r="A40" s="25">
        <v>56214</v>
      </c>
      <c r="B40" s="25" t="s">
        <v>141</v>
      </c>
      <c r="C40" s="122"/>
      <c r="D40" s="25"/>
      <c r="E40" s="25"/>
      <c r="F40" s="25"/>
      <c r="G40" s="25"/>
      <c r="H40" s="25"/>
    </row>
    <row r="41" spans="1:8" ht="15.75">
      <c r="A41" s="28">
        <v>56</v>
      </c>
      <c r="B41" s="28" t="s">
        <v>20</v>
      </c>
      <c r="C41" s="116"/>
      <c r="D41" s="30"/>
      <c r="E41" s="30"/>
      <c r="F41" s="25"/>
      <c r="G41" s="25"/>
      <c r="H41" s="25"/>
    </row>
    <row r="42" spans="1:8" ht="7.5" customHeight="1">
      <c r="A42" s="25"/>
      <c r="B42" s="25"/>
      <c r="C42" s="122"/>
      <c r="D42" s="25"/>
      <c r="E42" s="25"/>
      <c r="F42" s="25"/>
      <c r="G42" s="25"/>
      <c r="H42" s="25"/>
    </row>
    <row r="43" spans="1:8" ht="15">
      <c r="A43" s="25">
        <v>572132</v>
      </c>
      <c r="B43" s="25" t="s">
        <v>22</v>
      </c>
      <c r="C43" s="122"/>
      <c r="D43" s="25"/>
      <c r="E43" s="25"/>
      <c r="F43" s="25"/>
      <c r="G43" s="25"/>
      <c r="H43" s="25"/>
    </row>
    <row r="44" spans="1:8" ht="15.75">
      <c r="A44" s="28">
        <v>57</v>
      </c>
      <c r="B44" s="28" t="s">
        <v>23</v>
      </c>
      <c r="C44" s="122"/>
      <c r="D44" s="25"/>
      <c r="E44" s="25"/>
      <c r="F44" s="25"/>
      <c r="G44" s="25"/>
      <c r="H44" s="25"/>
    </row>
    <row r="45" spans="1:8" ht="7.5" customHeight="1">
      <c r="A45" s="28"/>
      <c r="B45" s="28"/>
      <c r="C45" s="122"/>
      <c r="D45" s="25"/>
      <c r="E45" s="25"/>
      <c r="F45" s="25"/>
      <c r="G45" s="25"/>
      <c r="H45" s="25"/>
    </row>
    <row r="46" spans="1:8" ht="15.75">
      <c r="A46" s="28"/>
      <c r="B46" s="28" t="s">
        <v>29</v>
      </c>
      <c r="C46" s="122"/>
      <c r="D46" s="25"/>
      <c r="E46" s="25"/>
      <c r="F46" s="25"/>
      <c r="G46" s="25"/>
      <c r="H46" s="25"/>
    </row>
    <row r="47" spans="1:8" ht="7.5" customHeight="1">
      <c r="A47" s="28"/>
      <c r="B47" s="28"/>
      <c r="C47" s="122"/>
      <c r="D47" s="25"/>
      <c r="E47" s="25"/>
      <c r="F47" s="25"/>
      <c r="G47" s="25"/>
      <c r="H47" s="25"/>
    </row>
    <row r="48" spans="1:8" ht="16.5" thickBot="1">
      <c r="A48" s="10"/>
      <c r="B48" s="10" t="s">
        <v>0</v>
      </c>
      <c r="C48" s="45"/>
      <c r="D48" s="30">
        <f>SUM(D3)</f>
        <v>3600</v>
      </c>
      <c r="E48" s="29">
        <f>SUM(E46,E20,E14,E3)</f>
        <v>3600</v>
      </c>
      <c r="F48" s="29">
        <f>SUM(F46,F20,F14,F3)</f>
        <v>3600</v>
      </c>
      <c r="G48" s="29">
        <f>SUM(G46,G20,G14,G3)</f>
        <v>3600</v>
      </c>
      <c r="H48" s="29">
        <f>SUM(H46,H20,H14,H3)</f>
        <v>3600</v>
      </c>
    </row>
    <row r="49" spans="3:4" ht="15.75" thickTop="1">
      <c r="C49" s="13"/>
      <c r="D49" s="13"/>
    </row>
    <row r="50" spans="3:4" ht="15">
      <c r="C50" s="13"/>
      <c r="D50" s="13"/>
    </row>
    <row r="51" spans="3:4" ht="15">
      <c r="C51" s="13"/>
      <c r="D51" s="13"/>
    </row>
  </sheetData>
  <sheetProtection/>
  <printOptions/>
  <pageMargins left="0.7" right="0.7" top="0.75" bottom="0.75" header="0.3" footer="0.3"/>
  <pageSetup horizontalDpi="300" verticalDpi="300" orientation="portrait" paperSize="9" scale="7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C00000"/>
  </sheetPr>
  <dimension ref="A2:J101"/>
  <sheetViews>
    <sheetView zoomScalePageLayoutView="0" workbookViewId="0" topLeftCell="A70">
      <selection activeCell="D84" sqref="D84"/>
    </sheetView>
  </sheetViews>
  <sheetFormatPr defaultColWidth="8.41015625" defaultRowHeight="18"/>
  <cols>
    <col min="1" max="1" width="8.41015625" style="21" customWidth="1"/>
    <col min="2" max="2" width="29.41015625" style="21" customWidth="1"/>
    <col min="3" max="3" width="8" style="382" customWidth="1"/>
    <col min="4" max="4" width="7.33203125" style="21" customWidth="1"/>
    <col min="5" max="5" width="7.75" style="21" customWidth="1"/>
    <col min="6" max="249" width="7.08203125" style="21" customWidth="1"/>
    <col min="250" max="16384" width="8.41015625" style="21" customWidth="1"/>
  </cols>
  <sheetData>
    <row r="2" spans="1:5" ht="18.75">
      <c r="A2" s="620" t="s">
        <v>1331</v>
      </c>
      <c r="B2" s="620"/>
      <c r="C2" s="620"/>
      <c r="D2" s="620"/>
      <c r="E2" s="620"/>
    </row>
    <row r="3" ht="19.5" thickBot="1">
      <c r="C3" s="243"/>
    </row>
    <row r="4" spans="1:5" ht="19.5" thickBot="1">
      <c r="A4" s="595">
        <v>841358</v>
      </c>
      <c r="B4" s="245" t="s">
        <v>1386</v>
      </c>
      <c r="C4" s="421" t="s">
        <v>616</v>
      </c>
      <c r="D4" s="41" t="s">
        <v>626</v>
      </c>
      <c r="E4" s="34">
        <v>2016</v>
      </c>
    </row>
    <row r="5" spans="1:5" ht="19.5" thickBot="1">
      <c r="A5" s="596" t="s">
        <v>1387</v>
      </c>
      <c r="B5" s="210"/>
      <c r="C5" s="295"/>
      <c r="D5" s="34"/>
      <c r="E5" s="34"/>
    </row>
    <row r="6" spans="1:5" ht="18.75">
      <c r="A6" s="249" t="s">
        <v>819</v>
      </c>
      <c r="B6" s="250" t="s">
        <v>1238</v>
      </c>
      <c r="C6" s="376"/>
      <c r="D6" s="565"/>
      <c r="E6" s="565"/>
    </row>
    <row r="7" spans="1:5" ht="18.75">
      <c r="A7" s="253" t="s">
        <v>822</v>
      </c>
      <c r="B7" s="254" t="s">
        <v>821</v>
      </c>
      <c r="C7" s="377"/>
      <c r="D7" s="34"/>
      <c r="E7" s="34"/>
    </row>
    <row r="8" spans="1:5" ht="18.75">
      <c r="A8" s="253" t="s">
        <v>823</v>
      </c>
      <c r="B8" s="254" t="s">
        <v>820</v>
      </c>
      <c r="C8" s="377"/>
      <c r="D8" s="34"/>
      <c r="E8" s="381"/>
    </row>
    <row r="9" spans="1:5" ht="18.75">
      <c r="A9" s="253" t="s">
        <v>825</v>
      </c>
      <c r="B9" s="254" t="s">
        <v>824</v>
      </c>
      <c r="C9" s="377"/>
      <c r="D9" s="34"/>
      <c r="E9" s="34"/>
    </row>
    <row r="10" spans="1:5" ht="18.75">
      <c r="A10" s="253" t="s">
        <v>826</v>
      </c>
      <c r="B10" s="260" t="s">
        <v>1239</v>
      </c>
      <c r="C10" s="377"/>
      <c r="D10" s="34"/>
      <c r="E10" s="34"/>
    </row>
    <row r="11" spans="1:5" ht="18.75">
      <c r="A11" s="253" t="s">
        <v>1233</v>
      </c>
      <c r="B11" s="260" t="s">
        <v>1240</v>
      </c>
      <c r="C11" s="378"/>
      <c r="D11" s="34"/>
      <c r="E11" s="34"/>
    </row>
    <row r="12" spans="1:5" ht="18.75">
      <c r="A12" s="253" t="s">
        <v>1241</v>
      </c>
      <c r="B12" s="262" t="s">
        <v>1234</v>
      </c>
      <c r="C12" s="377"/>
      <c r="D12" s="34"/>
      <c r="E12" s="34"/>
    </row>
    <row r="13" spans="1:5" ht="18.75">
      <c r="A13" s="253" t="s">
        <v>1242</v>
      </c>
      <c r="B13" s="262" t="s">
        <v>1235</v>
      </c>
      <c r="C13" s="377"/>
      <c r="D13" s="34"/>
      <c r="E13" s="34"/>
    </row>
    <row r="14" spans="1:5" ht="18.75">
      <c r="A14" s="253" t="s">
        <v>1243</v>
      </c>
      <c r="B14" s="254" t="s">
        <v>528</v>
      </c>
      <c r="C14" s="377"/>
      <c r="D14" s="34"/>
      <c r="E14" s="34"/>
    </row>
    <row r="15" spans="1:5" ht="18.75">
      <c r="A15" s="253" t="s">
        <v>1244</v>
      </c>
      <c r="B15" s="254" t="s">
        <v>1236</v>
      </c>
      <c r="C15" s="377"/>
      <c r="D15" s="34"/>
      <c r="E15" s="34"/>
    </row>
    <row r="16" spans="1:5" ht="19.5" thickBot="1">
      <c r="A16" s="264" t="s">
        <v>1245</v>
      </c>
      <c r="B16" s="265" t="s">
        <v>791</v>
      </c>
      <c r="C16" s="377"/>
      <c r="D16" s="34"/>
      <c r="E16" s="34"/>
    </row>
    <row r="17" spans="1:5" ht="19.5" thickBot="1">
      <c r="A17" s="568" t="s">
        <v>1327</v>
      </c>
      <c r="B17" s="569" t="s">
        <v>1249</v>
      </c>
      <c r="C17" s="379">
        <f>SUM(C6:C16)</f>
        <v>0</v>
      </c>
      <c r="D17" s="379">
        <f>SUM(D6:D16)</f>
        <v>0</v>
      </c>
      <c r="E17" s="379">
        <f>SUM(E6:E16)</f>
        <v>0</v>
      </c>
    </row>
    <row r="18" spans="1:5" ht="19.5" thickBot="1">
      <c r="A18" s="557" t="s">
        <v>1329</v>
      </c>
      <c r="B18" s="558" t="s">
        <v>1248</v>
      </c>
      <c r="C18" s="377"/>
      <c r="D18" s="34"/>
      <c r="E18" s="34"/>
    </row>
    <row r="19" spans="1:5" ht="19.5" thickBot="1">
      <c r="A19" s="557" t="s">
        <v>1328</v>
      </c>
      <c r="B19" s="558" t="s">
        <v>1246</v>
      </c>
      <c r="C19" s="377"/>
      <c r="D19" s="34"/>
      <c r="E19" s="34"/>
    </row>
    <row r="20" spans="1:5" ht="19.5" thickBot="1">
      <c r="A20" s="557" t="s">
        <v>1253</v>
      </c>
      <c r="B20" s="558" t="s">
        <v>19</v>
      </c>
      <c r="C20" s="377"/>
      <c r="D20" s="34"/>
      <c r="E20" s="34"/>
    </row>
    <row r="21" spans="1:5" ht="19.5" thickBot="1">
      <c r="A21" s="557" t="s">
        <v>1254</v>
      </c>
      <c r="B21" s="558" t="s">
        <v>889</v>
      </c>
      <c r="C21" s="377"/>
      <c r="D21" s="34"/>
      <c r="E21" s="34"/>
    </row>
    <row r="22" spans="1:5" ht="19.5" thickBot="1">
      <c r="A22" s="568" t="s">
        <v>1330</v>
      </c>
      <c r="B22" s="569" t="s">
        <v>1247</v>
      </c>
      <c r="C22" s="377">
        <f>SUM(C18:C21)</f>
        <v>0</v>
      </c>
      <c r="D22" s="377">
        <f>SUM(D18:D21)</f>
        <v>0</v>
      </c>
      <c r="E22" s="377">
        <f>SUM(E18:E21)</f>
        <v>0</v>
      </c>
    </row>
    <row r="23" spans="1:5" ht="27" customHeight="1" thickBot="1">
      <c r="A23" s="268" t="s">
        <v>1250</v>
      </c>
      <c r="B23" s="269" t="s">
        <v>1237</v>
      </c>
      <c r="C23" s="379">
        <f>SUM(C22,C17)</f>
        <v>0</v>
      </c>
      <c r="D23" s="379">
        <f>SUM(D22,D17)</f>
        <v>0</v>
      </c>
      <c r="E23" s="379">
        <f>SUM(E22,E17)</f>
        <v>0</v>
      </c>
    </row>
    <row r="24" spans="1:5" ht="19.5" thickBot="1">
      <c r="A24" s="270"/>
      <c r="B24" s="271"/>
      <c r="C24" s="377"/>
      <c r="D24" s="34"/>
      <c r="E24" s="34"/>
    </row>
    <row r="25" spans="1:5" ht="18.75">
      <c r="A25" s="272" t="s">
        <v>1255</v>
      </c>
      <c r="B25" s="97" t="s">
        <v>590</v>
      </c>
      <c r="C25" s="275"/>
      <c r="D25" s="44"/>
      <c r="E25" s="34"/>
    </row>
    <row r="26" spans="1:5" ht="18.75">
      <c r="A26" s="559" t="s">
        <v>1256</v>
      </c>
      <c r="B26" s="97" t="s">
        <v>1251</v>
      </c>
      <c r="C26" s="275"/>
      <c r="D26" s="44"/>
      <c r="E26" s="34"/>
    </row>
    <row r="27" spans="1:5" ht="18.75">
      <c r="A27" s="276" t="s">
        <v>1252</v>
      </c>
      <c r="B27" s="255" t="s">
        <v>4</v>
      </c>
      <c r="C27" s="378"/>
      <c r="D27" s="34"/>
      <c r="E27" s="34"/>
    </row>
    <row r="28" spans="1:5" ht="19.5" thickBot="1">
      <c r="A28" s="462" t="s">
        <v>1257</v>
      </c>
      <c r="B28" s="255" t="s">
        <v>635</v>
      </c>
      <c r="C28" s="378"/>
      <c r="D28" s="34"/>
      <c r="E28" s="34"/>
    </row>
    <row r="29" spans="1:5" ht="19.5" thickBot="1">
      <c r="A29" s="582" t="s">
        <v>1258</v>
      </c>
      <c r="B29" s="583" t="s">
        <v>69</v>
      </c>
      <c r="C29" s="378">
        <f>SUM(C25:C28)</f>
        <v>0</v>
      </c>
      <c r="D29" s="378">
        <f>SUM(D25:D28)</f>
        <v>0</v>
      </c>
      <c r="E29" s="378">
        <f>SUM(E25:E28)</f>
        <v>0</v>
      </c>
    </row>
    <row r="30" spans="1:5" ht="19.5" thickBot="1">
      <c r="A30" s="282"/>
      <c r="B30" s="283"/>
      <c r="C30" s="377"/>
      <c r="D30" s="34"/>
      <c r="E30" s="34"/>
    </row>
    <row r="31" spans="1:5" ht="18.75">
      <c r="A31" s="249" t="s">
        <v>1259</v>
      </c>
      <c r="B31" s="291" t="s">
        <v>533</v>
      </c>
      <c r="C31" s="377"/>
      <c r="D31" s="34"/>
      <c r="E31" s="34"/>
    </row>
    <row r="32" spans="1:5" ht="18.75">
      <c r="A32" s="253" t="s">
        <v>1260</v>
      </c>
      <c r="B32" s="254" t="s">
        <v>534</v>
      </c>
      <c r="C32" s="377"/>
      <c r="D32" s="41"/>
      <c r="E32" s="34"/>
    </row>
    <row r="33" spans="1:5" ht="18.75">
      <c r="A33" s="253" t="s">
        <v>1262</v>
      </c>
      <c r="B33" s="254" t="s">
        <v>1261</v>
      </c>
      <c r="C33" s="377"/>
      <c r="D33" s="41"/>
      <c r="E33" s="34"/>
    </row>
    <row r="34" spans="1:5" ht="18.75">
      <c r="A34" s="253" t="s">
        <v>1263</v>
      </c>
      <c r="B34" s="254" t="s">
        <v>124</v>
      </c>
      <c r="C34" s="377"/>
      <c r="D34" s="41"/>
      <c r="E34" s="34"/>
    </row>
    <row r="35" spans="1:5" ht="18.75">
      <c r="A35" s="253" t="s">
        <v>1264</v>
      </c>
      <c r="B35" s="254" t="s">
        <v>1265</v>
      </c>
      <c r="C35" s="570"/>
      <c r="D35" s="41"/>
      <c r="E35" s="34"/>
    </row>
    <row r="36" spans="1:5" ht="18.75">
      <c r="A36" s="253" t="s">
        <v>1335</v>
      </c>
      <c r="B36" s="562" t="s">
        <v>548</v>
      </c>
      <c r="C36" s="570">
        <f>SUM(C31:C35)</f>
        <v>0</v>
      </c>
      <c r="D36" s="570">
        <f>SUM(D31:D35)</f>
        <v>0</v>
      </c>
      <c r="E36" s="570">
        <f>SUM(E31:E35)</f>
        <v>0</v>
      </c>
    </row>
    <row r="37" spans="1:5" ht="18.75">
      <c r="A37" s="253" t="s">
        <v>1342</v>
      </c>
      <c r="B37" s="254" t="s">
        <v>1343</v>
      </c>
      <c r="C37" s="570"/>
      <c r="D37" s="570"/>
      <c r="E37" s="570"/>
    </row>
    <row r="38" spans="1:5" ht="18.75">
      <c r="A38" s="253" t="s">
        <v>1344</v>
      </c>
      <c r="B38" s="254" t="s">
        <v>1267</v>
      </c>
      <c r="C38" s="570"/>
      <c r="D38" s="34"/>
      <c r="E38" s="34"/>
    </row>
    <row r="39" spans="1:5" ht="18.75">
      <c r="A39" s="253" t="s">
        <v>1345</v>
      </c>
      <c r="B39" s="254" t="s">
        <v>88</v>
      </c>
      <c r="C39" s="570"/>
      <c r="D39" s="34"/>
      <c r="E39" s="34"/>
    </row>
    <row r="40" spans="1:5" ht="18.75">
      <c r="A40" s="253" t="s">
        <v>1346</v>
      </c>
      <c r="B40" s="254" t="s">
        <v>1268</v>
      </c>
      <c r="C40" s="377"/>
      <c r="D40" s="34"/>
      <c r="E40" s="34"/>
    </row>
    <row r="41" spans="1:5" ht="19.5" thickBot="1">
      <c r="A41" s="288" t="s">
        <v>1347</v>
      </c>
      <c r="B41" s="289" t="s">
        <v>1269</v>
      </c>
      <c r="C41" s="377"/>
      <c r="D41" s="34"/>
      <c r="E41" s="34"/>
    </row>
    <row r="42" spans="1:5" ht="17.25" customHeight="1" thickBot="1">
      <c r="A42" s="268" t="s">
        <v>1266</v>
      </c>
      <c r="B42" s="571" t="s">
        <v>1270</v>
      </c>
      <c r="C42" s="377">
        <f>SUM(C37:C41)</f>
        <v>0</v>
      </c>
      <c r="D42" s="377">
        <f>SUM(D38:D41)</f>
        <v>0</v>
      </c>
      <c r="E42" s="377">
        <f>SUM(E38:E41)</f>
        <v>0</v>
      </c>
    </row>
    <row r="43" spans="1:5" ht="22.5" customHeight="1" thickBot="1">
      <c r="A43" s="572" t="s">
        <v>1300</v>
      </c>
      <c r="B43" s="573" t="s">
        <v>595</v>
      </c>
      <c r="C43" s="574">
        <f>SUM(C42,C36)</f>
        <v>0</v>
      </c>
      <c r="D43" s="574">
        <f>SUM(D42,D36)</f>
        <v>0</v>
      </c>
      <c r="E43" s="574">
        <f>SUM(E42,E36)</f>
        <v>0</v>
      </c>
    </row>
    <row r="44" spans="1:5" ht="18.75">
      <c r="A44" s="249" t="s">
        <v>1271</v>
      </c>
      <c r="B44" s="291" t="s">
        <v>1348</v>
      </c>
      <c r="C44" s="377"/>
      <c r="D44" s="34"/>
      <c r="E44" s="34"/>
    </row>
    <row r="45" spans="1:5" ht="18.75">
      <c r="A45" s="494" t="s">
        <v>1350</v>
      </c>
      <c r="B45" s="590" t="s">
        <v>1351</v>
      </c>
      <c r="C45" s="377"/>
      <c r="D45" s="34"/>
      <c r="E45" s="34"/>
    </row>
    <row r="46" spans="1:5" ht="18.75">
      <c r="A46" s="253" t="s">
        <v>1272</v>
      </c>
      <c r="B46" s="254" t="s">
        <v>1349</v>
      </c>
      <c r="C46" s="295"/>
      <c r="D46" s="566"/>
      <c r="E46" s="34"/>
    </row>
    <row r="47" spans="1:5" ht="18.75">
      <c r="A47" s="575" t="s">
        <v>1301</v>
      </c>
      <c r="B47" s="576" t="s">
        <v>1366</v>
      </c>
      <c r="C47" s="577">
        <f>SUM(C44:C46)</f>
        <v>0</v>
      </c>
      <c r="D47" s="577">
        <f>SUM(D44:D46)</f>
        <v>0</v>
      </c>
      <c r="E47" s="577">
        <f>SUM(E44:E46)</f>
        <v>0</v>
      </c>
    </row>
    <row r="48" spans="1:5" ht="18.75">
      <c r="A48" s="253" t="s">
        <v>1275</v>
      </c>
      <c r="B48" s="254" t="s">
        <v>544</v>
      </c>
      <c r="C48" s="295"/>
      <c r="D48" s="566"/>
      <c r="E48" s="34"/>
    </row>
    <row r="49" spans="1:5" ht="18.75">
      <c r="A49" s="253" t="s">
        <v>1274</v>
      </c>
      <c r="B49" s="254" t="s">
        <v>543</v>
      </c>
      <c r="C49" s="295"/>
      <c r="D49" s="34"/>
      <c r="E49" s="34"/>
    </row>
    <row r="50" spans="1:5" ht="18.75">
      <c r="A50" s="253" t="s">
        <v>1276</v>
      </c>
      <c r="B50" s="254" t="s">
        <v>503</v>
      </c>
      <c r="C50" s="295"/>
      <c r="D50" s="34"/>
      <c r="E50" s="34"/>
    </row>
    <row r="51" spans="1:5" ht="18.75">
      <c r="A51" s="575" t="s">
        <v>1273</v>
      </c>
      <c r="B51" s="576" t="s">
        <v>1277</v>
      </c>
      <c r="C51" s="577">
        <f>SUM(C48:C50)</f>
        <v>0</v>
      </c>
      <c r="D51" s="577">
        <f>SUM(D48:D50)</f>
        <v>0</v>
      </c>
      <c r="E51" s="577">
        <f>SUM(E48:E50)</f>
        <v>0</v>
      </c>
    </row>
    <row r="52" spans="1:5" ht="18.75">
      <c r="A52" s="253" t="s">
        <v>1332</v>
      </c>
      <c r="B52" s="254" t="s">
        <v>1278</v>
      </c>
      <c r="C52" s="295"/>
      <c r="D52" s="34"/>
      <c r="E52" s="34"/>
    </row>
    <row r="53" spans="1:5" ht="18.75">
      <c r="A53" s="253" t="s">
        <v>1280</v>
      </c>
      <c r="B53" s="254" t="s">
        <v>26</v>
      </c>
      <c r="C53" s="295"/>
      <c r="D53" s="41"/>
      <c r="E53" s="34"/>
    </row>
    <row r="54" spans="1:5" ht="18.75">
      <c r="A54" s="253" t="s">
        <v>1281</v>
      </c>
      <c r="B54" s="254" t="s">
        <v>1352</v>
      </c>
      <c r="C54" s="377"/>
      <c r="D54" s="34"/>
      <c r="E54" s="34"/>
    </row>
    <row r="55" spans="1:5" ht="18.75">
      <c r="A55" s="575" t="s">
        <v>1283</v>
      </c>
      <c r="B55" s="576" t="s">
        <v>1282</v>
      </c>
      <c r="C55" s="574">
        <f>SUM(C53:C54)</f>
        <v>0</v>
      </c>
      <c r="D55" s="574">
        <f>SUM(D53:D54)</f>
        <v>0</v>
      </c>
      <c r="E55" s="574">
        <f>SUM(E53:E54)</f>
        <v>0</v>
      </c>
    </row>
    <row r="56" spans="1:5" ht="18.75">
      <c r="A56" s="575" t="s">
        <v>1284</v>
      </c>
      <c r="B56" s="588" t="s">
        <v>1333</v>
      </c>
      <c r="C56" s="589"/>
      <c r="D56" s="589"/>
      <c r="E56" s="589"/>
    </row>
    <row r="57" spans="1:5" ht="18.75">
      <c r="A57" s="288"/>
      <c r="B57" s="554" t="s">
        <v>943</v>
      </c>
      <c r="C57" s="554"/>
      <c r="D57" s="554"/>
      <c r="E57" s="554"/>
    </row>
    <row r="58" spans="1:5" ht="18.75">
      <c r="A58" s="288" t="s">
        <v>1353</v>
      </c>
      <c r="B58" s="554" t="s">
        <v>547</v>
      </c>
      <c r="C58" s="554"/>
      <c r="D58" s="554"/>
      <c r="E58" s="554"/>
    </row>
    <row r="59" spans="1:5" ht="18.75">
      <c r="A59" s="288" t="s">
        <v>1354</v>
      </c>
      <c r="B59" s="554" t="s">
        <v>1355</v>
      </c>
      <c r="C59" s="554"/>
      <c r="D59" s="554"/>
      <c r="E59" s="554"/>
    </row>
    <row r="60" spans="1:5" ht="27" customHeight="1">
      <c r="A60" s="561" t="s">
        <v>1285</v>
      </c>
      <c r="B60" s="552" t="s">
        <v>945</v>
      </c>
      <c r="C60" s="591">
        <f>SUM(C58:C59)</f>
        <v>0</v>
      </c>
      <c r="D60" s="591">
        <f>SUM(D58:D59)</f>
        <v>0</v>
      </c>
      <c r="E60" s="591">
        <f>SUM(E58:E59)</f>
        <v>0</v>
      </c>
    </row>
    <row r="61" spans="1:5" ht="23.25" customHeight="1">
      <c r="A61" s="462" t="s">
        <v>1356</v>
      </c>
      <c r="B61" s="553" t="s">
        <v>1362</v>
      </c>
      <c r="C61" s="591"/>
      <c r="D61" s="591"/>
      <c r="E61" s="591"/>
    </row>
    <row r="62" spans="1:5" ht="23.25" customHeight="1">
      <c r="A62" s="462" t="s">
        <v>1357</v>
      </c>
      <c r="B62" s="553" t="s">
        <v>1358</v>
      </c>
      <c r="C62" s="591"/>
      <c r="D62" s="591"/>
      <c r="E62" s="591"/>
    </row>
    <row r="63" spans="1:5" ht="23.25" customHeight="1">
      <c r="A63" s="462" t="s">
        <v>1359</v>
      </c>
      <c r="B63" s="553" t="s">
        <v>9</v>
      </c>
      <c r="C63" s="591"/>
      <c r="D63" s="591"/>
      <c r="E63" s="591"/>
    </row>
    <row r="64" spans="1:6" ht="23.25" customHeight="1" thickBot="1">
      <c r="A64" s="462" t="s">
        <v>1360</v>
      </c>
      <c r="B64" s="553" t="s">
        <v>1361</v>
      </c>
      <c r="C64" s="591"/>
      <c r="D64" s="591"/>
      <c r="E64" s="591"/>
      <c r="F64" s="21" t="s">
        <v>1368</v>
      </c>
    </row>
    <row r="65" spans="1:5" ht="17.25" customHeight="1" thickBot="1">
      <c r="A65" s="298" t="s">
        <v>1286</v>
      </c>
      <c r="B65" s="552" t="s">
        <v>948</v>
      </c>
      <c r="C65" s="591">
        <f>SUM(C61:C64)</f>
        <v>0</v>
      </c>
      <c r="D65" s="591">
        <f>SUM(D61:D64)</f>
        <v>0</v>
      </c>
      <c r="E65" s="591">
        <f>SUM(E61:E64)</f>
        <v>0</v>
      </c>
    </row>
    <row r="66" spans="1:5" ht="25.5" customHeight="1">
      <c r="A66" s="578" t="s">
        <v>1279</v>
      </c>
      <c r="B66" s="579" t="s">
        <v>1287</v>
      </c>
      <c r="C66" s="579">
        <f>SUM(C65+C60+C56+C55+C52)</f>
        <v>0</v>
      </c>
      <c r="D66" s="579">
        <f>SUM(D65+D60+D56+D55+D52)</f>
        <v>0</v>
      </c>
      <c r="E66" s="579">
        <f>SUM(E65+E60+E56+E55+E52)</f>
        <v>0</v>
      </c>
    </row>
    <row r="67" spans="1:5" ht="18.75">
      <c r="A67" s="253" t="s">
        <v>1288</v>
      </c>
      <c r="B67" s="553" t="s">
        <v>952</v>
      </c>
      <c r="C67" s="553"/>
      <c r="D67" s="553"/>
      <c r="E67" s="553"/>
    </row>
    <row r="68" spans="1:5" ht="18.75">
      <c r="A68" s="253" t="s">
        <v>1289</v>
      </c>
      <c r="B68" s="553" t="s">
        <v>954</v>
      </c>
      <c r="C68" s="553"/>
      <c r="D68" s="553"/>
      <c r="E68" s="553"/>
    </row>
    <row r="69" spans="1:5" ht="24" customHeight="1">
      <c r="A69" s="575" t="s">
        <v>1291</v>
      </c>
      <c r="B69" s="579" t="s">
        <v>1290</v>
      </c>
      <c r="C69" s="579">
        <f>SUM(C67:C68)</f>
        <v>0</v>
      </c>
      <c r="D69" s="579">
        <f>SUM(D67:D68)</f>
        <v>0</v>
      </c>
      <c r="E69" s="579">
        <f>SUM(E67:E68)</f>
        <v>0</v>
      </c>
    </row>
    <row r="70" spans="1:5" ht="26.25" customHeight="1" thickBot="1">
      <c r="A70" s="561" t="s">
        <v>1294</v>
      </c>
      <c r="B70" s="552" t="s">
        <v>958</v>
      </c>
      <c r="C70" s="552"/>
      <c r="D70" s="552"/>
      <c r="E70" s="552"/>
    </row>
    <row r="71" spans="1:5" ht="27" customHeight="1" thickBot="1">
      <c r="A71" s="268" t="s">
        <v>1295</v>
      </c>
      <c r="B71" s="552" t="s">
        <v>960</v>
      </c>
      <c r="C71" s="552"/>
      <c r="D71" s="552"/>
      <c r="E71" s="552"/>
    </row>
    <row r="72" spans="1:5" ht="19.5" thickBot="1">
      <c r="A72" s="210" t="s">
        <v>1296</v>
      </c>
      <c r="B72" s="552" t="s">
        <v>1293</v>
      </c>
      <c r="C72" s="552"/>
      <c r="D72" s="552"/>
      <c r="E72" s="552"/>
    </row>
    <row r="73" spans="1:5" ht="24.75" customHeight="1">
      <c r="A73" s="593" t="s">
        <v>1298</v>
      </c>
      <c r="B73" s="594" t="s">
        <v>1363</v>
      </c>
      <c r="C73" s="594"/>
      <c r="D73" s="552"/>
      <c r="E73" s="552"/>
    </row>
    <row r="74" spans="1:6" ht="24.75" customHeight="1">
      <c r="A74" s="592" t="s">
        <v>1364</v>
      </c>
      <c r="B74" s="563" t="s">
        <v>1365</v>
      </c>
      <c r="C74" s="563"/>
      <c r="D74" s="553"/>
      <c r="E74" s="553"/>
      <c r="F74" s="21" t="s">
        <v>1369</v>
      </c>
    </row>
    <row r="75" spans="1:5" ht="24.75" customHeight="1">
      <c r="A75" s="592" t="s">
        <v>1370</v>
      </c>
      <c r="B75" s="563" t="s">
        <v>1367</v>
      </c>
      <c r="C75" s="563"/>
      <c r="D75" s="553"/>
      <c r="E75" s="553"/>
    </row>
    <row r="76" spans="1:5" ht="18.75">
      <c r="A76" s="98" t="s">
        <v>1297</v>
      </c>
      <c r="B76" s="552" t="s">
        <v>970</v>
      </c>
      <c r="C76" s="552">
        <f>SUM(C74:C75)</f>
        <v>0</v>
      </c>
      <c r="D76" s="552">
        <f>SUM(D74:D75)</f>
        <v>0</v>
      </c>
      <c r="E76" s="552">
        <f>SUM(E74:E75)</f>
        <v>0</v>
      </c>
    </row>
    <row r="77" spans="1:5" ht="24.75" customHeight="1">
      <c r="A77" s="580" t="s">
        <v>1292</v>
      </c>
      <c r="B77" s="579" t="s">
        <v>1334</v>
      </c>
      <c r="C77" s="579">
        <f>C76+C73+C72+C71+C70</f>
        <v>0</v>
      </c>
      <c r="D77" s="579">
        <f>D76+D73+D72+D71+D70</f>
        <v>0</v>
      </c>
      <c r="E77" s="579">
        <f>E76+E73+E72+E71+E70</f>
        <v>0</v>
      </c>
    </row>
    <row r="78" spans="1:10" ht="24.75" customHeight="1">
      <c r="A78" s="587" t="s">
        <v>1299</v>
      </c>
      <c r="B78" s="585" t="s">
        <v>70</v>
      </c>
      <c r="C78" s="579">
        <f>SUM(C77+C69+C66+C47+C43)</f>
        <v>0</v>
      </c>
      <c r="D78" s="579">
        <f>SUM(D77+D69+D66+D47+D43)</f>
        <v>0</v>
      </c>
      <c r="E78" s="579">
        <f>SUM(E77+E69+E66+E47+E43)</f>
        <v>0</v>
      </c>
      <c r="F78" s="560"/>
      <c r="G78" s="560"/>
      <c r="H78" s="560"/>
      <c r="I78" s="560"/>
      <c r="J78" s="560"/>
    </row>
    <row r="79" spans="1:10" ht="24.75" customHeight="1">
      <c r="A79" s="98" t="s">
        <v>1307</v>
      </c>
      <c r="B79" s="553" t="s">
        <v>1302</v>
      </c>
      <c r="C79" s="552"/>
      <c r="D79" s="552"/>
      <c r="E79" s="552"/>
      <c r="F79" s="560"/>
      <c r="G79" s="560"/>
      <c r="H79" s="560"/>
      <c r="I79" s="560"/>
      <c r="J79" s="560"/>
    </row>
    <row r="80" spans="1:10" ht="24.75" customHeight="1">
      <c r="A80" s="98" t="s">
        <v>1306</v>
      </c>
      <c r="B80" s="553" t="s">
        <v>1308</v>
      </c>
      <c r="C80" s="552"/>
      <c r="D80" s="552"/>
      <c r="E80" s="552"/>
      <c r="F80" s="560"/>
      <c r="G80" s="560"/>
      <c r="H80" s="560"/>
      <c r="I80" s="560"/>
      <c r="J80" s="560"/>
    </row>
    <row r="81" spans="1:10" ht="24.75" customHeight="1">
      <c r="A81" s="98"/>
      <c r="B81" s="97" t="s">
        <v>1304</v>
      </c>
      <c r="C81" s="552"/>
      <c r="D81" s="552"/>
      <c r="E81" s="552"/>
      <c r="F81" s="560"/>
      <c r="G81" s="560"/>
      <c r="H81" s="560"/>
      <c r="I81" s="560"/>
      <c r="J81" s="560"/>
    </row>
    <row r="82" spans="1:5" ht="18.75">
      <c r="A82" s="98"/>
      <c r="B82" s="97" t="s">
        <v>1303</v>
      </c>
      <c r="C82" s="377"/>
      <c r="D82" s="34"/>
      <c r="E82" s="34"/>
    </row>
    <row r="83" spans="1:5" ht="18.75">
      <c r="A83" s="98"/>
      <c r="B83" s="567" t="s">
        <v>1305</v>
      </c>
      <c r="C83" s="377">
        <v>3600</v>
      </c>
      <c r="D83" s="34">
        <v>3600</v>
      </c>
      <c r="E83" s="34">
        <v>3600</v>
      </c>
    </row>
    <row r="84" spans="1:5" ht="25.5">
      <c r="A84" s="580" t="s">
        <v>1341</v>
      </c>
      <c r="B84" s="579" t="s">
        <v>1337</v>
      </c>
      <c r="C84" s="377">
        <f>SUM(C80:C83)</f>
        <v>3600</v>
      </c>
      <c r="D84" s="377">
        <f>SUM(D80:D83)</f>
        <v>3600</v>
      </c>
      <c r="E84" s="377">
        <f>SUM(E80:E83)</f>
        <v>3600</v>
      </c>
    </row>
    <row r="85" spans="1:5" s="564" customFormat="1" ht="18.75">
      <c r="A85" s="587" t="s">
        <v>1336</v>
      </c>
      <c r="B85" s="587" t="s">
        <v>1340</v>
      </c>
      <c r="C85" s="574">
        <f>SUM(C79+C84)</f>
        <v>3600</v>
      </c>
      <c r="D85" s="574">
        <f>SUM(D79+D84)</f>
        <v>3600</v>
      </c>
      <c r="E85" s="574">
        <f>SUM(E79+E84)</f>
        <v>3600</v>
      </c>
    </row>
    <row r="86" spans="1:5" ht="18.75">
      <c r="A86" s="97" t="s">
        <v>1309</v>
      </c>
      <c r="B86" s="553" t="s">
        <v>1113</v>
      </c>
      <c r="C86" s="553"/>
      <c r="D86" s="553"/>
      <c r="E86" s="553"/>
    </row>
    <row r="87" spans="1:5" s="382" customFormat="1" ht="15">
      <c r="A87" s="97" t="s">
        <v>1310</v>
      </c>
      <c r="B87" s="553" t="s">
        <v>1371</v>
      </c>
      <c r="C87" s="553"/>
      <c r="D87" s="553"/>
      <c r="E87" s="553"/>
    </row>
    <row r="88" spans="1:5" ht="18.75">
      <c r="A88" s="172" t="s">
        <v>1311</v>
      </c>
      <c r="B88" s="553" t="s">
        <v>1117</v>
      </c>
      <c r="C88" s="553"/>
      <c r="D88" s="553"/>
      <c r="E88" s="553"/>
    </row>
    <row r="89" spans="1:5" ht="24" customHeight="1">
      <c r="A89" s="172" t="s">
        <v>1312</v>
      </c>
      <c r="B89" s="553" t="s">
        <v>1118</v>
      </c>
      <c r="C89" s="553"/>
      <c r="D89" s="553"/>
      <c r="E89" s="553"/>
    </row>
    <row r="90" spans="1:5" ht="26.25" customHeight="1">
      <c r="A90" s="172" t="s">
        <v>1313</v>
      </c>
      <c r="B90" s="553" t="s">
        <v>1120</v>
      </c>
      <c r="C90" s="553"/>
      <c r="D90" s="553"/>
      <c r="E90" s="553"/>
    </row>
    <row r="91" spans="1:5" ht="25.5" customHeight="1">
      <c r="A91" s="172" t="s">
        <v>1314</v>
      </c>
      <c r="B91" s="553" t="s">
        <v>1126</v>
      </c>
      <c r="C91" s="553"/>
      <c r="D91" s="553"/>
      <c r="E91" s="553"/>
    </row>
    <row r="92" spans="1:5" ht="18.75">
      <c r="A92" s="584" t="s">
        <v>1315</v>
      </c>
      <c r="B92" s="585" t="s">
        <v>1339</v>
      </c>
      <c r="C92" s="552">
        <f>SUM(C86:C91)</f>
        <v>0</v>
      </c>
      <c r="D92" s="552">
        <f>SUM(D86:D91)</f>
        <v>0</v>
      </c>
      <c r="E92" s="552">
        <f>SUM(E86:E91)</f>
        <v>0</v>
      </c>
    </row>
    <row r="93" spans="1:5" ht="18.75">
      <c r="A93" s="172" t="s">
        <v>1316</v>
      </c>
      <c r="B93" s="553" t="s">
        <v>1130</v>
      </c>
      <c r="C93" s="553"/>
      <c r="D93" s="553"/>
      <c r="E93" s="553"/>
    </row>
    <row r="94" spans="1:5" ht="18.75">
      <c r="A94" s="172" t="s">
        <v>1317</v>
      </c>
      <c r="B94" s="553" t="s">
        <v>1132</v>
      </c>
      <c r="C94" s="553"/>
      <c r="D94" s="553"/>
      <c r="E94" s="553"/>
    </row>
    <row r="95" spans="1:5" ht="18.75">
      <c r="A95" s="172" t="s">
        <v>1318</v>
      </c>
      <c r="B95" s="553" t="s">
        <v>1134</v>
      </c>
      <c r="C95" s="553"/>
      <c r="D95" s="553"/>
      <c r="E95" s="553"/>
    </row>
    <row r="96" spans="1:5" ht="24" customHeight="1">
      <c r="A96" s="172" t="s">
        <v>1319</v>
      </c>
      <c r="B96" s="553" t="s">
        <v>1136</v>
      </c>
      <c r="C96" s="553"/>
      <c r="D96" s="553"/>
      <c r="E96" s="553"/>
    </row>
    <row r="97" spans="1:5" ht="18.75">
      <c r="A97" s="584" t="s">
        <v>1320</v>
      </c>
      <c r="B97" s="585" t="s">
        <v>1338</v>
      </c>
      <c r="C97" s="552">
        <f>SUM(C93:C96)</f>
        <v>0</v>
      </c>
      <c r="D97" s="552">
        <f>SUM(D93:D96)</f>
        <v>0</v>
      </c>
      <c r="E97" s="552">
        <f>SUM(E93:E96)</f>
        <v>0</v>
      </c>
    </row>
    <row r="98" spans="1:5" ht="25.5" customHeight="1">
      <c r="A98" s="172" t="s">
        <v>1323</v>
      </c>
      <c r="B98" s="555" t="s">
        <v>1325</v>
      </c>
      <c r="C98" s="555"/>
      <c r="D98" s="555"/>
      <c r="E98" s="555"/>
    </row>
    <row r="99" spans="1:5" ht="27" customHeight="1">
      <c r="A99" s="457" t="s">
        <v>1322</v>
      </c>
      <c r="B99" s="553" t="s">
        <v>1321</v>
      </c>
      <c r="C99" s="553"/>
      <c r="D99" s="553"/>
      <c r="E99" s="553"/>
    </row>
    <row r="100" spans="1:5" ht="18.75">
      <c r="A100" s="584" t="s">
        <v>1326</v>
      </c>
      <c r="B100" s="586" t="s">
        <v>1324</v>
      </c>
      <c r="C100" s="295">
        <f>SUM(C98:C99)</f>
        <v>0</v>
      </c>
      <c r="D100" s="295">
        <f>SUM(D98:D99)</f>
        <v>0</v>
      </c>
      <c r="E100" s="295">
        <f>SUM(E98:E99)</f>
        <v>0</v>
      </c>
    </row>
    <row r="101" spans="1:5" ht="18.75">
      <c r="A101" s="34"/>
      <c r="B101" s="36" t="s">
        <v>118</v>
      </c>
      <c r="C101" s="581">
        <f>SUM(C100+C97+C92+C85+C78+C29+C23)</f>
        <v>3600</v>
      </c>
      <c r="D101" s="581">
        <f>SUM(D100+D97+D92+D85+D78+D29+D23)</f>
        <v>3600</v>
      </c>
      <c r="E101" s="581">
        <f>SUM(E100+E97+E92+E85+E78+E29+E23)</f>
        <v>3600</v>
      </c>
    </row>
  </sheetData>
  <sheetProtection/>
  <mergeCells count="1">
    <mergeCell ref="A2:E2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H43"/>
  <sheetViews>
    <sheetView view="pageBreakPreview" zoomScale="60" zoomScalePageLayoutView="0" workbookViewId="0" topLeftCell="A1">
      <selection activeCell="H12" sqref="H12"/>
    </sheetView>
  </sheetViews>
  <sheetFormatPr defaultColWidth="8.66015625" defaultRowHeight="18"/>
  <cols>
    <col min="1" max="1" width="10.25" style="170" customWidth="1"/>
    <col min="2" max="2" width="31.66015625" style="30" customWidth="1"/>
    <col min="3" max="3" width="7.25" style="116" customWidth="1"/>
    <col min="4" max="4" width="7" style="116" customWidth="1"/>
    <col min="5" max="5" width="10.91015625" style="30" customWidth="1"/>
    <col min="6" max="7" width="8.91015625" style="30" customWidth="1"/>
    <col min="8" max="8" width="9.33203125" style="30" bestFit="1" customWidth="1"/>
    <col min="9" max="16384" width="8.91015625" style="30" customWidth="1"/>
  </cols>
  <sheetData>
    <row r="1" ht="15">
      <c r="D1" s="30"/>
    </row>
    <row r="2" spans="1:7" ht="15.75">
      <c r="A2" s="174">
        <v>811000</v>
      </c>
      <c r="B2" s="29" t="s">
        <v>403</v>
      </c>
      <c r="C2" s="199" t="s">
        <v>262</v>
      </c>
      <c r="D2" s="26" t="s">
        <v>281</v>
      </c>
      <c r="E2" s="46" t="s">
        <v>614</v>
      </c>
      <c r="F2" s="30" t="s">
        <v>714</v>
      </c>
      <c r="G2" s="30" t="s">
        <v>709</v>
      </c>
    </row>
    <row r="3" spans="4:5" ht="15.75">
      <c r="D3" s="30"/>
      <c r="E3" s="35"/>
    </row>
    <row r="4" spans="1:7" ht="15">
      <c r="A4" s="170">
        <v>5111112</v>
      </c>
      <c r="B4" s="30" t="s">
        <v>402</v>
      </c>
      <c r="C4" s="330"/>
      <c r="D4" s="175">
        <v>4087</v>
      </c>
      <c r="E4" s="25">
        <f>'[5]GEVSZ'!$P$40/1000</f>
        <v>4236</v>
      </c>
      <c r="G4" s="30">
        <v>4380</v>
      </c>
    </row>
    <row r="5" spans="2:7" ht="15">
      <c r="B5" s="30" t="s">
        <v>220</v>
      </c>
      <c r="C5" s="330"/>
      <c r="D5" s="175"/>
      <c r="E5" s="25">
        <v>50</v>
      </c>
      <c r="G5" s="30">
        <v>86</v>
      </c>
    </row>
    <row r="6" spans="1:7" ht="15.75">
      <c r="A6" s="170">
        <v>512192</v>
      </c>
      <c r="B6" s="30" t="s">
        <v>792</v>
      </c>
      <c r="D6" s="30">
        <v>30</v>
      </c>
      <c r="E6" s="35"/>
      <c r="G6" s="30">
        <v>366</v>
      </c>
    </row>
    <row r="7" spans="1:7" ht="15.75">
      <c r="A7" s="170">
        <v>514142</v>
      </c>
      <c r="B7" s="30" t="s">
        <v>340</v>
      </c>
      <c r="D7" s="30">
        <v>300</v>
      </c>
      <c r="E7" s="35">
        <v>240</v>
      </c>
      <c r="G7" s="30">
        <v>450</v>
      </c>
    </row>
    <row r="8" spans="3:5" ht="15.75">
      <c r="C8" s="222"/>
      <c r="D8" s="479"/>
      <c r="E8" s="480"/>
    </row>
    <row r="9" spans="2:7" ht="15.75">
      <c r="B9" s="29" t="s">
        <v>401</v>
      </c>
      <c r="C9" s="331">
        <v>4253</v>
      </c>
      <c r="D9" s="332">
        <f>SUM(D4:D7)</f>
        <v>4417</v>
      </c>
      <c r="E9" s="332">
        <f>SUM(E4:E7)</f>
        <v>4526</v>
      </c>
      <c r="F9" s="332">
        <f>SUM(F4:F7)</f>
        <v>0</v>
      </c>
      <c r="G9" s="332">
        <f>SUM(G4:G7)</f>
        <v>5282</v>
      </c>
    </row>
    <row r="10" spans="4:5" ht="15.75">
      <c r="D10" s="30"/>
      <c r="E10" s="35"/>
    </row>
    <row r="11" spans="1:8" ht="15.75">
      <c r="A11" s="170">
        <v>53115</v>
      </c>
      <c r="B11" s="30" t="s">
        <v>400</v>
      </c>
      <c r="C11" s="330"/>
      <c r="D11" s="175">
        <v>1193</v>
      </c>
      <c r="E11" s="166">
        <f>(E4+E6)*27%</f>
        <v>1143.72</v>
      </c>
      <c r="G11" s="30">
        <f>H11*27%</f>
        <v>1304.64</v>
      </c>
      <c r="H11" s="30">
        <f>G9-G7</f>
        <v>4832</v>
      </c>
    </row>
    <row r="12" spans="1:7" ht="15.75">
      <c r="A12" s="170">
        <v>5321</v>
      </c>
      <c r="B12" s="30" t="s">
        <v>508</v>
      </c>
      <c r="D12" s="30"/>
      <c r="E12" s="35">
        <v>40</v>
      </c>
      <c r="G12" s="30">
        <v>75</v>
      </c>
    </row>
    <row r="13" spans="1:7" ht="15.75">
      <c r="A13" s="170">
        <v>5341</v>
      </c>
      <c r="B13" s="30" t="s">
        <v>742</v>
      </c>
      <c r="D13" s="30"/>
      <c r="E13" s="35"/>
      <c r="G13" s="30">
        <v>87</v>
      </c>
    </row>
    <row r="14" spans="2:7" ht="15.75">
      <c r="B14" s="29" t="s">
        <v>339</v>
      </c>
      <c r="C14" s="331">
        <v>1060</v>
      </c>
      <c r="D14" s="332">
        <f>SUM(D11:D13)</f>
        <v>1193</v>
      </c>
      <c r="E14" s="332">
        <f>SUM(E11:E13)</f>
        <v>1183.72</v>
      </c>
      <c r="F14" s="332">
        <f>SUM(F11:F13)</f>
        <v>0</v>
      </c>
      <c r="G14" s="332">
        <f>SUM(G11:G13)</f>
        <v>1466.64</v>
      </c>
    </row>
    <row r="15" spans="2:5" ht="15.75">
      <c r="B15" s="29"/>
      <c r="D15" s="30"/>
      <c r="E15" s="35"/>
    </row>
    <row r="16" spans="2:5" ht="15.75">
      <c r="B16" s="29"/>
      <c r="D16" s="30"/>
      <c r="E16" s="35"/>
    </row>
    <row r="17" spans="1:8" ht="15">
      <c r="A17" s="170">
        <v>5481</v>
      </c>
      <c r="B17" s="30" t="s">
        <v>28</v>
      </c>
      <c r="C17" s="116">
        <v>120</v>
      </c>
      <c r="D17" s="30">
        <v>90</v>
      </c>
      <c r="E17" s="25">
        <v>120</v>
      </c>
      <c r="F17" s="30">
        <v>90</v>
      </c>
      <c r="G17" s="30">
        <v>120</v>
      </c>
      <c r="H17" s="30" t="s">
        <v>715</v>
      </c>
    </row>
    <row r="18" spans="1:5" ht="15.75">
      <c r="A18" s="170">
        <v>12</v>
      </c>
      <c r="B18" s="30" t="s">
        <v>337</v>
      </c>
      <c r="C18" s="116">
        <v>12</v>
      </c>
      <c r="D18" s="30">
        <v>12</v>
      </c>
      <c r="E18" s="35"/>
    </row>
    <row r="19" spans="1:7" ht="15.75">
      <c r="A19" s="170">
        <v>552129</v>
      </c>
      <c r="B19" s="30" t="s">
        <v>399</v>
      </c>
      <c r="C19" s="116">
        <v>110</v>
      </c>
      <c r="D19" s="30">
        <v>110</v>
      </c>
      <c r="E19" s="35">
        <v>50</v>
      </c>
      <c r="G19" s="30">
        <v>50</v>
      </c>
    </row>
    <row r="20" spans="2:7" ht="15.75">
      <c r="B20" s="29" t="s">
        <v>398</v>
      </c>
      <c r="C20" s="333">
        <f>SUM(C17:C19)</f>
        <v>242</v>
      </c>
      <c r="D20" s="29">
        <f>SUM(D17:D19)</f>
        <v>212</v>
      </c>
      <c r="E20" s="29">
        <f>SUM(E17:E19)</f>
        <v>170</v>
      </c>
      <c r="F20" s="29">
        <f>SUM(F17:F19)</f>
        <v>90</v>
      </c>
      <c r="G20" s="29">
        <f>SUM(G17:G19)</f>
        <v>170</v>
      </c>
    </row>
    <row r="21" spans="2:5" ht="15.75">
      <c r="B21" s="29"/>
      <c r="C21" s="333"/>
      <c r="D21" s="29"/>
      <c r="E21" s="35"/>
    </row>
    <row r="22" spans="1:7" ht="15">
      <c r="A22" s="170">
        <v>56111</v>
      </c>
      <c r="B22" s="30" t="s">
        <v>397</v>
      </c>
      <c r="C22" s="116">
        <v>66</v>
      </c>
      <c r="D22" s="30">
        <v>54</v>
      </c>
      <c r="E22" s="26">
        <f>E20*27%</f>
        <v>45.900000000000006</v>
      </c>
      <c r="F22" s="30">
        <v>24</v>
      </c>
      <c r="G22" s="30">
        <f>G20*27%</f>
        <v>45.900000000000006</v>
      </c>
    </row>
    <row r="23" spans="1:5" ht="15">
      <c r="A23" s="170">
        <v>56211</v>
      </c>
      <c r="B23" s="30" t="s">
        <v>18</v>
      </c>
      <c r="C23" s="116">
        <v>20</v>
      </c>
      <c r="D23" s="30">
        <v>20</v>
      </c>
      <c r="E23" s="25"/>
    </row>
    <row r="24" spans="2:7" ht="15.75">
      <c r="B24" s="29" t="s">
        <v>357</v>
      </c>
      <c r="C24" s="333">
        <f>SUM(C22:C23)</f>
        <v>86</v>
      </c>
      <c r="D24" s="29">
        <f>SUM(D22:D23)</f>
        <v>74</v>
      </c>
      <c r="E24" s="29">
        <f>SUM(E22:E23)</f>
        <v>45.900000000000006</v>
      </c>
      <c r="F24" s="29">
        <f>SUM(F22:F23)</f>
        <v>24</v>
      </c>
      <c r="G24" s="29">
        <f>SUM(G22:G23)</f>
        <v>45.900000000000006</v>
      </c>
    </row>
    <row r="25" spans="4:5" ht="15.75">
      <c r="D25" s="30"/>
      <c r="E25" s="35"/>
    </row>
    <row r="26" spans="2:7" ht="15.75">
      <c r="B26" s="29" t="s">
        <v>29</v>
      </c>
      <c r="C26" s="334">
        <f>SUM(C20,C24)</f>
        <v>328</v>
      </c>
      <c r="D26" s="176">
        <f>SUM(D20,D24)</f>
        <v>286</v>
      </c>
      <c r="E26" s="176">
        <f>SUM(E20,E24)</f>
        <v>215.9</v>
      </c>
      <c r="F26" s="176">
        <f>SUM(F20,F24)</f>
        <v>114</v>
      </c>
      <c r="G26" s="176">
        <f>SUM(G20,G24)</f>
        <v>215.9</v>
      </c>
    </row>
    <row r="27" spans="4:5" ht="15.75">
      <c r="D27" s="30"/>
      <c r="E27" s="35"/>
    </row>
    <row r="28" spans="2:7" ht="15.75">
      <c r="B28" s="29" t="s">
        <v>0</v>
      </c>
      <c r="C28" s="331">
        <f>SUM(C9+C14+C26)</f>
        <v>5641</v>
      </c>
      <c r="D28" s="332">
        <f>SUM(D9+D14+D26)</f>
        <v>5896</v>
      </c>
      <c r="E28" s="332">
        <f>SUM(E9+E14+E26)</f>
        <v>5925.62</v>
      </c>
      <c r="F28" s="332">
        <f>SUM(F9+F14+F26)</f>
        <v>114</v>
      </c>
      <c r="G28" s="332">
        <f>SUM(G9+G14+G26)</f>
        <v>6964.54</v>
      </c>
    </row>
    <row r="29" spans="4:5" ht="15.75">
      <c r="D29" s="30"/>
      <c r="E29" s="35"/>
    </row>
    <row r="30" spans="4:5" ht="15.75">
      <c r="D30" s="30"/>
      <c r="E30" s="35"/>
    </row>
    <row r="31" spans="2:5" ht="15.75">
      <c r="B31" s="30" t="s">
        <v>331</v>
      </c>
      <c r="D31" s="30"/>
      <c r="E31" s="35"/>
    </row>
    <row r="32" spans="2:5" ht="15.75">
      <c r="B32" s="30" t="s">
        <v>396</v>
      </c>
      <c r="C32" s="116">
        <v>778</v>
      </c>
      <c r="D32" s="30">
        <v>389</v>
      </c>
      <c r="E32" s="35"/>
    </row>
    <row r="33" spans="2:5" ht="15.75">
      <c r="B33" s="30" t="s">
        <v>62</v>
      </c>
      <c r="C33" s="116">
        <f>SUM(C32)</f>
        <v>778</v>
      </c>
      <c r="D33" s="30">
        <f>SUM(D32)</f>
        <v>389</v>
      </c>
      <c r="E33" s="35"/>
    </row>
    <row r="34" ht="15">
      <c r="D34" s="30"/>
    </row>
    <row r="35" ht="15">
      <c r="D35" s="30"/>
    </row>
    <row r="36" ht="15">
      <c r="D36" s="30"/>
    </row>
    <row r="37" ht="15">
      <c r="D37" s="30"/>
    </row>
    <row r="38" ht="15">
      <c r="D38" s="30"/>
    </row>
    <row r="39" ht="15">
      <c r="D39" s="30"/>
    </row>
    <row r="40" ht="15">
      <c r="D40" s="30"/>
    </row>
    <row r="41" ht="15">
      <c r="D41" s="30"/>
    </row>
    <row r="42" ht="15">
      <c r="D42" s="30"/>
    </row>
    <row r="43" ht="15">
      <c r="D43" s="30"/>
    </row>
  </sheetData>
  <sheetProtection/>
  <printOptions/>
  <pageMargins left="0.7" right="0.7" top="0.75" bottom="0.75" header="0.3" footer="0.3"/>
  <pageSetup horizontalDpi="300" verticalDpi="3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BB328"/>
  <sheetViews>
    <sheetView zoomScalePageLayoutView="0" workbookViewId="0" topLeftCell="A1">
      <selection activeCell="C38" sqref="C38:U38"/>
    </sheetView>
  </sheetViews>
  <sheetFormatPr defaultColWidth="8.66015625" defaultRowHeight="18"/>
  <cols>
    <col min="1" max="2" width="2.08203125" style="545" customWidth="1"/>
    <col min="3" max="54" width="2" style="545" customWidth="1"/>
    <col min="55" max="105" width="2.08203125" style="545" customWidth="1"/>
    <col min="106" max="16384" width="8.91015625" style="545" customWidth="1"/>
  </cols>
  <sheetData>
    <row r="1" spans="1:54" ht="12.75" customHeight="1">
      <c r="A1" s="621" t="s">
        <v>827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2"/>
      <c r="W1" s="622"/>
      <c r="X1" s="622"/>
      <c r="Y1" s="622"/>
      <c r="Z1" s="622"/>
      <c r="AA1" s="622"/>
      <c r="AB1" s="622"/>
      <c r="AC1" s="622"/>
      <c r="AD1" s="622"/>
      <c r="AE1" s="622"/>
      <c r="AF1" s="622"/>
      <c r="AG1" s="622"/>
      <c r="AH1" s="622"/>
      <c r="AI1" s="622"/>
      <c r="AJ1" s="622"/>
      <c r="AK1" s="622"/>
      <c r="AL1" s="622"/>
      <c r="AM1" s="622"/>
      <c r="AN1" s="622"/>
      <c r="AO1" s="622"/>
      <c r="AP1" s="622"/>
      <c r="AQ1" s="622"/>
      <c r="AR1" s="622"/>
      <c r="AS1" s="622"/>
      <c r="AT1" s="622"/>
      <c r="AU1" s="622"/>
      <c r="AV1" s="622"/>
      <c r="AW1" s="622"/>
      <c r="AX1" s="622"/>
      <c r="AY1" s="622"/>
      <c r="AZ1" s="622"/>
      <c r="BA1" s="622"/>
      <c r="BB1" s="622"/>
    </row>
    <row r="2" spans="1:54" ht="12.75" customHeight="1">
      <c r="A2" s="623" t="s">
        <v>828</v>
      </c>
      <c r="B2" s="623"/>
      <c r="C2" s="624" t="s">
        <v>829</v>
      </c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  <c r="Q2" s="624"/>
      <c r="R2" s="624"/>
      <c r="S2" s="624"/>
      <c r="T2" s="624"/>
      <c r="U2" s="624"/>
      <c r="V2" s="623" t="s">
        <v>830</v>
      </c>
      <c r="W2" s="623"/>
      <c r="X2" s="623"/>
      <c r="Y2" s="624" t="s">
        <v>831</v>
      </c>
      <c r="Z2" s="624"/>
      <c r="AA2" s="624"/>
      <c r="AB2" s="624"/>
      <c r="AC2" s="624"/>
      <c r="AD2" s="624"/>
      <c r="AE2" s="624"/>
      <c r="AF2" s="624"/>
      <c r="AG2" s="624"/>
      <c r="AH2" s="624"/>
      <c r="AI2" s="624"/>
      <c r="AJ2" s="624"/>
      <c r="AK2" s="624"/>
      <c r="AL2" s="624"/>
      <c r="AM2" s="624"/>
      <c r="AN2" s="624"/>
      <c r="AO2" s="624"/>
      <c r="AP2" s="624"/>
      <c r="AQ2" s="624"/>
      <c r="AR2" s="624"/>
      <c r="AS2" s="624"/>
      <c r="AT2" s="624"/>
      <c r="AU2" s="624"/>
      <c r="AV2" s="624"/>
      <c r="AW2" s="624"/>
      <c r="AX2" s="624"/>
      <c r="AY2" s="624"/>
      <c r="AZ2" s="624"/>
      <c r="BA2" s="624"/>
      <c r="BB2" s="624"/>
    </row>
    <row r="3" spans="1:54" ht="12.75" customHeight="1">
      <c r="A3" s="623"/>
      <c r="B3" s="623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624"/>
      <c r="Q3" s="624"/>
      <c r="R3" s="624"/>
      <c r="S3" s="624"/>
      <c r="T3" s="624"/>
      <c r="U3" s="624"/>
      <c r="V3" s="623"/>
      <c r="W3" s="623"/>
      <c r="X3" s="623"/>
      <c r="Y3" s="547"/>
      <c r="Z3" s="547"/>
      <c r="AA3" s="547"/>
      <c r="AB3" s="547"/>
      <c r="AC3" s="547"/>
      <c r="AD3" s="547"/>
      <c r="AE3" s="547"/>
      <c r="AF3" s="547"/>
      <c r="AG3" s="547"/>
      <c r="AH3" s="547"/>
      <c r="AI3" s="547"/>
      <c r="AJ3" s="547"/>
      <c r="AK3" s="547"/>
      <c r="AL3" s="547"/>
      <c r="AM3" s="547"/>
      <c r="AN3" s="547"/>
      <c r="AO3" s="547"/>
      <c r="AP3" s="547"/>
      <c r="AQ3" s="547"/>
      <c r="AR3" s="547"/>
      <c r="AS3" s="547"/>
      <c r="AT3" s="547"/>
      <c r="AU3" s="547"/>
      <c r="AV3" s="547"/>
      <c r="AW3" s="547"/>
      <c r="AX3" s="547"/>
      <c r="AY3" s="547"/>
      <c r="AZ3" s="547"/>
      <c r="BA3" s="547"/>
      <c r="BB3" s="547"/>
    </row>
    <row r="4" spans="1:54" ht="25.5" customHeight="1">
      <c r="A4" s="623"/>
      <c r="B4" s="623"/>
      <c r="C4" s="624"/>
      <c r="D4" s="624"/>
      <c r="E4" s="624"/>
      <c r="F4" s="624"/>
      <c r="G4" s="624"/>
      <c r="H4" s="624"/>
      <c r="I4" s="624"/>
      <c r="J4" s="624"/>
      <c r="K4" s="624"/>
      <c r="L4" s="624"/>
      <c r="M4" s="624"/>
      <c r="N4" s="624"/>
      <c r="O4" s="624"/>
      <c r="P4" s="624"/>
      <c r="Q4" s="624"/>
      <c r="R4" s="624"/>
      <c r="S4" s="624"/>
      <c r="T4" s="624"/>
      <c r="U4" s="624"/>
      <c r="V4" s="623"/>
      <c r="W4" s="623"/>
      <c r="X4" s="623"/>
      <c r="Y4" s="624"/>
      <c r="Z4" s="624"/>
      <c r="AA4" s="624"/>
      <c r="AB4" s="624"/>
      <c r="AC4" s="624"/>
      <c r="AD4" s="624"/>
      <c r="AE4" s="624"/>
      <c r="AF4" s="624"/>
      <c r="AG4" s="624"/>
      <c r="AH4" s="624"/>
      <c r="AI4" s="624"/>
      <c r="AJ4" s="624"/>
      <c r="AK4" s="624"/>
      <c r="AL4" s="624"/>
      <c r="AM4" s="624"/>
      <c r="AN4" s="624"/>
      <c r="AO4" s="624"/>
      <c r="AP4" s="624"/>
      <c r="AQ4" s="624"/>
      <c r="AR4" s="624"/>
      <c r="AS4" s="624"/>
      <c r="AT4" s="624"/>
      <c r="AU4" s="624"/>
      <c r="AV4" s="624"/>
      <c r="AW4" s="624"/>
      <c r="AX4" s="624"/>
      <c r="AY4" s="624"/>
      <c r="AZ4" s="624"/>
      <c r="BA4" s="624"/>
      <c r="BB4" s="624"/>
    </row>
    <row r="5" spans="1:54" ht="12.75" customHeight="1">
      <c r="A5" s="625" t="s">
        <v>832</v>
      </c>
      <c r="B5" s="625"/>
      <c r="C5" s="625" t="s">
        <v>833</v>
      </c>
      <c r="D5" s="625"/>
      <c r="E5" s="625"/>
      <c r="F5" s="625"/>
      <c r="G5" s="625"/>
      <c r="H5" s="625"/>
      <c r="I5" s="625"/>
      <c r="J5" s="625"/>
      <c r="K5" s="625"/>
      <c r="L5" s="625"/>
      <c r="M5" s="625"/>
      <c r="N5" s="625"/>
      <c r="O5" s="625"/>
      <c r="P5" s="625"/>
      <c r="Q5" s="625"/>
      <c r="R5" s="625"/>
      <c r="S5" s="625"/>
      <c r="T5" s="625"/>
      <c r="U5" s="625"/>
      <c r="V5" s="625" t="s">
        <v>834</v>
      </c>
      <c r="W5" s="625"/>
      <c r="X5" s="625"/>
      <c r="Y5" s="625" t="s">
        <v>835</v>
      </c>
      <c r="Z5" s="625"/>
      <c r="AA5" s="625"/>
      <c r="AB5" s="625"/>
      <c r="AC5" s="625"/>
      <c r="AD5" s="625"/>
      <c r="AE5" s="625" t="s">
        <v>836</v>
      </c>
      <c r="AF5" s="625"/>
      <c r="AG5" s="625"/>
      <c r="AH5" s="625"/>
      <c r="AI5" s="625"/>
      <c r="AJ5" s="625"/>
      <c r="AK5" s="625" t="s">
        <v>837</v>
      </c>
      <c r="AL5" s="625"/>
      <c r="AM5" s="625"/>
      <c r="AN5" s="625"/>
      <c r="AO5" s="625"/>
      <c r="AP5" s="625"/>
      <c r="AQ5" s="625" t="s">
        <v>838</v>
      </c>
      <c r="AR5" s="625"/>
      <c r="AS5" s="625"/>
      <c r="AT5" s="625"/>
      <c r="AU5" s="625"/>
      <c r="AV5" s="625"/>
      <c r="AW5" s="625" t="s">
        <v>839</v>
      </c>
      <c r="AX5" s="625"/>
      <c r="AY5" s="625"/>
      <c r="AZ5" s="625"/>
      <c r="BA5" s="625"/>
      <c r="BB5" s="625"/>
    </row>
    <row r="6" spans="1:54" ht="12.75" customHeight="1">
      <c r="A6" s="626" t="s">
        <v>840</v>
      </c>
      <c r="B6" s="627"/>
      <c r="C6" s="628" t="s">
        <v>841</v>
      </c>
      <c r="D6" s="629"/>
      <c r="E6" s="629"/>
      <c r="F6" s="629"/>
      <c r="G6" s="629"/>
      <c r="H6" s="629"/>
      <c r="I6" s="629"/>
      <c r="J6" s="629"/>
      <c r="K6" s="629"/>
      <c r="L6" s="629"/>
      <c r="M6" s="629"/>
      <c r="N6" s="629"/>
      <c r="O6" s="629"/>
      <c r="P6" s="629"/>
      <c r="Q6" s="629"/>
      <c r="R6" s="629"/>
      <c r="S6" s="629"/>
      <c r="T6" s="629"/>
      <c r="U6" s="630"/>
      <c r="V6" s="631" t="s">
        <v>842</v>
      </c>
      <c r="W6" s="632"/>
      <c r="X6" s="633"/>
      <c r="Y6" s="634"/>
      <c r="Z6" s="634"/>
      <c r="AA6" s="634"/>
      <c r="AB6" s="634"/>
      <c r="AC6" s="634"/>
      <c r="AD6" s="634"/>
      <c r="AE6" s="634"/>
      <c r="AF6" s="634"/>
      <c r="AG6" s="634"/>
      <c r="AH6" s="634"/>
      <c r="AI6" s="634"/>
      <c r="AJ6" s="634"/>
      <c r="AK6" s="634"/>
      <c r="AL6" s="634"/>
      <c r="AM6" s="634"/>
      <c r="AN6" s="634"/>
      <c r="AO6" s="634"/>
      <c r="AP6" s="634"/>
      <c r="AQ6" s="634"/>
      <c r="AR6" s="634"/>
      <c r="AS6" s="634"/>
      <c r="AT6" s="634"/>
      <c r="AU6" s="634"/>
      <c r="AV6" s="634"/>
      <c r="AW6" s="634"/>
      <c r="AX6" s="634"/>
      <c r="AY6" s="634"/>
      <c r="AZ6" s="634"/>
      <c r="BA6" s="634"/>
      <c r="BB6" s="634"/>
    </row>
    <row r="7" spans="1:54" ht="12.75" customHeight="1">
      <c r="A7" s="626" t="s">
        <v>843</v>
      </c>
      <c r="B7" s="627"/>
      <c r="C7" s="628" t="s">
        <v>844</v>
      </c>
      <c r="D7" s="629"/>
      <c r="E7" s="629"/>
      <c r="F7" s="629"/>
      <c r="G7" s="629"/>
      <c r="H7" s="629"/>
      <c r="I7" s="629"/>
      <c r="J7" s="629"/>
      <c r="K7" s="629"/>
      <c r="L7" s="629"/>
      <c r="M7" s="629"/>
      <c r="N7" s="629"/>
      <c r="O7" s="629"/>
      <c r="P7" s="629"/>
      <c r="Q7" s="629"/>
      <c r="R7" s="629"/>
      <c r="S7" s="629"/>
      <c r="T7" s="629"/>
      <c r="U7" s="630"/>
      <c r="V7" s="631" t="s">
        <v>845</v>
      </c>
      <c r="W7" s="632"/>
      <c r="X7" s="633"/>
      <c r="Y7" s="634"/>
      <c r="Z7" s="634"/>
      <c r="AA7" s="634"/>
      <c r="AB7" s="634"/>
      <c r="AC7" s="634"/>
      <c r="AD7" s="634"/>
      <c r="AE7" s="634"/>
      <c r="AF7" s="634"/>
      <c r="AG7" s="634"/>
      <c r="AH7" s="634"/>
      <c r="AI7" s="634"/>
      <c r="AJ7" s="634"/>
      <c r="AK7" s="634"/>
      <c r="AL7" s="634"/>
      <c r="AM7" s="634"/>
      <c r="AN7" s="634"/>
      <c r="AO7" s="634"/>
      <c r="AP7" s="634"/>
      <c r="AQ7" s="634"/>
      <c r="AR7" s="634"/>
      <c r="AS7" s="634"/>
      <c r="AT7" s="634"/>
      <c r="AU7" s="634"/>
      <c r="AV7" s="634"/>
      <c r="AW7" s="634"/>
      <c r="AX7" s="634"/>
      <c r="AY7" s="634"/>
      <c r="AZ7" s="634"/>
      <c r="BA7" s="634"/>
      <c r="BB7" s="634"/>
    </row>
    <row r="8" spans="1:54" ht="12.75" customHeight="1">
      <c r="A8" s="626" t="s">
        <v>846</v>
      </c>
      <c r="B8" s="627"/>
      <c r="C8" s="628" t="s">
        <v>847</v>
      </c>
      <c r="D8" s="629"/>
      <c r="E8" s="629"/>
      <c r="F8" s="629"/>
      <c r="G8" s="629"/>
      <c r="H8" s="629"/>
      <c r="I8" s="629"/>
      <c r="J8" s="629"/>
      <c r="K8" s="629"/>
      <c r="L8" s="629"/>
      <c r="M8" s="629"/>
      <c r="N8" s="629"/>
      <c r="O8" s="629"/>
      <c r="P8" s="629"/>
      <c r="Q8" s="629"/>
      <c r="R8" s="629"/>
      <c r="S8" s="629"/>
      <c r="T8" s="629"/>
      <c r="U8" s="630"/>
      <c r="V8" s="631" t="s">
        <v>848</v>
      </c>
      <c r="W8" s="632"/>
      <c r="X8" s="633"/>
      <c r="Y8" s="634"/>
      <c r="Z8" s="634"/>
      <c r="AA8" s="634"/>
      <c r="AB8" s="634"/>
      <c r="AC8" s="634"/>
      <c r="AD8" s="634"/>
      <c r="AE8" s="634"/>
      <c r="AF8" s="634"/>
      <c r="AG8" s="634"/>
      <c r="AH8" s="634"/>
      <c r="AI8" s="634"/>
      <c r="AJ8" s="634"/>
      <c r="AK8" s="634"/>
      <c r="AL8" s="634"/>
      <c r="AM8" s="634"/>
      <c r="AN8" s="634"/>
      <c r="AO8" s="634"/>
      <c r="AP8" s="634"/>
      <c r="AQ8" s="634"/>
      <c r="AR8" s="634"/>
      <c r="AS8" s="634"/>
      <c r="AT8" s="634"/>
      <c r="AU8" s="634"/>
      <c r="AV8" s="634"/>
      <c r="AW8" s="634"/>
      <c r="AX8" s="634"/>
      <c r="AY8" s="634"/>
      <c r="AZ8" s="634"/>
      <c r="BA8" s="634"/>
      <c r="BB8" s="634"/>
    </row>
    <row r="9" spans="1:54" ht="12.75" customHeight="1">
      <c r="A9" s="626" t="s">
        <v>849</v>
      </c>
      <c r="B9" s="627"/>
      <c r="C9" s="628" t="s">
        <v>850</v>
      </c>
      <c r="D9" s="629"/>
      <c r="E9" s="629"/>
      <c r="F9" s="629"/>
      <c r="G9" s="629"/>
      <c r="H9" s="629"/>
      <c r="I9" s="629"/>
      <c r="J9" s="629"/>
      <c r="K9" s="629"/>
      <c r="L9" s="629"/>
      <c r="M9" s="629"/>
      <c r="N9" s="629"/>
      <c r="O9" s="629"/>
      <c r="P9" s="629"/>
      <c r="Q9" s="629"/>
      <c r="R9" s="629"/>
      <c r="S9" s="629"/>
      <c r="T9" s="629"/>
      <c r="U9" s="630"/>
      <c r="V9" s="631" t="s">
        <v>851</v>
      </c>
      <c r="W9" s="632"/>
      <c r="X9" s="633"/>
      <c r="Y9" s="634"/>
      <c r="Z9" s="634"/>
      <c r="AA9" s="634"/>
      <c r="AB9" s="634"/>
      <c r="AC9" s="634"/>
      <c r="AD9" s="634"/>
      <c r="AE9" s="634"/>
      <c r="AF9" s="634"/>
      <c r="AG9" s="634"/>
      <c r="AH9" s="634"/>
      <c r="AI9" s="634"/>
      <c r="AJ9" s="634"/>
      <c r="AK9" s="634"/>
      <c r="AL9" s="634"/>
      <c r="AM9" s="634"/>
      <c r="AN9" s="634"/>
      <c r="AO9" s="634"/>
      <c r="AP9" s="634"/>
      <c r="AQ9" s="634"/>
      <c r="AR9" s="634"/>
      <c r="AS9" s="634"/>
      <c r="AT9" s="634"/>
      <c r="AU9" s="634"/>
      <c r="AV9" s="634"/>
      <c r="AW9" s="634"/>
      <c r="AX9" s="634"/>
      <c r="AY9" s="634"/>
      <c r="AZ9" s="634"/>
      <c r="BA9" s="634"/>
      <c r="BB9" s="634"/>
    </row>
    <row r="10" spans="1:54" ht="12.75" customHeight="1">
      <c r="A10" s="626" t="s">
        <v>852</v>
      </c>
      <c r="B10" s="627"/>
      <c r="C10" s="628" t="s">
        <v>853</v>
      </c>
      <c r="D10" s="629"/>
      <c r="E10" s="629"/>
      <c r="F10" s="629"/>
      <c r="G10" s="629"/>
      <c r="H10" s="629"/>
      <c r="I10" s="629"/>
      <c r="J10" s="629"/>
      <c r="K10" s="629"/>
      <c r="L10" s="629"/>
      <c r="M10" s="629"/>
      <c r="N10" s="629"/>
      <c r="O10" s="629"/>
      <c r="P10" s="629"/>
      <c r="Q10" s="629"/>
      <c r="R10" s="629"/>
      <c r="S10" s="629"/>
      <c r="T10" s="629"/>
      <c r="U10" s="630"/>
      <c r="V10" s="631" t="s">
        <v>854</v>
      </c>
      <c r="W10" s="632"/>
      <c r="X10" s="633"/>
      <c r="Y10" s="634"/>
      <c r="Z10" s="634"/>
      <c r="AA10" s="634"/>
      <c r="AB10" s="634"/>
      <c r="AC10" s="634"/>
      <c r="AD10" s="634"/>
      <c r="AE10" s="634"/>
      <c r="AF10" s="634"/>
      <c r="AG10" s="634"/>
      <c r="AH10" s="634"/>
      <c r="AI10" s="634"/>
      <c r="AJ10" s="634"/>
      <c r="AK10" s="634"/>
      <c r="AL10" s="634"/>
      <c r="AM10" s="634"/>
      <c r="AN10" s="634"/>
      <c r="AO10" s="634"/>
      <c r="AP10" s="634"/>
      <c r="AQ10" s="634"/>
      <c r="AR10" s="634"/>
      <c r="AS10" s="634"/>
      <c r="AT10" s="634"/>
      <c r="AU10" s="634"/>
      <c r="AV10" s="634"/>
      <c r="AW10" s="634"/>
      <c r="AX10" s="634"/>
      <c r="AY10" s="634"/>
      <c r="AZ10" s="634"/>
      <c r="BA10" s="634"/>
      <c r="BB10" s="634"/>
    </row>
    <row r="11" spans="1:54" ht="12.75" customHeight="1">
      <c r="A11" s="626" t="s">
        <v>855</v>
      </c>
      <c r="B11" s="627"/>
      <c r="C11" s="628" t="s">
        <v>48</v>
      </c>
      <c r="D11" s="629"/>
      <c r="E11" s="629"/>
      <c r="F11" s="629"/>
      <c r="G11" s="629"/>
      <c r="H11" s="629"/>
      <c r="I11" s="629"/>
      <c r="J11" s="629"/>
      <c r="K11" s="629"/>
      <c r="L11" s="629"/>
      <c r="M11" s="629"/>
      <c r="N11" s="629"/>
      <c r="O11" s="629"/>
      <c r="P11" s="629"/>
      <c r="Q11" s="629"/>
      <c r="R11" s="629"/>
      <c r="S11" s="629"/>
      <c r="T11" s="629"/>
      <c r="U11" s="630"/>
      <c r="V11" s="631" t="s">
        <v>856</v>
      </c>
      <c r="W11" s="632"/>
      <c r="X11" s="633"/>
      <c r="Y11" s="634"/>
      <c r="Z11" s="634"/>
      <c r="AA11" s="634"/>
      <c r="AB11" s="634"/>
      <c r="AC11" s="634"/>
      <c r="AD11" s="634"/>
      <c r="AE11" s="634"/>
      <c r="AF11" s="634"/>
      <c r="AG11" s="634"/>
      <c r="AH11" s="634"/>
      <c r="AI11" s="634"/>
      <c r="AJ11" s="634"/>
      <c r="AK11" s="634"/>
      <c r="AL11" s="634"/>
      <c r="AM11" s="634"/>
      <c r="AN11" s="634"/>
      <c r="AO11" s="634"/>
      <c r="AP11" s="634"/>
      <c r="AQ11" s="634"/>
      <c r="AR11" s="634"/>
      <c r="AS11" s="634"/>
      <c r="AT11" s="634"/>
      <c r="AU11" s="634"/>
      <c r="AV11" s="634"/>
      <c r="AW11" s="634"/>
      <c r="AX11" s="634"/>
      <c r="AY11" s="634"/>
      <c r="AZ11" s="634"/>
      <c r="BA11" s="634"/>
      <c r="BB11" s="634"/>
    </row>
    <row r="12" spans="1:54" ht="12.75" customHeight="1">
      <c r="A12" s="626" t="s">
        <v>857</v>
      </c>
      <c r="B12" s="627"/>
      <c r="C12" s="628" t="s">
        <v>858</v>
      </c>
      <c r="D12" s="629"/>
      <c r="E12" s="629"/>
      <c r="F12" s="629"/>
      <c r="G12" s="629"/>
      <c r="H12" s="629"/>
      <c r="I12" s="629"/>
      <c r="J12" s="629"/>
      <c r="K12" s="629"/>
      <c r="L12" s="629"/>
      <c r="M12" s="629"/>
      <c r="N12" s="629"/>
      <c r="O12" s="629"/>
      <c r="P12" s="629"/>
      <c r="Q12" s="629"/>
      <c r="R12" s="629"/>
      <c r="S12" s="629"/>
      <c r="T12" s="629"/>
      <c r="U12" s="630"/>
      <c r="V12" s="631" t="s">
        <v>859</v>
      </c>
      <c r="W12" s="632"/>
      <c r="X12" s="633"/>
      <c r="Y12" s="634"/>
      <c r="Z12" s="634"/>
      <c r="AA12" s="634"/>
      <c r="AB12" s="634"/>
      <c r="AC12" s="634"/>
      <c r="AD12" s="634"/>
      <c r="AE12" s="634"/>
      <c r="AF12" s="634"/>
      <c r="AG12" s="634"/>
      <c r="AH12" s="634"/>
      <c r="AI12" s="634"/>
      <c r="AJ12" s="634"/>
      <c r="AK12" s="634"/>
      <c r="AL12" s="634"/>
      <c r="AM12" s="634"/>
      <c r="AN12" s="634"/>
      <c r="AO12" s="634"/>
      <c r="AP12" s="634"/>
      <c r="AQ12" s="634"/>
      <c r="AR12" s="634"/>
      <c r="AS12" s="634"/>
      <c r="AT12" s="634"/>
      <c r="AU12" s="634"/>
      <c r="AV12" s="634"/>
      <c r="AW12" s="634"/>
      <c r="AX12" s="634"/>
      <c r="AY12" s="634"/>
      <c r="AZ12" s="634"/>
      <c r="BA12" s="634"/>
      <c r="BB12" s="634"/>
    </row>
    <row r="13" spans="1:54" ht="12.75" customHeight="1">
      <c r="A13" s="626" t="s">
        <v>860</v>
      </c>
      <c r="B13" s="627"/>
      <c r="C13" s="628" t="s">
        <v>861</v>
      </c>
      <c r="D13" s="629"/>
      <c r="E13" s="629"/>
      <c r="F13" s="629"/>
      <c r="G13" s="629"/>
      <c r="H13" s="629"/>
      <c r="I13" s="629"/>
      <c r="J13" s="629"/>
      <c r="K13" s="629"/>
      <c r="L13" s="629"/>
      <c r="M13" s="629"/>
      <c r="N13" s="629"/>
      <c r="O13" s="629"/>
      <c r="P13" s="629"/>
      <c r="Q13" s="629"/>
      <c r="R13" s="629"/>
      <c r="S13" s="629"/>
      <c r="T13" s="629"/>
      <c r="U13" s="630"/>
      <c r="V13" s="631" t="s">
        <v>862</v>
      </c>
      <c r="W13" s="632"/>
      <c r="X13" s="633"/>
      <c r="Y13" s="634"/>
      <c r="Z13" s="634"/>
      <c r="AA13" s="634"/>
      <c r="AB13" s="634"/>
      <c r="AC13" s="634"/>
      <c r="AD13" s="634"/>
      <c r="AE13" s="634"/>
      <c r="AF13" s="634"/>
      <c r="AG13" s="634"/>
      <c r="AH13" s="634"/>
      <c r="AI13" s="634"/>
      <c r="AJ13" s="634"/>
      <c r="AK13" s="634"/>
      <c r="AL13" s="634"/>
      <c r="AM13" s="634"/>
      <c r="AN13" s="634"/>
      <c r="AO13" s="634"/>
      <c r="AP13" s="634"/>
      <c r="AQ13" s="634"/>
      <c r="AR13" s="634"/>
      <c r="AS13" s="634"/>
      <c r="AT13" s="634"/>
      <c r="AU13" s="634"/>
      <c r="AV13" s="634"/>
      <c r="AW13" s="634"/>
      <c r="AX13" s="634"/>
      <c r="AY13" s="634"/>
      <c r="AZ13" s="634"/>
      <c r="BA13" s="634"/>
      <c r="BB13" s="634"/>
    </row>
    <row r="14" spans="1:54" ht="12.75" customHeight="1">
      <c r="A14" s="626" t="s">
        <v>863</v>
      </c>
      <c r="B14" s="627"/>
      <c r="C14" s="628" t="s">
        <v>1</v>
      </c>
      <c r="D14" s="629"/>
      <c r="E14" s="629"/>
      <c r="F14" s="629"/>
      <c r="G14" s="629"/>
      <c r="H14" s="629"/>
      <c r="I14" s="629"/>
      <c r="J14" s="629"/>
      <c r="K14" s="629"/>
      <c r="L14" s="629"/>
      <c r="M14" s="629"/>
      <c r="N14" s="629"/>
      <c r="O14" s="629"/>
      <c r="P14" s="629"/>
      <c r="Q14" s="629"/>
      <c r="R14" s="629"/>
      <c r="S14" s="629"/>
      <c r="T14" s="629"/>
      <c r="U14" s="630"/>
      <c r="V14" s="631" t="s">
        <v>864</v>
      </c>
      <c r="W14" s="632"/>
      <c r="X14" s="633"/>
      <c r="Y14" s="634"/>
      <c r="Z14" s="634"/>
      <c r="AA14" s="634"/>
      <c r="AB14" s="634"/>
      <c r="AC14" s="634"/>
      <c r="AD14" s="634"/>
      <c r="AE14" s="634"/>
      <c r="AF14" s="634"/>
      <c r="AG14" s="634"/>
      <c r="AH14" s="634"/>
      <c r="AI14" s="634"/>
      <c r="AJ14" s="634"/>
      <c r="AK14" s="634"/>
      <c r="AL14" s="634"/>
      <c r="AM14" s="634"/>
      <c r="AN14" s="634"/>
      <c r="AO14" s="634"/>
      <c r="AP14" s="634"/>
      <c r="AQ14" s="634"/>
      <c r="AR14" s="634"/>
      <c r="AS14" s="634"/>
      <c r="AT14" s="634"/>
      <c r="AU14" s="634"/>
      <c r="AV14" s="634"/>
      <c r="AW14" s="634"/>
      <c r="AX14" s="634"/>
      <c r="AY14" s="634"/>
      <c r="AZ14" s="634"/>
      <c r="BA14" s="634"/>
      <c r="BB14" s="634"/>
    </row>
    <row r="15" spans="1:54" ht="12.75" customHeight="1">
      <c r="A15" s="626" t="s">
        <v>865</v>
      </c>
      <c r="B15" s="627"/>
      <c r="C15" s="628" t="s">
        <v>866</v>
      </c>
      <c r="D15" s="629"/>
      <c r="E15" s="629"/>
      <c r="F15" s="629"/>
      <c r="G15" s="629"/>
      <c r="H15" s="629"/>
      <c r="I15" s="629"/>
      <c r="J15" s="629"/>
      <c r="K15" s="629"/>
      <c r="L15" s="629"/>
      <c r="M15" s="629"/>
      <c r="N15" s="629"/>
      <c r="O15" s="629"/>
      <c r="P15" s="629"/>
      <c r="Q15" s="629"/>
      <c r="R15" s="629"/>
      <c r="S15" s="629"/>
      <c r="T15" s="629"/>
      <c r="U15" s="630"/>
      <c r="V15" s="631" t="s">
        <v>867</v>
      </c>
      <c r="W15" s="632"/>
      <c r="X15" s="633"/>
      <c r="Y15" s="634"/>
      <c r="Z15" s="634"/>
      <c r="AA15" s="634"/>
      <c r="AB15" s="634"/>
      <c r="AC15" s="634"/>
      <c r="AD15" s="634"/>
      <c r="AE15" s="634"/>
      <c r="AF15" s="634"/>
      <c r="AG15" s="634"/>
      <c r="AH15" s="634"/>
      <c r="AI15" s="634"/>
      <c r="AJ15" s="634"/>
      <c r="AK15" s="634"/>
      <c r="AL15" s="634"/>
      <c r="AM15" s="634"/>
      <c r="AN15" s="634"/>
      <c r="AO15" s="634"/>
      <c r="AP15" s="634"/>
      <c r="AQ15" s="634"/>
      <c r="AR15" s="634"/>
      <c r="AS15" s="634"/>
      <c r="AT15" s="634"/>
      <c r="AU15" s="634"/>
      <c r="AV15" s="634"/>
      <c r="AW15" s="634"/>
      <c r="AX15" s="634"/>
      <c r="AY15" s="634"/>
      <c r="AZ15" s="634"/>
      <c r="BA15" s="634"/>
      <c r="BB15" s="634"/>
    </row>
    <row r="16" spans="1:54" ht="12.75" customHeight="1">
      <c r="A16" s="626" t="s">
        <v>868</v>
      </c>
      <c r="B16" s="627"/>
      <c r="C16" s="628" t="s">
        <v>869</v>
      </c>
      <c r="D16" s="629"/>
      <c r="E16" s="629"/>
      <c r="F16" s="629"/>
      <c r="G16" s="629"/>
      <c r="H16" s="629"/>
      <c r="I16" s="629"/>
      <c r="J16" s="629"/>
      <c r="K16" s="629"/>
      <c r="L16" s="629"/>
      <c r="M16" s="629"/>
      <c r="N16" s="629"/>
      <c r="O16" s="629"/>
      <c r="P16" s="629"/>
      <c r="Q16" s="629"/>
      <c r="R16" s="629"/>
      <c r="S16" s="629"/>
      <c r="T16" s="629"/>
      <c r="U16" s="630"/>
      <c r="V16" s="631" t="s">
        <v>870</v>
      </c>
      <c r="W16" s="632"/>
      <c r="X16" s="633"/>
      <c r="Y16" s="634"/>
      <c r="Z16" s="634"/>
      <c r="AA16" s="634"/>
      <c r="AB16" s="634"/>
      <c r="AC16" s="634"/>
      <c r="AD16" s="634"/>
      <c r="AE16" s="634"/>
      <c r="AF16" s="634"/>
      <c r="AG16" s="634"/>
      <c r="AH16" s="634"/>
      <c r="AI16" s="634"/>
      <c r="AJ16" s="634"/>
      <c r="AK16" s="634"/>
      <c r="AL16" s="634"/>
      <c r="AM16" s="634"/>
      <c r="AN16" s="634"/>
      <c r="AO16" s="634"/>
      <c r="AP16" s="634"/>
      <c r="AQ16" s="634"/>
      <c r="AR16" s="634"/>
      <c r="AS16" s="634"/>
      <c r="AT16" s="634"/>
      <c r="AU16" s="634"/>
      <c r="AV16" s="634"/>
      <c r="AW16" s="634"/>
      <c r="AX16" s="634"/>
      <c r="AY16" s="634"/>
      <c r="AZ16" s="634"/>
      <c r="BA16" s="634"/>
      <c r="BB16" s="634"/>
    </row>
    <row r="17" spans="1:54" s="546" customFormat="1" ht="12.75" customHeight="1">
      <c r="A17" s="626" t="s">
        <v>871</v>
      </c>
      <c r="B17" s="627"/>
      <c r="C17" s="628" t="s">
        <v>872</v>
      </c>
      <c r="D17" s="629"/>
      <c r="E17" s="629"/>
      <c r="F17" s="629"/>
      <c r="G17" s="629"/>
      <c r="H17" s="629"/>
      <c r="I17" s="629"/>
      <c r="J17" s="629"/>
      <c r="K17" s="629"/>
      <c r="L17" s="629"/>
      <c r="M17" s="629"/>
      <c r="N17" s="629"/>
      <c r="O17" s="629"/>
      <c r="P17" s="629"/>
      <c r="Q17" s="629"/>
      <c r="R17" s="629"/>
      <c r="S17" s="629"/>
      <c r="T17" s="629"/>
      <c r="U17" s="630"/>
      <c r="V17" s="631" t="s">
        <v>873</v>
      </c>
      <c r="W17" s="632"/>
      <c r="X17" s="633"/>
      <c r="Y17" s="634"/>
      <c r="Z17" s="634"/>
      <c r="AA17" s="634"/>
      <c r="AB17" s="634"/>
      <c r="AC17" s="634"/>
      <c r="AD17" s="634"/>
      <c r="AE17" s="634"/>
      <c r="AF17" s="634"/>
      <c r="AG17" s="634"/>
      <c r="AH17" s="634"/>
      <c r="AI17" s="634"/>
      <c r="AJ17" s="634"/>
      <c r="AK17" s="634"/>
      <c r="AL17" s="634"/>
      <c r="AM17" s="634"/>
      <c r="AN17" s="634"/>
      <c r="AO17" s="634"/>
      <c r="AP17" s="634"/>
      <c r="AQ17" s="634"/>
      <c r="AR17" s="634"/>
      <c r="AS17" s="634"/>
      <c r="AT17" s="634"/>
      <c r="AU17" s="634"/>
      <c r="AV17" s="634"/>
      <c r="AW17" s="634"/>
      <c r="AX17" s="634"/>
      <c r="AY17" s="634"/>
      <c r="AZ17" s="634"/>
      <c r="BA17" s="634"/>
      <c r="BB17" s="634"/>
    </row>
    <row r="18" spans="1:54" s="546" customFormat="1" ht="12.75" customHeight="1">
      <c r="A18" s="626" t="s">
        <v>874</v>
      </c>
      <c r="B18" s="627"/>
      <c r="C18" s="628" t="s">
        <v>875</v>
      </c>
      <c r="D18" s="629"/>
      <c r="E18" s="629"/>
      <c r="F18" s="629"/>
      <c r="G18" s="629"/>
      <c r="H18" s="629"/>
      <c r="I18" s="629"/>
      <c r="J18" s="629"/>
      <c r="K18" s="629"/>
      <c r="L18" s="629"/>
      <c r="M18" s="629"/>
      <c r="N18" s="629"/>
      <c r="O18" s="629"/>
      <c r="P18" s="629"/>
      <c r="Q18" s="629"/>
      <c r="R18" s="629"/>
      <c r="S18" s="629"/>
      <c r="T18" s="629"/>
      <c r="U18" s="630"/>
      <c r="V18" s="631" t="s">
        <v>876</v>
      </c>
      <c r="W18" s="632"/>
      <c r="X18" s="633"/>
      <c r="Y18" s="634"/>
      <c r="Z18" s="634"/>
      <c r="AA18" s="634"/>
      <c r="AB18" s="634"/>
      <c r="AC18" s="634"/>
      <c r="AD18" s="634"/>
      <c r="AE18" s="634"/>
      <c r="AF18" s="634"/>
      <c r="AG18" s="634"/>
      <c r="AH18" s="634"/>
      <c r="AI18" s="634"/>
      <c r="AJ18" s="634"/>
      <c r="AK18" s="634"/>
      <c r="AL18" s="634"/>
      <c r="AM18" s="634"/>
      <c r="AN18" s="634"/>
      <c r="AO18" s="634"/>
      <c r="AP18" s="634"/>
      <c r="AQ18" s="634"/>
      <c r="AR18" s="634"/>
      <c r="AS18" s="634"/>
      <c r="AT18" s="634"/>
      <c r="AU18" s="634"/>
      <c r="AV18" s="634"/>
      <c r="AW18" s="634"/>
      <c r="AX18" s="634"/>
      <c r="AY18" s="634"/>
      <c r="AZ18" s="634"/>
      <c r="BA18" s="634"/>
      <c r="BB18" s="634"/>
    </row>
    <row r="19" spans="1:54" s="548" customFormat="1" ht="12.75" customHeight="1">
      <c r="A19" s="626" t="s">
        <v>877</v>
      </c>
      <c r="B19" s="627"/>
      <c r="C19" s="635" t="s">
        <v>878</v>
      </c>
      <c r="D19" s="636"/>
      <c r="E19" s="636"/>
      <c r="F19" s="636"/>
      <c r="G19" s="636"/>
      <c r="H19" s="636"/>
      <c r="I19" s="636"/>
      <c r="J19" s="636"/>
      <c r="K19" s="636"/>
      <c r="L19" s="636"/>
      <c r="M19" s="636"/>
      <c r="N19" s="636"/>
      <c r="O19" s="636"/>
      <c r="P19" s="636"/>
      <c r="Q19" s="636"/>
      <c r="R19" s="636"/>
      <c r="S19" s="636"/>
      <c r="T19" s="636"/>
      <c r="U19" s="637"/>
      <c r="V19" s="631" t="s">
        <v>876</v>
      </c>
      <c r="W19" s="632"/>
      <c r="X19" s="633"/>
      <c r="Y19" s="634"/>
      <c r="Z19" s="634"/>
      <c r="AA19" s="634"/>
      <c r="AB19" s="634"/>
      <c r="AC19" s="634"/>
      <c r="AD19" s="634"/>
      <c r="AE19" s="634"/>
      <c r="AF19" s="634"/>
      <c r="AG19" s="634"/>
      <c r="AH19" s="634"/>
      <c r="AI19" s="634"/>
      <c r="AJ19" s="634"/>
      <c r="AK19" s="634"/>
      <c r="AL19" s="634"/>
      <c r="AM19" s="634"/>
      <c r="AN19" s="634"/>
      <c r="AO19" s="634"/>
      <c r="AP19" s="634"/>
      <c r="AQ19" s="634"/>
      <c r="AR19" s="634"/>
      <c r="AS19" s="634"/>
      <c r="AT19" s="634"/>
      <c r="AU19" s="634"/>
      <c r="AV19" s="634"/>
      <c r="AW19" s="634"/>
      <c r="AX19" s="634"/>
      <c r="AY19" s="634"/>
      <c r="AZ19" s="634"/>
      <c r="BA19" s="634"/>
      <c r="BB19" s="634"/>
    </row>
    <row r="20" spans="1:54" s="546" customFormat="1" ht="12.75" customHeight="1">
      <c r="A20" s="638" t="s">
        <v>879</v>
      </c>
      <c r="B20" s="639"/>
      <c r="C20" s="640" t="s">
        <v>880</v>
      </c>
      <c r="D20" s="641"/>
      <c r="E20" s="641"/>
      <c r="F20" s="641"/>
      <c r="G20" s="641"/>
      <c r="H20" s="641"/>
      <c r="I20" s="641"/>
      <c r="J20" s="641"/>
      <c r="K20" s="641"/>
      <c r="L20" s="641"/>
      <c r="M20" s="641"/>
      <c r="N20" s="641"/>
      <c r="O20" s="641"/>
      <c r="P20" s="641"/>
      <c r="Q20" s="641"/>
      <c r="R20" s="641"/>
      <c r="S20" s="641"/>
      <c r="T20" s="641"/>
      <c r="U20" s="642"/>
      <c r="V20" s="643" t="s">
        <v>881</v>
      </c>
      <c r="W20" s="644"/>
      <c r="X20" s="645"/>
      <c r="Y20" s="646"/>
      <c r="Z20" s="646"/>
      <c r="AA20" s="646"/>
      <c r="AB20" s="647"/>
      <c r="AC20" s="647"/>
      <c r="AD20" s="647"/>
      <c r="AE20" s="646"/>
      <c r="AF20" s="646"/>
      <c r="AG20" s="646"/>
      <c r="AH20" s="647"/>
      <c r="AI20" s="647"/>
      <c r="AJ20" s="647"/>
      <c r="AK20" s="646"/>
      <c r="AL20" s="646"/>
      <c r="AM20" s="646"/>
      <c r="AN20" s="647"/>
      <c r="AO20" s="647"/>
      <c r="AP20" s="647"/>
      <c r="AQ20" s="646"/>
      <c r="AR20" s="646"/>
      <c r="AS20" s="646"/>
      <c r="AT20" s="647"/>
      <c r="AU20" s="647"/>
      <c r="AV20" s="647"/>
      <c r="AW20" s="646"/>
      <c r="AX20" s="646"/>
      <c r="AY20" s="646"/>
      <c r="AZ20" s="647"/>
      <c r="BA20" s="647"/>
      <c r="BB20" s="647"/>
    </row>
    <row r="21" spans="1:54" ht="12.75" customHeight="1">
      <c r="A21" s="626" t="s">
        <v>882</v>
      </c>
      <c r="B21" s="627"/>
      <c r="C21" s="628" t="s">
        <v>883</v>
      </c>
      <c r="D21" s="629"/>
      <c r="E21" s="629"/>
      <c r="F21" s="629"/>
      <c r="G21" s="629"/>
      <c r="H21" s="629"/>
      <c r="I21" s="629"/>
      <c r="J21" s="629"/>
      <c r="K21" s="629"/>
      <c r="L21" s="629"/>
      <c r="M21" s="629"/>
      <c r="N21" s="629"/>
      <c r="O21" s="629"/>
      <c r="P21" s="629"/>
      <c r="Q21" s="629"/>
      <c r="R21" s="629"/>
      <c r="S21" s="629"/>
      <c r="T21" s="629"/>
      <c r="U21" s="630"/>
      <c r="V21" s="631" t="s">
        <v>884</v>
      </c>
      <c r="W21" s="632"/>
      <c r="X21" s="633"/>
      <c r="Y21" s="634"/>
      <c r="Z21" s="634"/>
      <c r="AA21" s="634"/>
      <c r="AB21" s="634"/>
      <c r="AC21" s="634"/>
      <c r="AD21" s="634"/>
      <c r="AE21" s="634"/>
      <c r="AF21" s="634"/>
      <c r="AG21" s="634"/>
      <c r="AH21" s="634"/>
      <c r="AI21" s="634"/>
      <c r="AJ21" s="634"/>
      <c r="AK21" s="634"/>
      <c r="AL21" s="634"/>
      <c r="AM21" s="634"/>
      <c r="AN21" s="634"/>
      <c r="AO21" s="634"/>
      <c r="AP21" s="634"/>
      <c r="AQ21" s="634"/>
      <c r="AR21" s="634"/>
      <c r="AS21" s="634"/>
      <c r="AT21" s="634"/>
      <c r="AU21" s="634"/>
      <c r="AV21" s="634"/>
      <c r="AW21" s="634"/>
      <c r="AX21" s="634"/>
      <c r="AY21" s="634"/>
      <c r="AZ21" s="634"/>
      <c r="BA21" s="634"/>
      <c r="BB21" s="634"/>
    </row>
    <row r="22" spans="1:54" ht="25.5" customHeight="1">
      <c r="A22" s="626" t="s">
        <v>885</v>
      </c>
      <c r="B22" s="627"/>
      <c r="C22" s="628" t="s">
        <v>886</v>
      </c>
      <c r="D22" s="629"/>
      <c r="E22" s="629"/>
      <c r="F22" s="629"/>
      <c r="G22" s="629"/>
      <c r="H22" s="629"/>
      <c r="I22" s="629"/>
      <c r="J22" s="629"/>
      <c r="K22" s="629"/>
      <c r="L22" s="629"/>
      <c r="M22" s="629"/>
      <c r="N22" s="629"/>
      <c r="O22" s="629"/>
      <c r="P22" s="629"/>
      <c r="Q22" s="629"/>
      <c r="R22" s="629"/>
      <c r="S22" s="629"/>
      <c r="T22" s="629"/>
      <c r="U22" s="630"/>
      <c r="V22" s="631" t="s">
        <v>887</v>
      </c>
      <c r="W22" s="632"/>
      <c r="X22" s="633"/>
      <c r="Y22" s="634"/>
      <c r="Z22" s="634"/>
      <c r="AA22" s="634"/>
      <c r="AB22" s="634"/>
      <c r="AC22" s="634"/>
      <c r="AD22" s="634"/>
      <c r="AE22" s="634"/>
      <c r="AF22" s="634"/>
      <c r="AG22" s="634"/>
      <c r="AH22" s="634"/>
      <c r="AI22" s="634"/>
      <c r="AJ22" s="634"/>
      <c r="AK22" s="634"/>
      <c r="AL22" s="634"/>
      <c r="AM22" s="634"/>
      <c r="AN22" s="634"/>
      <c r="AO22" s="634"/>
      <c r="AP22" s="634"/>
      <c r="AQ22" s="634"/>
      <c r="AR22" s="634"/>
      <c r="AS22" s="634"/>
      <c r="AT22" s="634"/>
      <c r="AU22" s="634"/>
      <c r="AV22" s="634"/>
      <c r="AW22" s="634"/>
      <c r="AX22" s="634"/>
      <c r="AY22" s="634"/>
      <c r="AZ22" s="634"/>
      <c r="BA22" s="634"/>
      <c r="BB22" s="634"/>
    </row>
    <row r="23" spans="1:54" ht="12.75" customHeight="1">
      <c r="A23" s="626" t="s">
        <v>888</v>
      </c>
      <c r="B23" s="627"/>
      <c r="C23" s="628" t="s">
        <v>889</v>
      </c>
      <c r="D23" s="629"/>
      <c r="E23" s="629"/>
      <c r="F23" s="629"/>
      <c r="G23" s="629"/>
      <c r="H23" s="629"/>
      <c r="I23" s="629"/>
      <c r="J23" s="629"/>
      <c r="K23" s="629"/>
      <c r="L23" s="629"/>
      <c r="M23" s="629"/>
      <c r="N23" s="629"/>
      <c r="O23" s="629"/>
      <c r="P23" s="629"/>
      <c r="Q23" s="629"/>
      <c r="R23" s="629"/>
      <c r="S23" s="629"/>
      <c r="T23" s="629"/>
      <c r="U23" s="630"/>
      <c r="V23" s="631" t="s">
        <v>890</v>
      </c>
      <c r="W23" s="632"/>
      <c r="X23" s="633"/>
      <c r="Y23" s="634"/>
      <c r="Z23" s="634"/>
      <c r="AA23" s="634"/>
      <c r="AB23" s="634"/>
      <c r="AC23" s="634"/>
      <c r="AD23" s="634"/>
      <c r="AE23" s="634"/>
      <c r="AF23" s="634"/>
      <c r="AG23" s="634"/>
      <c r="AH23" s="634"/>
      <c r="AI23" s="634"/>
      <c r="AJ23" s="634"/>
      <c r="AK23" s="634"/>
      <c r="AL23" s="634"/>
      <c r="AM23" s="634"/>
      <c r="AN23" s="634"/>
      <c r="AO23" s="634"/>
      <c r="AP23" s="634"/>
      <c r="AQ23" s="634"/>
      <c r="AR23" s="634"/>
      <c r="AS23" s="634"/>
      <c r="AT23" s="634"/>
      <c r="AU23" s="634"/>
      <c r="AV23" s="634"/>
      <c r="AW23" s="634"/>
      <c r="AX23" s="634"/>
      <c r="AY23" s="634"/>
      <c r="AZ23" s="634"/>
      <c r="BA23" s="634"/>
      <c r="BB23" s="634"/>
    </row>
    <row r="24" spans="1:54" ht="12.75" customHeight="1">
      <c r="A24" s="638" t="s">
        <v>891</v>
      </c>
      <c r="B24" s="639"/>
      <c r="C24" s="640" t="s">
        <v>892</v>
      </c>
      <c r="D24" s="641"/>
      <c r="E24" s="641"/>
      <c r="F24" s="641"/>
      <c r="G24" s="641"/>
      <c r="H24" s="641"/>
      <c r="I24" s="641"/>
      <c r="J24" s="641"/>
      <c r="K24" s="641"/>
      <c r="L24" s="641"/>
      <c r="M24" s="641"/>
      <c r="N24" s="641"/>
      <c r="O24" s="641"/>
      <c r="P24" s="641"/>
      <c r="Q24" s="641"/>
      <c r="R24" s="641"/>
      <c r="S24" s="641"/>
      <c r="T24" s="641"/>
      <c r="U24" s="642"/>
      <c r="V24" s="643" t="s">
        <v>893</v>
      </c>
      <c r="W24" s="644"/>
      <c r="X24" s="645"/>
      <c r="Y24" s="646"/>
      <c r="Z24" s="646"/>
      <c r="AA24" s="646"/>
      <c r="AB24" s="647"/>
      <c r="AC24" s="647"/>
      <c r="AD24" s="647"/>
      <c r="AE24" s="646"/>
      <c r="AF24" s="646"/>
      <c r="AG24" s="646"/>
      <c r="AH24" s="647"/>
      <c r="AI24" s="647"/>
      <c r="AJ24" s="647"/>
      <c r="AK24" s="646"/>
      <c r="AL24" s="646"/>
      <c r="AM24" s="646"/>
      <c r="AN24" s="647"/>
      <c r="AO24" s="647"/>
      <c r="AP24" s="647"/>
      <c r="AQ24" s="646"/>
      <c r="AR24" s="646"/>
      <c r="AS24" s="646"/>
      <c r="AT24" s="647"/>
      <c r="AU24" s="647"/>
      <c r="AV24" s="647"/>
      <c r="AW24" s="646"/>
      <c r="AX24" s="646"/>
      <c r="AY24" s="646"/>
      <c r="AZ24" s="647"/>
      <c r="BA24" s="647"/>
      <c r="BB24" s="647"/>
    </row>
    <row r="25" spans="1:54" ht="12.75" customHeight="1">
      <c r="A25" s="638" t="s">
        <v>894</v>
      </c>
      <c r="B25" s="639"/>
      <c r="C25" s="640" t="s">
        <v>895</v>
      </c>
      <c r="D25" s="641"/>
      <c r="E25" s="641"/>
      <c r="F25" s="641"/>
      <c r="G25" s="641"/>
      <c r="H25" s="641"/>
      <c r="I25" s="641"/>
      <c r="J25" s="641"/>
      <c r="K25" s="641"/>
      <c r="L25" s="641"/>
      <c r="M25" s="641"/>
      <c r="N25" s="641"/>
      <c r="O25" s="641"/>
      <c r="P25" s="641"/>
      <c r="Q25" s="641"/>
      <c r="R25" s="641"/>
      <c r="S25" s="641"/>
      <c r="T25" s="641"/>
      <c r="U25" s="642"/>
      <c r="V25" s="643" t="s">
        <v>896</v>
      </c>
      <c r="W25" s="644"/>
      <c r="X25" s="645"/>
      <c r="Y25" s="646"/>
      <c r="Z25" s="646"/>
      <c r="AA25" s="646"/>
      <c r="AB25" s="647"/>
      <c r="AC25" s="647"/>
      <c r="AD25" s="647"/>
      <c r="AE25" s="646"/>
      <c r="AF25" s="646"/>
      <c r="AG25" s="646"/>
      <c r="AH25" s="647"/>
      <c r="AI25" s="647"/>
      <c r="AJ25" s="647"/>
      <c r="AK25" s="646"/>
      <c r="AL25" s="646"/>
      <c r="AM25" s="646"/>
      <c r="AN25" s="647"/>
      <c r="AO25" s="647"/>
      <c r="AP25" s="647"/>
      <c r="AQ25" s="646"/>
      <c r="AR25" s="646"/>
      <c r="AS25" s="646"/>
      <c r="AT25" s="647"/>
      <c r="AU25" s="647"/>
      <c r="AV25" s="647"/>
      <c r="AW25" s="646"/>
      <c r="AX25" s="646"/>
      <c r="AY25" s="646"/>
      <c r="AZ25" s="647"/>
      <c r="BA25" s="647"/>
      <c r="BB25" s="647"/>
    </row>
    <row r="26" spans="1:54" s="549" customFormat="1" ht="25.5" customHeight="1">
      <c r="A26" s="638">
        <v>21</v>
      </c>
      <c r="B26" s="639"/>
      <c r="C26" s="640" t="s">
        <v>897</v>
      </c>
      <c r="D26" s="641"/>
      <c r="E26" s="641"/>
      <c r="F26" s="641"/>
      <c r="G26" s="641"/>
      <c r="H26" s="641"/>
      <c r="I26" s="641"/>
      <c r="J26" s="641"/>
      <c r="K26" s="641"/>
      <c r="L26" s="641"/>
      <c r="M26" s="641"/>
      <c r="N26" s="641"/>
      <c r="O26" s="641"/>
      <c r="P26" s="641"/>
      <c r="Q26" s="641"/>
      <c r="R26" s="641"/>
      <c r="S26" s="641"/>
      <c r="T26" s="641"/>
      <c r="U26" s="642"/>
      <c r="V26" s="643" t="s">
        <v>898</v>
      </c>
      <c r="W26" s="644"/>
      <c r="X26" s="645"/>
      <c r="Y26" s="646"/>
      <c r="Z26" s="646"/>
      <c r="AA26" s="646"/>
      <c r="AB26" s="646"/>
      <c r="AC26" s="646"/>
      <c r="AD26" s="646"/>
      <c r="AE26" s="646"/>
      <c r="AF26" s="646"/>
      <c r="AG26" s="646"/>
      <c r="AH26" s="646"/>
      <c r="AI26" s="646"/>
      <c r="AJ26" s="646"/>
      <c r="AK26" s="646"/>
      <c r="AL26" s="646"/>
      <c r="AM26" s="646"/>
      <c r="AN26" s="646"/>
      <c r="AO26" s="646"/>
      <c r="AP26" s="646"/>
      <c r="AQ26" s="646"/>
      <c r="AR26" s="646"/>
      <c r="AS26" s="646"/>
      <c r="AT26" s="646"/>
      <c r="AU26" s="646"/>
      <c r="AV26" s="646"/>
      <c r="AW26" s="646"/>
      <c r="AX26" s="646"/>
      <c r="AY26" s="646"/>
      <c r="AZ26" s="646"/>
      <c r="BA26" s="646"/>
      <c r="BB26" s="646"/>
    </row>
    <row r="27" spans="1:54" s="548" customFormat="1" ht="12.75" customHeight="1">
      <c r="A27" s="626">
        <v>22</v>
      </c>
      <c r="B27" s="627"/>
      <c r="C27" s="635" t="s">
        <v>899</v>
      </c>
      <c r="D27" s="636"/>
      <c r="E27" s="636"/>
      <c r="F27" s="636"/>
      <c r="G27" s="636"/>
      <c r="H27" s="636"/>
      <c r="I27" s="636"/>
      <c r="J27" s="636"/>
      <c r="K27" s="636"/>
      <c r="L27" s="636"/>
      <c r="M27" s="636"/>
      <c r="N27" s="636"/>
      <c r="O27" s="636"/>
      <c r="P27" s="636"/>
      <c r="Q27" s="636"/>
      <c r="R27" s="636"/>
      <c r="S27" s="636"/>
      <c r="T27" s="636"/>
      <c r="U27" s="637"/>
      <c r="V27" s="631" t="s">
        <v>898</v>
      </c>
      <c r="W27" s="632"/>
      <c r="X27" s="633"/>
      <c r="Y27" s="634"/>
      <c r="Z27" s="634"/>
      <c r="AA27" s="634"/>
      <c r="AB27" s="634"/>
      <c r="AC27" s="634"/>
      <c r="AD27" s="634"/>
      <c r="AE27" s="634"/>
      <c r="AF27" s="634"/>
      <c r="AG27" s="634"/>
      <c r="AH27" s="634"/>
      <c r="AI27" s="634"/>
      <c r="AJ27" s="634"/>
      <c r="AK27" s="634"/>
      <c r="AL27" s="634"/>
      <c r="AM27" s="634"/>
      <c r="AN27" s="634"/>
      <c r="AO27" s="634"/>
      <c r="AP27" s="634"/>
      <c r="AQ27" s="634"/>
      <c r="AR27" s="634"/>
      <c r="AS27" s="634"/>
      <c r="AT27" s="634"/>
      <c r="AU27" s="634"/>
      <c r="AV27" s="634"/>
      <c r="AW27" s="634"/>
      <c r="AX27" s="634"/>
      <c r="AY27" s="634"/>
      <c r="AZ27" s="634"/>
      <c r="BA27" s="634"/>
      <c r="BB27" s="634"/>
    </row>
    <row r="28" spans="1:54" ht="12.75" customHeight="1">
      <c r="A28" s="626">
        <v>23</v>
      </c>
      <c r="B28" s="627"/>
      <c r="C28" s="635" t="s">
        <v>900</v>
      </c>
      <c r="D28" s="636"/>
      <c r="E28" s="636"/>
      <c r="F28" s="636"/>
      <c r="G28" s="636"/>
      <c r="H28" s="636"/>
      <c r="I28" s="636"/>
      <c r="J28" s="636"/>
      <c r="K28" s="636"/>
      <c r="L28" s="636"/>
      <c r="M28" s="636"/>
      <c r="N28" s="636"/>
      <c r="O28" s="636"/>
      <c r="P28" s="636"/>
      <c r="Q28" s="636"/>
      <c r="R28" s="636"/>
      <c r="S28" s="636"/>
      <c r="T28" s="636"/>
      <c r="U28" s="637"/>
      <c r="V28" s="631" t="s">
        <v>898</v>
      </c>
      <c r="W28" s="632"/>
      <c r="X28" s="633"/>
      <c r="Y28" s="634"/>
      <c r="Z28" s="634"/>
      <c r="AA28" s="634"/>
      <c r="AB28" s="634"/>
      <c r="AC28" s="634"/>
      <c r="AD28" s="634"/>
      <c r="AE28" s="634"/>
      <c r="AF28" s="634"/>
      <c r="AG28" s="634"/>
      <c r="AH28" s="634"/>
      <c r="AI28" s="634"/>
      <c r="AJ28" s="634"/>
      <c r="AK28" s="634"/>
      <c r="AL28" s="634"/>
      <c r="AM28" s="634"/>
      <c r="AN28" s="634"/>
      <c r="AO28" s="634"/>
      <c r="AP28" s="634"/>
      <c r="AQ28" s="634"/>
      <c r="AR28" s="634"/>
      <c r="AS28" s="634"/>
      <c r="AT28" s="634"/>
      <c r="AU28" s="634"/>
      <c r="AV28" s="634"/>
      <c r="AW28" s="634"/>
      <c r="AX28" s="634"/>
      <c r="AY28" s="634"/>
      <c r="AZ28" s="634"/>
      <c r="BA28" s="634"/>
      <c r="BB28" s="634"/>
    </row>
    <row r="29" spans="1:54" ht="12.75" customHeight="1">
      <c r="A29" s="626">
        <v>24</v>
      </c>
      <c r="B29" s="627"/>
      <c r="C29" s="635" t="s">
        <v>901</v>
      </c>
      <c r="D29" s="636"/>
      <c r="E29" s="636"/>
      <c r="F29" s="636"/>
      <c r="G29" s="636"/>
      <c r="H29" s="636"/>
      <c r="I29" s="636"/>
      <c r="J29" s="636"/>
      <c r="K29" s="636"/>
      <c r="L29" s="636"/>
      <c r="M29" s="636"/>
      <c r="N29" s="636"/>
      <c r="O29" s="636"/>
      <c r="P29" s="636"/>
      <c r="Q29" s="636"/>
      <c r="R29" s="636"/>
      <c r="S29" s="636"/>
      <c r="T29" s="636"/>
      <c r="U29" s="637"/>
      <c r="V29" s="631" t="s">
        <v>898</v>
      </c>
      <c r="W29" s="632"/>
      <c r="X29" s="633"/>
      <c r="Y29" s="634"/>
      <c r="Z29" s="634"/>
      <c r="AA29" s="634"/>
      <c r="AB29" s="634"/>
      <c r="AC29" s="634"/>
      <c r="AD29" s="634"/>
      <c r="AE29" s="634"/>
      <c r="AF29" s="634"/>
      <c r="AG29" s="634"/>
      <c r="AH29" s="634"/>
      <c r="AI29" s="634"/>
      <c r="AJ29" s="634"/>
      <c r="AK29" s="634"/>
      <c r="AL29" s="634"/>
      <c r="AM29" s="634"/>
      <c r="AN29" s="634"/>
      <c r="AO29" s="634"/>
      <c r="AP29" s="634"/>
      <c r="AQ29" s="634"/>
      <c r="AR29" s="634"/>
      <c r="AS29" s="634"/>
      <c r="AT29" s="634"/>
      <c r="AU29" s="634"/>
      <c r="AV29" s="634"/>
      <c r="AW29" s="634"/>
      <c r="AX29" s="634"/>
      <c r="AY29" s="634"/>
      <c r="AZ29" s="634"/>
      <c r="BA29" s="634"/>
      <c r="BB29" s="634"/>
    </row>
    <row r="30" spans="1:54" ht="12.75" customHeight="1">
      <c r="A30" s="626">
        <v>25</v>
      </c>
      <c r="B30" s="627"/>
      <c r="C30" s="635" t="s">
        <v>902</v>
      </c>
      <c r="D30" s="636"/>
      <c r="E30" s="636"/>
      <c r="F30" s="636"/>
      <c r="G30" s="636"/>
      <c r="H30" s="636"/>
      <c r="I30" s="636"/>
      <c r="J30" s="636"/>
      <c r="K30" s="636"/>
      <c r="L30" s="636"/>
      <c r="M30" s="636"/>
      <c r="N30" s="636"/>
      <c r="O30" s="636"/>
      <c r="P30" s="636"/>
      <c r="Q30" s="636"/>
      <c r="R30" s="636"/>
      <c r="S30" s="636"/>
      <c r="T30" s="636"/>
      <c r="U30" s="637"/>
      <c r="V30" s="631" t="s">
        <v>898</v>
      </c>
      <c r="W30" s="632"/>
      <c r="X30" s="633"/>
      <c r="Y30" s="634"/>
      <c r="Z30" s="634"/>
      <c r="AA30" s="634"/>
      <c r="AB30" s="634"/>
      <c r="AC30" s="634"/>
      <c r="AD30" s="634"/>
      <c r="AE30" s="634"/>
      <c r="AF30" s="634"/>
      <c r="AG30" s="634"/>
      <c r="AH30" s="634"/>
      <c r="AI30" s="634"/>
      <c r="AJ30" s="634"/>
      <c r="AK30" s="634"/>
      <c r="AL30" s="634"/>
      <c r="AM30" s="634"/>
      <c r="AN30" s="634"/>
      <c r="AO30" s="634"/>
      <c r="AP30" s="634"/>
      <c r="AQ30" s="634"/>
      <c r="AR30" s="634"/>
      <c r="AS30" s="634"/>
      <c r="AT30" s="634"/>
      <c r="AU30" s="634"/>
      <c r="AV30" s="634"/>
      <c r="AW30" s="634"/>
      <c r="AX30" s="634"/>
      <c r="AY30" s="634"/>
      <c r="AZ30" s="634"/>
      <c r="BA30" s="634"/>
      <c r="BB30" s="634"/>
    </row>
    <row r="31" spans="1:54" ht="12.75" customHeight="1">
      <c r="A31" s="626">
        <v>26</v>
      </c>
      <c r="B31" s="627"/>
      <c r="C31" s="635" t="s">
        <v>903</v>
      </c>
      <c r="D31" s="636"/>
      <c r="E31" s="636"/>
      <c r="F31" s="636"/>
      <c r="G31" s="636"/>
      <c r="H31" s="636"/>
      <c r="I31" s="636"/>
      <c r="J31" s="636"/>
      <c r="K31" s="636"/>
      <c r="L31" s="636"/>
      <c r="M31" s="636"/>
      <c r="N31" s="636"/>
      <c r="O31" s="636"/>
      <c r="P31" s="636"/>
      <c r="Q31" s="636"/>
      <c r="R31" s="636"/>
      <c r="S31" s="636"/>
      <c r="T31" s="636"/>
      <c r="U31" s="637"/>
      <c r="V31" s="631" t="s">
        <v>898</v>
      </c>
      <c r="W31" s="632"/>
      <c r="X31" s="633"/>
      <c r="Y31" s="634"/>
      <c r="Z31" s="634"/>
      <c r="AA31" s="634"/>
      <c r="AB31" s="634"/>
      <c r="AC31" s="634"/>
      <c r="AD31" s="634"/>
      <c r="AE31" s="634"/>
      <c r="AF31" s="634"/>
      <c r="AG31" s="634"/>
      <c r="AH31" s="634"/>
      <c r="AI31" s="634"/>
      <c r="AJ31" s="634"/>
      <c r="AK31" s="634"/>
      <c r="AL31" s="634"/>
      <c r="AM31" s="634"/>
      <c r="AN31" s="634"/>
      <c r="AO31" s="634"/>
      <c r="AP31" s="634"/>
      <c r="AQ31" s="634"/>
      <c r="AR31" s="634"/>
      <c r="AS31" s="634"/>
      <c r="AT31" s="634"/>
      <c r="AU31" s="634"/>
      <c r="AV31" s="634"/>
      <c r="AW31" s="634"/>
      <c r="AX31" s="634"/>
      <c r="AY31" s="634"/>
      <c r="AZ31" s="634"/>
      <c r="BA31" s="634"/>
      <c r="BB31" s="634"/>
    </row>
    <row r="32" spans="1:54" ht="39" customHeight="1">
      <c r="A32" s="626">
        <v>27</v>
      </c>
      <c r="B32" s="627"/>
      <c r="C32" s="635" t="s">
        <v>904</v>
      </c>
      <c r="D32" s="636"/>
      <c r="E32" s="636"/>
      <c r="F32" s="636"/>
      <c r="G32" s="636"/>
      <c r="H32" s="636"/>
      <c r="I32" s="636"/>
      <c r="J32" s="636"/>
      <c r="K32" s="636"/>
      <c r="L32" s="636"/>
      <c r="M32" s="636"/>
      <c r="N32" s="636"/>
      <c r="O32" s="636"/>
      <c r="P32" s="636"/>
      <c r="Q32" s="636"/>
      <c r="R32" s="636"/>
      <c r="S32" s="636"/>
      <c r="T32" s="636"/>
      <c r="U32" s="637"/>
      <c r="V32" s="631" t="s">
        <v>898</v>
      </c>
      <c r="W32" s="632"/>
      <c r="X32" s="633"/>
      <c r="Y32" s="634"/>
      <c r="Z32" s="634"/>
      <c r="AA32" s="634"/>
      <c r="AB32" s="634"/>
      <c r="AC32" s="634"/>
      <c r="AD32" s="634"/>
      <c r="AE32" s="634"/>
      <c r="AF32" s="634"/>
      <c r="AG32" s="634"/>
      <c r="AH32" s="634"/>
      <c r="AI32" s="634"/>
      <c r="AJ32" s="634"/>
      <c r="AK32" s="634"/>
      <c r="AL32" s="634"/>
      <c r="AM32" s="634"/>
      <c r="AN32" s="634"/>
      <c r="AO32" s="634"/>
      <c r="AP32" s="634"/>
      <c r="AQ32" s="634"/>
      <c r="AR32" s="634"/>
      <c r="AS32" s="634"/>
      <c r="AT32" s="634"/>
      <c r="AU32" s="634"/>
      <c r="AV32" s="634"/>
      <c r="AW32" s="634"/>
      <c r="AX32" s="634"/>
      <c r="AY32" s="634"/>
      <c r="AZ32" s="634"/>
      <c r="BA32" s="634"/>
      <c r="BB32" s="634"/>
    </row>
    <row r="33" spans="1:54" ht="12.75" customHeight="1">
      <c r="A33" s="626">
        <v>28</v>
      </c>
      <c r="B33" s="627"/>
      <c r="C33" s="635" t="s">
        <v>905</v>
      </c>
      <c r="D33" s="636"/>
      <c r="E33" s="636"/>
      <c r="F33" s="636"/>
      <c r="G33" s="636"/>
      <c r="H33" s="636"/>
      <c r="I33" s="636"/>
      <c r="J33" s="636"/>
      <c r="K33" s="636"/>
      <c r="L33" s="636"/>
      <c r="M33" s="636"/>
      <c r="N33" s="636"/>
      <c r="O33" s="636"/>
      <c r="P33" s="636"/>
      <c r="Q33" s="636"/>
      <c r="R33" s="636"/>
      <c r="S33" s="636"/>
      <c r="T33" s="636"/>
      <c r="U33" s="637"/>
      <c r="V33" s="631" t="s">
        <v>898</v>
      </c>
      <c r="W33" s="632"/>
      <c r="X33" s="633"/>
      <c r="Y33" s="634"/>
      <c r="Z33" s="634"/>
      <c r="AA33" s="634"/>
      <c r="AB33" s="634"/>
      <c r="AC33" s="634"/>
      <c r="AD33" s="634"/>
      <c r="AE33" s="634"/>
      <c r="AF33" s="634"/>
      <c r="AG33" s="634"/>
      <c r="AH33" s="634"/>
      <c r="AI33" s="634"/>
      <c r="AJ33" s="634"/>
      <c r="AK33" s="634"/>
      <c r="AL33" s="634"/>
      <c r="AM33" s="634"/>
      <c r="AN33" s="634"/>
      <c r="AO33" s="634"/>
      <c r="AP33" s="634"/>
      <c r="AQ33" s="634"/>
      <c r="AR33" s="634"/>
      <c r="AS33" s="634"/>
      <c r="AT33" s="634"/>
      <c r="AU33" s="634"/>
      <c r="AV33" s="634"/>
      <c r="AW33" s="634"/>
      <c r="AX33" s="634"/>
      <c r="AY33" s="634"/>
      <c r="AZ33" s="634"/>
      <c r="BA33" s="634"/>
      <c r="BB33" s="634"/>
    </row>
    <row r="34" spans="1:54" ht="12.75" customHeight="1">
      <c r="A34" s="626" t="s">
        <v>906</v>
      </c>
      <c r="B34" s="627"/>
      <c r="C34" s="628" t="s">
        <v>907</v>
      </c>
      <c r="D34" s="629"/>
      <c r="E34" s="629"/>
      <c r="F34" s="629"/>
      <c r="G34" s="629"/>
      <c r="H34" s="629"/>
      <c r="I34" s="629"/>
      <c r="J34" s="629"/>
      <c r="K34" s="629"/>
      <c r="L34" s="629"/>
      <c r="M34" s="629"/>
      <c r="N34" s="629"/>
      <c r="O34" s="629"/>
      <c r="P34" s="629"/>
      <c r="Q34" s="629"/>
      <c r="R34" s="629"/>
      <c r="S34" s="629"/>
      <c r="T34" s="629"/>
      <c r="U34" s="630"/>
      <c r="V34" s="631" t="s">
        <v>908</v>
      </c>
      <c r="W34" s="632"/>
      <c r="X34" s="633"/>
      <c r="Y34" s="634"/>
      <c r="Z34" s="634"/>
      <c r="AA34" s="634"/>
      <c r="AB34" s="634"/>
      <c r="AC34" s="634"/>
      <c r="AD34" s="634"/>
      <c r="AE34" s="634"/>
      <c r="AF34" s="634"/>
      <c r="AG34" s="634"/>
      <c r="AH34" s="634"/>
      <c r="AI34" s="634"/>
      <c r="AJ34" s="634"/>
      <c r="AK34" s="634"/>
      <c r="AL34" s="634"/>
      <c r="AM34" s="634"/>
      <c r="AN34" s="634"/>
      <c r="AO34" s="634"/>
      <c r="AP34" s="634"/>
      <c r="AQ34" s="634"/>
      <c r="AR34" s="634"/>
      <c r="AS34" s="634"/>
      <c r="AT34" s="634"/>
      <c r="AU34" s="634"/>
      <c r="AV34" s="634"/>
      <c r="AW34" s="634"/>
      <c r="AX34" s="634"/>
      <c r="AY34" s="634"/>
      <c r="AZ34" s="634"/>
      <c r="BA34" s="634"/>
      <c r="BB34" s="634"/>
    </row>
    <row r="35" spans="1:54" ht="12.75" customHeight="1">
      <c r="A35" s="626" t="s">
        <v>909</v>
      </c>
      <c r="B35" s="627"/>
      <c r="C35" s="628" t="s">
        <v>910</v>
      </c>
      <c r="D35" s="629"/>
      <c r="E35" s="629"/>
      <c r="F35" s="629"/>
      <c r="G35" s="629"/>
      <c r="H35" s="629"/>
      <c r="I35" s="629"/>
      <c r="J35" s="629"/>
      <c r="K35" s="629"/>
      <c r="L35" s="629"/>
      <c r="M35" s="629"/>
      <c r="N35" s="629"/>
      <c r="O35" s="629"/>
      <c r="P35" s="629"/>
      <c r="Q35" s="629"/>
      <c r="R35" s="629"/>
      <c r="S35" s="629"/>
      <c r="T35" s="629"/>
      <c r="U35" s="630"/>
      <c r="V35" s="631" t="s">
        <v>911</v>
      </c>
      <c r="W35" s="632"/>
      <c r="X35" s="633"/>
      <c r="Y35" s="634"/>
      <c r="Z35" s="634"/>
      <c r="AA35" s="634"/>
      <c r="AB35" s="634"/>
      <c r="AC35" s="634"/>
      <c r="AD35" s="634"/>
      <c r="AE35" s="634"/>
      <c r="AF35" s="634"/>
      <c r="AG35" s="634"/>
      <c r="AH35" s="634"/>
      <c r="AI35" s="634"/>
      <c r="AJ35" s="634"/>
      <c r="AK35" s="634"/>
      <c r="AL35" s="634"/>
      <c r="AM35" s="634"/>
      <c r="AN35" s="634"/>
      <c r="AO35" s="634"/>
      <c r="AP35" s="634"/>
      <c r="AQ35" s="634"/>
      <c r="AR35" s="634"/>
      <c r="AS35" s="634"/>
      <c r="AT35" s="634"/>
      <c r="AU35" s="634"/>
      <c r="AV35" s="634"/>
      <c r="AW35" s="634"/>
      <c r="AX35" s="634"/>
      <c r="AY35" s="634"/>
      <c r="AZ35" s="634"/>
      <c r="BA35" s="634"/>
      <c r="BB35" s="634"/>
    </row>
    <row r="36" spans="1:54" ht="12.75" customHeight="1">
      <c r="A36" s="626" t="s">
        <v>912</v>
      </c>
      <c r="B36" s="627"/>
      <c r="C36" s="628" t="s">
        <v>913</v>
      </c>
      <c r="D36" s="629"/>
      <c r="E36" s="629"/>
      <c r="F36" s="629"/>
      <c r="G36" s="629"/>
      <c r="H36" s="629"/>
      <c r="I36" s="629"/>
      <c r="J36" s="629"/>
      <c r="K36" s="629"/>
      <c r="L36" s="629"/>
      <c r="M36" s="629"/>
      <c r="N36" s="629"/>
      <c r="O36" s="629"/>
      <c r="P36" s="629"/>
      <c r="Q36" s="629"/>
      <c r="R36" s="629"/>
      <c r="S36" s="629"/>
      <c r="T36" s="629"/>
      <c r="U36" s="630"/>
      <c r="V36" s="631" t="s">
        <v>914</v>
      </c>
      <c r="W36" s="632"/>
      <c r="X36" s="633"/>
      <c r="Y36" s="634"/>
      <c r="Z36" s="634"/>
      <c r="AA36" s="634"/>
      <c r="AB36" s="634"/>
      <c r="AC36" s="634"/>
      <c r="AD36" s="634"/>
      <c r="AE36" s="634"/>
      <c r="AF36" s="634"/>
      <c r="AG36" s="634"/>
      <c r="AH36" s="634"/>
      <c r="AI36" s="634"/>
      <c r="AJ36" s="634"/>
      <c r="AK36" s="634"/>
      <c r="AL36" s="634"/>
      <c r="AM36" s="634"/>
      <c r="AN36" s="634"/>
      <c r="AO36" s="634"/>
      <c r="AP36" s="634"/>
      <c r="AQ36" s="634"/>
      <c r="AR36" s="634"/>
      <c r="AS36" s="634"/>
      <c r="AT36" s="634"/>
      <c r="AU36" s="634"/>
      <c r="AV36" s="634"/>
      <c r="AW36" s="634"/>
      <c r="AX36" s="634"/>
      <c r="AY36" s="634"/>
      <c r="AZ36" s="634"/>
      <c r="BA36" s="634"/>
      <c r="BB36" s="634"/>
    </row>
    <row r="37" spans="1:54" ht="12.75" customHeight="1">
      <c r="A37" s="638" t="s">
        <v>915</v>
      </c>
      <c r="B37" s="639"/>
      <c r="C37" s="640" t="s">
        <v>916</v>
      </c>
      <c r="D37" s="641"/>
      <c r="E37" s="641"/>
      <c r="F37" s="641"/>
      <c r="G37" s="641"/>
      <c r="H37" s="641"/>
      <c r="I37" s="641"/>
      <c r="J37" s="641"/>
      <c r="K37" s="641"/>
      <c r="L37" s="641"/>
      <c r="M37" s="641"/>
      <c r="N37" s="641"/>
      <c r="O37" s="641"/>
      <c r="P37" s="641"/>
      <c r="Q37" s="641"/>
      <c r="R37" s="641"/>
      <c r="S37" s="641"/>
      <c r="T37" s="641"/>
      <c r="U37" s="642"/>
      <c r="V37" s="643" t="s">
        <v>917</v>
      </c>
      <c r="W37" s="644"/>
      <c r="X37" s="645"/>
      <c r="Y37" s="646"/>
      <c r="Z37" s="646"/>
      <c r="AA37" s="646"/>
      <c r="AB37" s="647"/>
      <c r="AC37" s="647"/>
      <c r="AD37" s="647"/>
      <c r="AE37" s="646"/>
      <c r="AF37" s="646"/>
      <c r="AG37" s="646"/>
      <c r="AH37" s="647"/>
      <c r="AI37" s="647"/>
      <c r="AJ37" s="647"/>
      <c r="AK37" s="646"/>
      <c r="AL37" s="646"/>
      <c r="AM37" s="646"/>
      <c r="AN37" s="647"/>
      <c r="AO37" s="647"/>
      <c r="AP37" s="647"/>
      <c r="AQ37" s="646"/>
      <c r="AR37" s="646"/>
      <c r="AS37" s="646"/>
      <c r="AT37" s="647"/>
      <c r="AU37" s="647"/>
      <c r="AV37" s="647"/>
      <c r="AW37" s="646"/>
      <c r="AX37" s="646"/>
      <c r="AY37" s="646"/>
      <c r="AZ37" s="647"/>
      <c r="BA37" s="647"/>
      <c r="BB37" s="647"/>
    </row>
    <row r="38" spans="1:54" ht="12.75" customHeight="1">
      <c r="A38" s="626" t="s">
        <v>918</v>
      </c>
      <c r="B38" s="627"/>
      <c r="C38" s="628" t="s">
        <v>919</v>
      </c>
      <c r="D38" s="629"/>
      <c r="E38" s="629"/>
      <c r="F38" s="629"/>
      <c r="G38" s="629"/>
      <c r="H38" s="629"/>
      <c r="I38" s="629"/>
      <c r="J38" s="629"/>
      <c r="K38" s="629"/>
      <c r="L38" s="629"/>
      <c r="M38" s="629"/>
      <c r="N38" s="629"/>
      <c r="O38" s="629"/>
      <c r="P38" s="629"/>
      <c r="Q38" s="629"/>
      <c r="R38" s="629"/>
      <c r="S38" s="629"/>
      <c r="T38" s="629"/>
      <c r="U38" s="630"/>
      <c r="V38" s="631" t="s">
        <v>920</v>
      </c>
      <c r="W38" s="632"/>
      <c r="X38" s="633"/>
      <c r="Y38" s="634"/>
      <c r="Z38" s="634"/>
      <c r="AA38" s="634"/>
      <c r="AB38" s="634"/>
      <c r="AC38" s="634"/>
      <c r="AD38" s="634"/>
      <c r="AE38" s="634"/>
      <c r="AF38" s="634"/>
      <c r="AG38" s="634"/>
      <c r="AH38" s="634"/>
      <c r="AI38" s="634"/>
      <c r="AJ38" s="634"/>
      <c r="AK38" s="634"/>
      <c r="AL38" s="634"/>
      <c r="AM38" s="634"/>
      <c r="AN38" s="634"/>
      <c r="AO38" s="634"/>
      <c r="AP38" s="634"/>
      <c r="AQ38" s="634"/>
      <c r="AR38" s="634"/>
      <c r="AS38" s="634"/>
      <c r="AT38" s="634"/>
      <c r="AU38" s="634"/>
      <c r="AV38" s="634"/>
      <c r="AW38" s="634"/>
      <c r="AX38" s="634"/>
      <c r="AY38" s="634"/>
      <c r="AZ38" s="634"/>
      <c r="BA38" s="634"/>
      <c r="BB38" s="634"/>
    </row>
    <row r="39" spans="1:54" ht="12.75" customHeight="1">
      <c r="A39" s="626" t="s">
        <v>921</v>
      </c>
      <c r="B39" s="627"/>
      <c r="C39" s="628" t="s">
        <v>34</v>
      </c>
      <c r="D39" s="629"/>
      <c r="E39" s="629"/>
      <c r="F39" s="629"/>
      <c r="G39" s="629"/>
      <c r="H39" s="629"/>
      <c r="I39" s="629"/>
      <c r="J39" s="629"/>
      <c r="K39" s="629"/>
      <c r="L39" s="629"/>
      <c r="M39" s="629"/>
      <c r="N39" s="629"/>
      <c r="O39" s="629"/>
      <c r="P39" s="629"/>
      <c r="Q39" s="629"/>
      <c r="R39" s="629"/>
      <c r="S39" s="629"/>
      <c r="T39" s="629"/>
      <c r="U39" s="630"/>
      <c r="V39" s="631" t="s">
        <v>922</v>
      </c>
      <c r="W39" s="632"/>
      <c r="X39" s="633"/>
      <c r="Y39" s="634"/>
      <c r="Z39" s="634"/>
      <c r="AA39" s="634"/>
      <c r="AB39" s="634"/>
      <c r="AC39" s="634"/>
      <c r="AD39" s="634"/>
      <c r="AE39" s="634"/>
      <c r="AF39" s="634"/>
      <c r="AG39" s="634"/>
      <c r="AH39" s="634"/>
      <c r="AI39" s="634"/>
      <c r="AJ39" s="634"/>
      <c r="AK39" s="634"/>
      <c r="AL39" s="634"/>
      <c r="AM39" s="634"/>
      <c r="AN39" s="634"/>
      <c r="AO39" s="634"/>
      <c r="AP39" s="634"/>
      <c r="AQ39" s="634"/>
      <c r="AR39" s="634"/>
      <c r="AS39" s="634"/>
      <c r="AT39" s="634"/>
      <c r="AU39" s="634"/>
      <c r="AV39" s="634"/>
      <c r="AW39" s="634"/>
      <c r="AX39" s="634"/>
      <c r="AY39" s="634"/>
      <c r="AZ39" s="634"/>
      <c r="BA39" s="634"/>
      <c r="BB39" s="634"/>
    </row>
    <row r="40" spans="1:54" ht="12.75" customHeight="1">
      <c r="A40" s="638" t="s">
        <v>923</v>
      </c>
      <c r="B40" s="639"/>
      <c r="C40" s="640" t="s">
        <v>924</v>
      </c>
      <c r="D40" s="641"/>
      <c r="E40" s="641"/>
      <c r="F40" s="641"/>
      <c r="G40" s="641"/>
      <c r="H40" s="641"/>
      <c r="I40" s="641"/>
      <c r="J40" s="641"/>
      <c r="K40" s="641"/>
      <c r="L40" s="641"/>
      <c r="M40" s="641"/>
      <c r="N40" s="641"/>
      <c r="O40" s="641"/>
      <c r="P40" s="641"/>
      <c r="Q40" s="641"/>
      <c r="R40" s="641"/>
      <c r="S40" s="641"/>
      <c r="T40" s="641"/>
      <c r="U40" s="642"/>
      <c r="V40" s="643" t="s">
        <v>925</v>
      </c>
      <c r="W40" s="644"/>
      <c r="X40" s="645"/>
      <c r="Y40" s="646"/>
      <c r="Z40" s="646"/>
      <c r="AA40" s="646"/>
      <c r="AB40" s="647"/>
      <c r="AC40" s="647"/>
      <c r="AD40" s="647"/>
      <c r="AE40" s="646"/>
      <c r="AF40" s="646"/>
      <c r="AG40" s="646"/>
      <c r="AH40" s="647"/>
      <c r="AI40" s="647"/>
      <c r="AJ40" s="647"/>
      <c r="AK40" s="646"/>
      <c r="AL40" s="646"/>
      <c r="AM40" s="646"/>
      <c r="AN40" s="647"/>
      <c r="AO40" s="647"/>
      <c r="AP40" s="647"/>
      <c r="AQ40" s="646"/>
      <c r="AR40" s="646"/>
      <c r="AS40" s="646"/>
      <c r="AT40" s="647"/>
      <c r="AU40" s="647"/>
      <c r="AV40" s="647"/>
      <c r="AW40" s="646"/>
      <c r="AX40" s="646"/>
      <c r="AY40" s="646"/>
      <c r="AZ40" s="647"/>
      <c r="BA40" s="647"/>
      <c r="BB40" s="647"/>
    </row>
    <row r="41" spans="1:54" ht="12.75" customHeight="1">
      <c r="A41" s="626" t="s">
        <v>926</v>
      </c>
      <c r="B41" s="627"/>
      <c r="C41" s="628" t="s">
        <v>927</v>
      </c>
      <c r="D41" s="629"/>
      <c r="E41" s="629"/>
      <c r="F41" s="629"/>
      <c r="G41" s="629"/>
      <c r="H41" s="629"/>
      <c r="I41" s="629"/>
      <c r="J41" s="629"/>
      <c r="K41" s="629"/>
      <c r="L41" s="629"/>
      <c r="M41" s="629"/>
      <c r="N41" s="629"/>
      <c r="O41" s="629"/>
      <c r="P41" s="629"/>
      <c r="Q41" s="629"/>
      <c r="R41" s="629"/>
      <c r="S41" s="629"/>
      <c r="T41" s="629"/>
      <c r="U41" s="630"/>
      <c r="V41" s="631" t="s">
        <v>928</v>
      </c>
      <c r="W41" s="632"/>
      <c r="X41" s="633"/>
      <c r="Y41" s="634"/>
      <c r="Z41" s="634"/>
      <c r="AA41" s="634"/>
      <c r="AB41" s="634"/>
      <c r="AC41" s="634"/>
      <c r="AD41" s="634"/>
      <c r="AE41" s="634"/>
      <c r="AF41" s="634"/>
      <c r="AG41" s="634"/>
      <c r="AH41" s="634"/>
      <c r="AI41" s="634"/>
      <c r="AJ41" s="634"/>
      <c r="AK41" s="634"/>
      <c r="AL41" s="634"/>
      <c r="AM41" s="634"/>
      <c r="AN41" s="634"/>
      <c r="AO41" s="634"/>
      <c r="AP41" s="634"/>
      <c r="AQ41" s="634"/>
      <c r="AR41" s="634"/>
      <c r="AS41" s="634"/>
      <c r="AT41" s="634"/>
      <c r="AU41" s="634"/>
      <c r="AV41" s="634"/>
      <c r="AW41" s="634"/>
      <c r="AX41" s="634"/>
      <c r="AY41" s="634"/>
      <c r="AZ41" s="634"/>
      <c r="BA41" s="634"/>
      <c r="BB41" s="634"/>
    </row>
    <row r="42" spans="1:54" ht="12.75" customHeight="1">
      <c r="A42" s="626" t="s">
        <v>929</v>
      </c>
      <c r="B42" s="627"/>
      <c r="C42" s="628" t="s">
        <v>168</v>
      </c>
      <c r="D42" s="629"/>
      <c r="E42" s="629"/>
      <c r="F42" s="629"/>
      <c r="G42" s="629"/>
      <c r="H42" s="629"/>
      <c r="I42" s="629"/>
      <c r="J42" s="629"/>
      <c r="K42" s="629"/>
      <c r="L42" s="629"/>
      <c r="M42" s="629"/>
      <c r="N42" s="629"/>
      <c r="O42" s="629"/>
      <c r="P42" s="629"/>
      <c r="Q42" s="629"/>
      <c r="R42" s="629"/>
      <c r="S42" s="629"/>
      <c r="T42" s="629"/>
      <c r="U42" s="630"/>
      <c r="V42" s="631" t="s">
        <v>930</v>
      </c>
      <c r="W42" s="632"/>
      <c r="X42" s="633"/>
      <c r="Y42" s="634"/>
      <c r="Z42" s="634"/>
      <c r="AA42" s="634"/>
      <c r="AB42" s="634"/>
      <c r="AC42" s="634"/>
      <c r="AD42" s="634"/>
      <c r="AE42" s="634"/>
      <c r="AF42" s="634"/>
      <c r="AG42" s="634"/>
      <c r="AH42" s="634"/>
      <c r="AI42" s="634"/>
      <c r="AJ42" s="634"/>
      <c r="AK42" s="634"/>
      <c r="AL42" s="634"/>
      <c r="AM42" s="634"/>
      <c r="AN42" s="634"/>
      <c r="AO42" s="634"/>
      <c r="AP42" s="634"/>
      <c r="AQ42" s="634"/>
      <c r="AR42" s="634"/>
      <c r="AS42" s="634"/>
      <c r="AT42" s="634"/>
      <c r="AU42" s="634"/>
      <c r="AV42" s="634"/>
      <c r="AW42" s="634"/>
      <c r="AX42" s="634"/>
      <c r="AY42" s="634"/>
      <c r="AZ42" s="634"/>
      <c r="BA42" s="634"/>
      <c r="BB42" s="634"/>
    </row>
    <row r="43" spans="1:54" ht="12.75" customHeight="1">
      <c r="A43" s="626" t="s">
        <v>931</v>
      </c>
      <c r="B43" s="627"/>
      <c r="C43" s="628" t="s">
        <v>932</v>
      </c>
      <c r="D43" s="629"/>
      <c r="E43" s="629"/>
      <c r="F43" s="629"/>
      <c r="G43" s="629"/>
      <c r="H43" s="629"/>
      <c r="I43" s="629"/>
      <c r="J43" s="629"/>
      <c r="K43" s="629"/>
      <c r="L43" s="629"/>
      <c r="M43" s="629"/>
      <c r="N43" s="629"/>
      <c r="O43" s="629"/>
      <c r="P43" s="629"/>
      <c r="Q43" s="629"/>
      <c r="R43" s="629"/>
      <c r="S43" s="629"/>
      <c r="T43" s="629"/>
      <c r="U43" s="630"/>
      <c r="V43" s="631" t="s">
        <v>933</v>
      </c>
      <c r="W43" s="632"/>
      <c r="X43" s="633"/>
      <c r="Y43" s="634"/>
      <c r="Z43" s="634"/>
      <c r="AA43" s="634"/>
      <c r="AB43" s="634"/>
      <c r="AC43" s="634"/>
      <c r="AD43" s="634"/>
      <c r="AE43" s="634"/>
      <c r="AF43" s="634"/>
      <c r="AG43" s="634"/>
      <c r="AH43" s="634"/>
      <c r="AI43" s="634"/>
      <c r="AJ43" s="634"/>
      <c r="AK43" s="634"/>
      <c r="AL43" s="634"/>
      <c r="AM43" s="634"/>
      <c r="AN43" s="634"/>
      <c r="AO43" s="634"/>
      <c r="AP43" s="634"/>
      <c r="AQ43" s="634"/>
      <c r="AR43" s="634"/>
      <c r="AS43" s="634"/>
      <c r="AT43" s="634"/>
      <c r="AU43" s="634"/>
      <c r="AV43" s="634"/>
      <c r="AW43" s="634"/>
      <c r="AX43" s="634"/>
      <c r="AY43" s="634"/>
      <c r="AZ43" s="634"/>
      <c r="BA43" s="634"/>
      <c r="BB43" s="634"/>
    </row>
    <row r="44" spans="1:54" ht="25.5" customHeight="1">
      <c r="A44" s="626" t="s">
        <v>934</v>
      </c>
      <c r="B44" s="627"/>
      <c r="C44" s="635" t="s">
        <v>935</v>
      </c>
      <c r="D44" s="636"/>
      <c r="E44" s="636"/>
      <c r="F44" s="636"/>
      <c r="G44" s="636"/>
      <c r="H44" s="636"/>
      <c r="I44" s="636"/>
      <c r="J44" s="636"/>
      <c r="K44" s="636"/>
      <c r="L44" s="636"/>
      <c r="M44" s="636"/>
      <c r="N44" s="636"/>
      <c r="O44" s="636"/>
      <c r="P44" s="636"/>
      <c r="Q44" s="636"/>
      <c r="R44" s="636"/>
      <c r="S44" s="636"/>
      <c r="T44" s="636"/>
      <c r="U44" s="637"/>
      <c r="V44" s="631" t="s">
        <v>933</v>
      </c>
      <c r="W44" s="632"/>
      <c r="X44" s="633"/>
      <c r="Y44" s="634"/>
      <c r="Z44" s="634"/>
      <c r="AA44" s="634"/>
      <c r="AB44" s="634"/>
      <c r="AC44" s="634"/>
      <c r="AD44" s="634"/>
      <c r="AE44" s="634"/>
      <c r="AF44" s="634"/>
      <c r="AG44" s="634"/>
      <c r="AH44" s="634"/>
      <c r="AI44" s="634"/>
      <c r="AJ44" s="634"/>
      <c r="AK44" s="634"/>
      <c r="AL44" s="634"/>
      <c r="AM44" s="634"/>
      <c r="AN44" s="634"/>
      <c r="AO44" s="634"/>
      <c r="AP44" s="634"/>
      <c r="AQ44" s="634"/>
      <c r="AR44" s="634"/>
      <c r="AS44" s="634"/>
      <c r="AT44" s="634"/>
      <c r="AU44" s="634"/>
      <c r="AV44" s="634"/>
      <c r="AW44" s="634"/>
      <c r="AX44" s="634"/>
      <c r="AY44" s="634"/>
      <c r="AZ44" s="634"/>
      <c r="BA44" s="634"/>
      <c r="BB44" s="634"/>
    </row>
    <row r="45" spans="1:54" ht="12.75" customHeight="1">
      <c r="A45" s="626" t="s">
        <v>936</v>
      </c>
      <c r="B45" s="627"/>
      <c r="C45" s="628" t="s">
        <v>937</v>
      </c>
      <c r="D45" s="629"/>
      <c r="E45" s="629"/>
      <c r="F45" s="629"/>
      <c r="G45" s="629"/>
      <c r="H45" s="629"/>
      <c r="I45" s="629"/>
      <c r="J45" s="629"/>
      <c r="K45" s="629"/>
      <c r="L45" s="629"/>
      <c r="M45" s="629"/>
      <c r="N45" s="629"/>
      <c r="O45" s="629"/>
      <c r="P45" s="629"/>
      <c r="Q45" s="629"/>
      <c r="R45" s="629"/>
      <c r="S45" s="629"/>
      <c r="T45" s="629"/>
      <c r="U45" s="630"/>
      <c r="V45" s="631" t="s">
        <v>938</v>
      </c>
      <c r="W45" s="632"/>
      <c r="X45" s="633"/>
      <c r="Y45" s="634"/>
      <c r="Z45" s="634"/>
      <c r="AA45" s="634"/>
      <c r="AB45" s="634"/>
      <c r="AC45" s="634"/>
      <c r="AD45" s="634"/>
      <c r="AE45" s="634"/>
      <c r="AF45" s="634"/>
      <c r="AG45" s="634"/>
      <c r="AH45" s="634"/>
      <c r="AI45" s="634"/>
      <c r="AJ45" s="634"/>
      <c r="AK45" s="634"/>
      <c r="AL45" s="634"/>
      <c r="AM45" s="634"/>
      <c r="AN45" s="634"/>
      <c r="AO45" s="634"/>
      <c r="AP45" s="634"/>
      <c r="AQ45" s="634"/>
      <c r="AR45" s="634"/>
      <c r="AS45" s="634"/>
      <c r="AT45" s="634"/>
      <c r="AU45" s="634"/>
      <c r="AV45" s="634"/>
      <c r="AW45" s="634"/>
      <c r="AX45" s="634"/>
      <c r="AY45" s="634"/>
      <c r="AZ45" s="634"/>
      <c r="BA45" s="634"/>
      <c r="BB45" s="634"/>
    </row>
    <row r="46" spans="1:54" ht="12.75" customHeight="1">
      <c r="A46" s="626" t="s">
        <v>939</v>
      </c>
      <c r="B46" s="627"/>
      <c r="C46" s="648" t="s">
        <v>940</v>
      </c>
      <c r="D46" s="649"/>
      <c r="E46" s="649"/>
      <c r="F46" s="649"/>
      <c r="G46" s="649"/>
      <c r="H46" s="649"/>
      <c r="I46" s="649"/>
      <c r="J46" s="649"/>
      <c r="K46" s="649"/>
      <c r="L46" s="649"/>
      <c r="M46" s="649"/>
      <c r="N46" s="649"/>
      <c r="O46" s="649"/>
      <c r="P46" s="649"/>
      <c r="Q46" s="649"/>
      <c r="R46" s="649"/>
      <c r="S46" s="649"/>
      <c r="T46" s="649"/>
      <c r="U46" s="650"/>
      <c r="V46" s="631" t="s">
        <v>941</v>
      </c>
      <c r="W46" s="632"/>
      <c r="X46" s="633"/>
      <c r="Y46" s="634"/>
      <c r="Z46" s="634"/>
      <c r="AA46" s="634"/>
      <c r="AB46" s="634"/>
      <c r="AC46" s="634"/>
      <c r="AD46" s="634"/>
      <c r="AE46" s="634"/>
      <c r="AF46" s="634"/>
      <c r="AG46" s="634"/>
      <c r="AH46" s="634"/>
      <c r="AI46" s="634"/>
      <c r="AJ46" s="634"/>
      <c r="AK46" s="634"/>
      <c r="AL46" s="634"/>
      <c r="AM46" s="634"/>
      <c r="AN46" s="634"/>
      <c r="AO46" s="634"/>
      <c r="AP46" s="634"/>
      <c r="AQ46" s="634"/>
      <c r="AR46" s="634"/>
      <c r="AS46" s="634"/>
      <c r="AT46" s="634"/>
      <c r="AU46" s="634"/>
      <c r="AV46" s="634"/>
      <c r="AW46" s="634"/>
      <c r="AX46" s="634"/>
      <c r="AY46" s="634"/>
      <c r="AZ46" s="634"/>
      <c r="BA46" s="634"/>
      <c r="BB46" s="634"/>
    </row>
    <row r="47" spans="1:54" ht="12.75" customHeight="1">
      <c r="A47" s="626" t="s">
        <v>942</v>
      </c>
      <c r="B47" s="627"/>
      <c r="C47" s="635" t="s">
        <v>943</v>
      </c>
      <c r="D47" s="636"/>
      <c r="E47" s="636"/>
      <c r="F47" s="636"/>
      <c r="G47" s="636"/>
      <c r="H47" s="636"/>
      <c r="I47" s="636"/>
      <c r="J47" s="636"/>
      <c r="K47" s="636"/>
      <c r="L47" s="636"/>
      <c r="M47" s="636"/>
      <c r="N47" s="636"/>
      <c r="O47" s="636"/>
      <c r="P47" s="636"/>
      <c r="Q47" s="636"/>
      <c r="R47" s="636"/>
      <c r="S47" s="636"/>
      <c r="T47" s="636"/>
      <c r="U47" s="637"/>
      <c r="V47" s="631" t="s">
        <v>941</v>
      </c>
      <c r="W47" s="632"/>
      <c r="X47" s="633"/>
      <c r="Y47" s="634"/>
      <c r="Z47" s="634"/>
      <c r="AA47" s="634"/>
      <c r="AB47" s="634"/>
      <c r="AC47" s="634"/>
      <c r="AD47" s="634"/>
      <c r="AE47" s="634"/>
      <c r="AF47" s="634"/>
      <c r="AG47" s="634"/>
      <c r="AH47" s="634"/>
      <c r="AI47" s="634"/>
      <c r="AJ47" s="634"/>
      <c r="AK47" s="634"/>
      <c r="AL47" s="634"/>
      <c r="AM47" s="634"/>
      <c r="AN47" s="634"/>
      <c r="AO47" s="634"/>
      <c r="AP47" s="634"/>
      <c r="AQ47" s="634"/>
      <c r="AR47" s="634"/>
      <c r="AS47" s="634"/>
      <c r="AT47" s="634"/>
      <c r="AU47" s="634"/>
      <c r="AV47" s="634"/>
      <c r="AW47" s="634"/>
      <c r="AX47" s="634"/>
      <c r="AY47" s="634"/>
      <c r="AZ47" s="634"/>
      <c r="BA47" s="634"/>
      <c r="BB47" s="634"/>
    </row>
    <row r="48" spans="1:54" ht="12.75" customHeight="1">
      <c r="A48" s="626" t="s">
        <v>944</v>
      </c>
      <c r="B48" s="627"/>
      <c r="C48" s="628" t="s">
        <v>945</v>
      </c>
      <c r="D48" s="629"/>
      <c r="E48" s="629"/>
      <c r="F48" s="629"/>
      <c r="G48" s="629"/>
      <c r="H48" s="629"/>
      <c r="I48" s="629"/>
      <c r="J48" s="629"/>
      <c r="K48" s="629"/>
      <c r="L48" s="629"/>
      <c r="M48" s="629"/>
      <c r="N48" s="629"/>
      <c r="O48" s="629"/>
      <c r="P48" s="629"/>
      <c r="Q48" s="629"/>
      <c r="R48" s="629"/>
      <c r="S48" s="629"/>
      <c r="T48" s="629"/>
      <c r="U48" s="630"/>
      <c r="V48" s="631" t="s">
        <v>946</v>
      </c>
      <c r="W48" s="632"/>
      <c r="X48" s="633"/>
      <c r="Y48" s="634"/>
      <c r="Z48" s="634"/>
      <c r="AA48" s="634"/>
      <c r="AB48" s="634"/>
      <c r="AC48" s="634"/>
      <c r="AD48" s="634"/>
      <c r="AE48" s="634"/>
      <c r="AF48" s="634"/>
      <c r="AG48" s="634"/>
      <c r="AH48" s="634"/>
      <c r="AI48" s="634"/>
      <c r="AJ48" s="634"/>
      <c r="AK48" s="634"/>
      <c r="AL48" s="634"/>
      <c r="AM48" s="634"/>
      <c r="AN48" s="634"/>
      <c r="AO48" s="634"/>
      <c r="AP48" s="634"/>
      <c r="AQ48" s="634"/>
      <c r="AR48" s="634"/>
      <c r="AS48" s="634"/>
      <c r="AT48" s="634"/>
      <c r="AU48" s="634"/>
      <c r="AV48" s="634"/>
      <c r="AW48" s="634"/>
      <c r="AX48" s="634"/>
      <c r="AY48" s="634"/>
      <c r="AZ48" s="634"/>
      <c r="BA48" s="634"/>
      <c r="BB48" s="634"/>
    </row>
    <row r="49" spans="1:54" ht="12.75" customHeight="1">
      <c r="A49" s="626" t="s">
        <v>947</v>
      </c>
      <c r="B49" s="627"/>
      <c r="C49" s="628" t="s">
        <v>948</v>
      </c>
      <c r="D49" s="629"/>
      <c r="E49" s="629"/>
      <c r="F49" s="629"/>
      <c r="G49" s="629"/>
      <c r="H49" s="629"/>
      <c r="I49" s="629"/>
      <c r="J49" s="629"/>
      <c r="K49" s="629"/>
      <c r="L49" s="629"/>
      <c r="M49" s="629"/>
      <c r="N49" s="629"/>
      <c r="O49" s="629"/>
      <c r="P49" s="629"/>
      <c r="Q49" s="629"/>
      <c r="R49" s="629"/>
      <c r="S49" s="629"/>
      <c r="T49" s="629"/>
      <c r="U49" s="630"/>
      <c r="V49" s="631" t="s">
        <v>949</v>
      </c>
      <c r="W49" s="632"/>
      <c r="X49" s="633"/>
      <c r="Y49" s="634"/>
      <c r="Z49" s="634"/>
      <c r="AA49" s="634"/>
      <c r="AB49" s="634"/>
      <c r="AC49" s="634"/>
      <c r="AD49" s="634"/>
      <c r="AE49" s="634"/>
      <c r="AF49" s="634"/>
      <c r="AG49" s="634"/>
      <c r="AH49" s="634"/>
      <c r="AI49" s="634"/>
      <c r="AJ49" s="634"/>
      <c r="AK49" s="634"/>
      <c r="AL49" s="634"/>
      <c r="AM49" s="634"/>
      <c r="AN49" s="634"/>
      <c r="AO49" s="634"/>
      <c r="AP49" s="634"/>
      <c r="AQ49" s="634"/>
      <c r="AR49" s="634"/>
      <c r="AS49" s="634"/>
      <c r="AT49" s="634"/>
      <c r="AU49" s="634"/>
      <c r="AV49" s="634"/>
      <c r="AW49" s="634"/>
      <c r="AX49" s="634"/>
      <c r="AY49" s="634"/>
      <c r="AZ49" s="634"/>
      <c r="BA49" s="634"/>
      <c r="BB49" s="634"/>
    </row>
    <row r="50" spans="1:54" ht="12.75" customHeight="1">
      <c r="A50" s="638">
        <v>45</v>
      </c>
      <c r="B50" s="639"/>
      <c r="C50" s="640" t="s">
        <v>950</v>
      </c>
      <c r="D50" s="641"/>
      <c r="E50" s="641"/>
      <c r="F50" s="641"/>
      <c r="G50" s="641"/>
      <c r="H50" s="641"/>
      <c r="I50" s="641"/>
      <c r="J50" s="641"/>
      <c r="K50" s="641"/>
      <c r="L50" s="641"/>
      <c r="M50" s="641"/>
      <c r="N50" s="641"/>
      <c r="O50" s="641"/>
      <c r="P50" s="641"/>
      <c r="Q50" s="641"/>
      <c r="R50" s="641"/>
      <c r="S50" s="641"/>
      <c r="T50" s="641"/>
      <c r="U50" s="642"/>
      <c r="V50" s="643" t="s">
        <v>951</v>
      </c>
      <c r="W50" s="644"/>
      <c r="X50" s="645"/>
      <c r="Y50" s="646"/>
      <c r="Z50" s="646"/>
      <c r="AA50" s="646"/>
      <c r="AB50" s="647"/>
      <c r="AC50" s="647"/>
      <c r="AD50" s="647"/>
      <c r="AE50" s="646"/>
      <c r="AF50" s="646"/>
      <c r="AG50" s="646"/>
      <c r="AH50" s="647"/>
      <c r="AI50" s="647"/>
      <c r="AJ50" s="647"/>
      <c r="AK50" s="646"/>
      <c r="AL50" s="646"/>
      <c r="AM50" s="646"/>
      <c r="AN50" s="647"/>
      <c r="AO50" s="647"/>
      <c r="AP50" s="647"/>
      <c r="AQ50" s="646"/>
      <c r="AR50" s="646"/>
      <c r="AS50" s="646"/>
      <c r="AT50" s="647"/>
      <c r="AU50" s="647"/>
      <c r="AV50" s="647"/>
      <c r="AW50" s="646"/>
      <c r="AX50" s="646"/>
      <c r="AY50" s="646"/>
      <c r="AZ50" s="647"/>
      <c r="BA50" s="647"/>
      <c r="BB50" s="647"/>
    </row>
    <row r="51" spans="1:54" ht="12.75" customHeight="1">
      <c r="A51" s="626">
        <v>46</v>
      </c>
      <c r="B51" s="627"/>
      <c r="C51" s="628" t="s">
        <v>952</v>
      </c>
      <c r="D51" s="629"/>
      <c r="E51" s="629"/>
      <c r="F51" s="629"/>
      <c r="G51" s="629"/>
      <c r="H51" s="629"/>
      <c r="I51" s="629"/>
      <c r="J51" s="629"/>
      <c r="K51" s="629"/>
      <c r="L51" s="629"/>
      <c r="M51" s="629"/>
      <c r="N51" s="629"/>
      <c r="O51" s="629"/>
      <c r="P51" s="629"/>
      <c r="Q51" s="629"/>
      <c r="R51" s="629"/>
      <c r="S51" s="629"/>
      <c r="T51" s="629"/>
      <c r="U51" s="630"/>
      <c r="V51" s="631" t="s">
        <v>953</v>
      </c>
      <c r="W51" s="632"/>
      <c r="X51" s="633"/>
      <c r="Y51" s="634"/>
      <c r="Z51" s="634"/>
      <c r="AA51" s="634"/>
      <c r="AB51" s="634"/>
      <c r="AC51" s="634"/>
      <c r="AD51" s="634"/>
      <c r="AE51" s="634"/>
      <c r="AF51" s="634"/>
      <c r="AG51" s="634"/>
      <c r="AH51" s="634"/>
      <c r="AI51" s="634"/>
      <c r="AJ51" s="634"/>
      <c r="AK51" s="634"/>
      <c r="AL51" s="634"/>
      <c r="AM51" s="634"/>
      <c r="AN51" s="634"/>
      <c r="AO51" s="634"/>
      <c r="AP51" s="634"/>
      <c r="AQ51" s="634"/>
      <c r="AR51" s="634"/>
      <c r="AS51" s="634"/>
      <c r="AT51" s="634"/>
      <c r="AU51" s="634"/>
      <c r="AV51" s="634"/>
      <c r="AW51" s="634"/>
      <c r="AX51" s="634"/>
      <c r="AY51" s="634"/>
      <c r="AZ51" s="634"/>
      <c r="BA51" s="634"/>
      <c r="BB51" s="634"/>
    </row>
    <row r="52" spans="1:54" ht="12.75" customHeight="1">
      <c r="A52" s="626">
        <v>47</v>
      </c>
      <c r="B52" s="627"/>
      <c r="C52" s="628" t="s">
        <v>954</v>
      </c>
      <c r="D52" s="629"/>
      <c r="E52" s="629"/>
      <c r="F52" s="629"/>
      <c r="G52" s="629"/>
      <c r="H52" s="629"/>
      <c r="I52" s="629"/>
      <c r="J52" s="629"/>
      <c r="K52" s="629"/>
      <c r="L52" s="629"/>
      <c r="M52" s="629"/>
      <c r="N52" s="629"/>
      <c r="O52" s="629"/>
      <c r="P52" s="629"/>
      <c r="Q52" s="629"/>
      <c r="R52" s="629"/>
      <c r="S52" s="629"/>
      <c r="T52" s="629"/>
      <c r="U52" s="630"/>
      <c r="V52" s="631" t="s">
        <v>955</v>
      </c>
      <c r="W52" s="632"/>
      <c r="X52" s="633"/>
      <c r="Y52" s="634"/>
      <c r="Z52" s="634"/>
      <c r="AA52" s="634"/>
      <c r="AB52" s="634"/>
      <c r="AC52" s="634"/>
      <c r="AD52" s="634"/>
      <c r="AE52" s="634"/>
      <c r="AF52" s="634"/>
      <c r="AG52" s="634"/>
      <c r="AH52" s="634"/>
      <c r="AI52" s="634"/>
      <c r="AJ52" s="634"/>
      <c r="AK52" s="634"/>
      <c r="AL52" s="634"/>
      <c r="AM52" s="634"/>
      <c r="AN52" s="634"/>
      <c r="AO52" s="634"/>
      <c r="AP52" s="634"/>
      <c r="AQ52" s="634"/>
      <c r="AR52" s="634"/>
      <c r="AS52" s="634"/>
      <c r="AT52" s="634"/>
      <c r="AU52" s="634"/>
      <c r="AV52" s="634"/>
      <c r="AW52" s="634"/>
      <c r="AX52" s="634"/>
      <c r="AY52" s="634"/>
      <c r="AZ52" s="634"/>
      <c r="BA52" s="634"/>
      <c r="BB52" s="634"/>
    </row>
    <row r="53" spans="1:54" ht="25.5" customHeight="1">
      <c r="A53" s="638">
        <v>48</v>
      </c>
      <c r="B53" s="639"/>
      <c r="C53" s="640" t="s">
        <v>956</v>
      </c>
      <c r="D53" s="641"/>
      <c r="E53" s="641"/>
      <c r="F53" s="641"/>
      <c r="G53" s="641"/>
      <c r="H53" s="641"/>
      <c r="I53" s="641"/>
      <c r="J53" s="641"/>
      <c r="K53" s="641"/>
      <c r="L53" s="641"/>
      <c r="M53" s="641"/>
      <c r="N53" s="641"/>
      <c r="O53" s="641"/>
      <c r="P53" s="641"/>
      <c r="Q53" s="641"/>
      <c r="R53" s="641"/>
      <c r="S53" s="641"/>
      <c r="T53" s="641"/>
      <c r="U53" s="642"/>
      <c r="V53" s="643" t="s">
        <v>957</v>
      </c>
      <c r="W53" s="644"/>
      <c r="X53" s="645"/>
      <c r="Y53" s="646"/>
      <c r="Z53" s="646"/>
      <c r="AA53" s="646"/>
      <c r="AB53" s="647"/>
      <c r="AC53" s="647"/>
      <c r="AD53" s="647"/>
      <c r="AE53" s="646"/>
      <c r="AF53" s="646"/>
      <c r="AG53" s="646"/>
      <c r="AH53" s="647"/>
      <c r="AI53" s="647"/>
      <c r="AJ53" s="647"/>
      <c r="AK53" s="646"/>
      <c r="AL53" s="646"/>
      <c r="AM53" s="646"/>
      <c r="AN53" s="647"/>
      <c r="AO53" s="647"/>
      <c r="AP53" s="647"/>
      <c r="AQ53" s="646"/>
      <c r="AR53" s="646"/>
      <c r="AS53" s="646"/>
      <c r="AT53" s="647"/>
      <c r="AU53" s="647"/>
      <c r="AV53" s="647"/>
      <c r="AW53" s="646"/>
      <c r="AX53" s="646"/>
      <c r="AY53" s="646"/>
      <c r="AZ53" s="647"/>
      <c r="BA53" s="647"/>
      <c r="BB53" s="647"/>
    </row>
    <row r="54" spans="1:54" ht="25.5" customHeight="1">
      <c r="A54" s="626">
        <v>49</v>
      </c>
      <c r="B54" s="627"/>
      <c r="C54" s="628" t="s">
        <v>958</v>
      </c>
      <c r="D54" s="629"/>
      <c r="E54" s="629"/>
      <c r="F54" s="629"/>
      <c r="G54" s="629"/>
      <c r="H54" s="629"/>
      <c r="I54" s="629"/>
      <c r="J54" s="629"/>
      <c r="K54" s="629"/>
      <c r="L54" s="629"/>
      <c r="M54" s="629"/>
      <c r="N54" s="629"/>
      <c r="O54" s="629"/>
      <c r="P54" s="629"/>
      <c r="Q54" s="629"/>
      <c r="R54" s="629"/>
      <c r="S54" s="629"/>
      <c r="T54" s="629"/>
      <c r="U54" s="630"/>
      <c r="V54" s="631" t="s">
        <v>959</v>
      </c>
      <c r="W54" s="632"/>
      <c r="X54" s="633"/>
      <c r="Y54" s="634"/>
      <c r="Z54" s="634"/>
      <c r="AA54" s="634"/>
      <c r="AB54" s="634"/>
      <c r="AC54" s="634"/>
      <c r="AD54" s="634"/>
      <c r="AE54" s="634"/>
      <c r="AF54" s="634"/>
      <c r="AG54" s="634"/>
      <c r="AH54" s="634"/>
      <c r="AI54" s="634"/>
      <c r="AJ54" s="634"/>
      <c r="AK54" s="634"/>
      <c r="AL54" s="634"/>
      <c r="AM54" s="634"/>
      <c r="AN54" s="634"/>
      <c r="AO54" s="634"/>
      <c r="AP54" s="634"/>
      <c r="AQ54" s="634"/>
      <c r="AR54" s="634"/>
      <c r="AS54" s="634"/>
      <c r="AT54" s="634"/>
      <c r="AU54" s="634"/>
      <c r="AV54" s="634"/>
      <c r="AW54" s="634"/>
      <c r="AX54" s="634"/>
      <c r="AY54" s="634"/>
      <c r="AZ54" s="634"/>
      <c r="BA54" s="634"/>
      <c r="BB54" s="634"/>
    </row>
    <row r="55" spans="1:54" ht="12.75" customHeight="1">
      <c r="A55" s="626">
        <v>50</v>
      </c>
      <c r="B55" s="627"/>
      <c r="C55" s="628" t="s">
        <v>960</v>
      </c>
      <c r="D55" s="629"/>
      <c r="E55" s="629"/>
      <c r="F55" s="629"/>
      <c r="G55" s="629"/>
      <c r="H55" s="629"/>
      <c r="I55" s="629"/>
      <c r="J55" s="629"/>
      <c r="K55" s="629"/>
      <c r="L55" s="629"/>
      <c r="M55" s="629"/>
      <c r="N55" s="629"/>
      <c r="O55" s="629"/>
      <c r="P55" s="629"/>
      <c r="Q55" s="629"/>
      <c r="R55" s="629"/>
      <c r="S55" s="629"/>
      <c r="T55" s="629"/>
      <c r="U55" s="630"/>
      <c r="V55" s="631" t="s">
        <v>961</v>
      </c>
      <c r="W55" s="632"/>
      <c r="X55" s="633"/>
      <c r="Y55" s="634"/>
      <c r="Z55" s="634"/>
      <c r="AA55" s="634"/>
      <c r="AB55" s="634"/>
      <c r="AC55" s="634"/>
      <c r="AD55" s="634"/>
      <c r="AE55" s="634"/>
      <c r="AF55" s="634"/>
      <c r="AG55" s="634"/>
      <c r="AH55" s="634"/>
      <c r="AI55" s="634"/>
      <c r="AJ55" s="634"/>
      <c r="AK55" s="634"/>
      <c r="AL55" s="634"/>
      <c r="AM55" s="634"/>
      <c r="AN55" s="634"/>
      <c r="AO55" s="634"/>
      <c r="AP55" s="634"/>
      <c r="AQ55" s="634"/>
      <c r="AR55" s="634"/>
      <c r="AS55" s="634"/>
      <c r="AT55" s="634"/>
      <c r="AU55" s="634"/>
      <c r="AV55" s="634"/>
      <c r="AW55" s="634"/>
      <c r="AX55" s="634"/>
      <c r="AY55" s="634"/>
      <c r="AZ55" s="634"/>
      <c r="BA55" s="634"/>
      <c r="BB55" s="634"/>
    </row>
    <row r="56" spans="1:54" ht="12.75" customHeight="1">
      <c r="A56" s="626">
        <v>51</v>
      </c>
      <c r="B56" s="627"/>
      <c r="C56" s="628" t="s">
        <v>962</v>
      </c>
      <c r="D56" s="629"/>
      <c r="E56" s="629"/>
      <c r="F56" s="629"/>
      <c r="G56" s="629"/>
      <c r="H56" s="629"/>
      <c r="I56" s="629"/>
      <c r="J56" s="629"/>
      <c r="K56" s="629"/>
      <c r="L56" s="629"/>
      <c r="M56" s="629"/>
      <c r="N56" s="629"/>
      <c r="O56" s="629"/>
      <c r="P56" s="629"/>
      <c r="Q56" s="629"/>
      <c r="R56" s="629"/>
      <c r="S56" s="629"/>
      <c r="T56" s="629"/>
      <c r="U56" s="630"/>
      <c r="V56" s="631" t="s">
        <v>963</v>
      </c>
      <c r="W56" s="632"/>
      <c r="X56" s="633"/>
      <c r="Y56" s="634"/>
      <c r="Z56" s="634"/>
      <c r="AA56" s="634"/>
      <c r="AB56" s="634"/>
      <c r="AC56" s="634"/>
      <c r="AD56" s="634"/>
      <c r="AE56" s="634"/>
      <c r="AF56" s="634"/>
      <c r="AG56" s="634"/>
      <c r="AH56" s="634"/>
      <c r="AI56" s="634"/>
      <c r="AJ56" s="634"/>
      <c r="AK56" s="634"/>
      <c r="AL56" s="634"/>
      <c r="AM56" s="634"/>
      <c r="AN56" s="634"/>
      <c r="AO56" s="634"/>
      <c r="AP56" s="634"/>
      <c r="AQ56" s="634"/>
      <c r="AR56" s="634"/>
      <c r="AS56" s="634"/>
      <c r="AT56" s="634"/>
      <c r="AU56" s="634"/>
      <c r="AV56" s="634"/>
      <c r="AW56" s="634"/>
      <c r="AX56" s="634"/>
      <c r="AY56" s="634"/>
      <c r="AZ56" s="634"/>
      <c r="BA56" s="634"/>
      <c r="BB56" s="634"/>
    </row>
    <row r="57" spans="1:54" ht="12.75" customHeight="1">
      <c r="A57" s="626">
        <v>52</v>
      </c>
      <c r="B57" s="627"/>
      <c r="C57" s="635" t="s">
        <v>943</v>
      </c>
      <c r="D57" s="636"/>
      <c r="E57" s="636"/>
      <c r="F57" s="636"/>
      <c r="G57" s="636"/>
      <c r="H57" s="636"/>
      <c r="I57" s="636"/>
      <c r="J57" s="636"/>
      <c r="K57" s="636"/>
      <c r="L57" s="636"/>
      <c r="M57" s="636"/>
      <c r="N57" s="636"/>
      <c r="O57" s="636"/>
      <c r="P57" s="636"/>
      <c r="Q57" s="636"/>
      <c r="R57" s="636"/>
      <c r="S57" s="636"/>
      <c r="T57" s="636"/>
      <c r="U57" s="637"/>
      <c r="V57" s="631" t="s">
        <v>963</v>
      </c>
      <c r="W57" s="632"/>
      <c r="X57" s="633"/>
      <c r="Y57" s="634"/>
      <c r="Z57" s="634"/>
      <c r="AA57" s="634"/>
      <c r="AB57" s="634"/>
      <c r="AC57" s="634"/>
      <c r="AD57" s="634"/>
      <c r="AE57" s="634"/>
      <c r="AF57" s="634"/>
      <c r="AG57" s="634"/>
      <c r="AH57" s="634"/>
      <c r="AI57" s="634"/>
      <c r="AJ57" s="634"/>
      <c r="AK57" s="634"/>
      <c r="AL57" s="634"/>
      <c r="AM57" s="634"/>
      <c r="AN57" s="634"/>
      <c r="AO57" s="634"/>
      <c r="AP57" s="634"/>
      <c r="AQ57" s="634"/>
      <c r="AR57" s="634"/>
      <c r="AS57" s="634"/>
      <c r="AT57" s="634"/>
      <c r="AU57" s="634"/>
      <c r="AV57" s="634"/>
      <c r="AW57" s="634"/>
      <c r="AX57" s="634"/>
      <c r="AY57" s="634"/>
      <c r="AZ57" s="634"/>
      <c r="BA57" s="634"/>
      <c r="BB57" s="634"/>
    </row>
    <row r="58" spans="1:54" ht="12.75" customHeight="1">
      <c r="A58" s="626">
        <v>53</v>
      </c>
      <c r="B58" s="627"/>
      <c r="C58" s="635" t="s">
        <v>964</v>
      </c>
      <c r="D58" s="636"/>
      <c r="E58" s="636"/>
      <c r="F58" s="636"/>
      <c r="G58" s="636"/>
      <c r="H58" s="636"/>
      <c r="I58" s="636"/>
      <c r="J58" s="636"/>
      <c r="K58" s="636"/>
      <c r="L58" s="636"/>
      <c r="M58" s="636"/>
      <c r="N58" s="636"/>
      <c r="O58" s="636"/>
      <c r="P58" s="636"/>
      <c r="Q58" s="636"/>
      <c r="R58" s="636"/>
      <c r="S58" s="636"/>
      <c r="T58" s="636"/>
      <c r="U58" s="637"/>
      <c r="V58" s="631" t="s">
        <v>963</v>
      </c>
      <c r="W58" s="632"/>
      <c r="X58" s="633"/>
      <c r="Y58" s="634"/>
      <c r="Z58" s="634"/>
      <c r="AA58" s="634"/>
      <c r="AB58" s="634"/>
      <c r="AC58" s="634"/>
      <c r="AD58" s="634"/>
      <c r="AE58" s="634"/>
      <c r="AF58" s="634"/>
      <c r="AG58" s="634"/>
      <c r="AH58" s="634"/>
      <c r="AI58" s="634"/>
      <c r="AJ58" s="634"/>
      <c r="AK58" s="634"/>
      <c r="AL58" s="634"/>
      <c r="AM58" s="634"/>
      <c r="AN58" s="634"/>
      <c r="AO58" s="634"/>
      <c r="AP58" s="634"/>
      <c r="AQ58" s="634"/>
      <c r="AR58" s="634"/>
      <c r="AS58" s="634"/>
      <c r="AT58" s="634"/>
      <c r="AU58" s="634"/>
      <c r="AV58" s="634"/>
      <c r="AW58" s="634"/>
      <c r="AX58" s="634"/>
      <c r="AY58" s="634"/>
      <c r="AZ58" s="634"/>
      <c r="BA58" s="634"/>
      <c r="BB58" s="634"/>
    </row>
    <row r="59" spans="1:54" ht="12.75" customHeight="1">
      <c r="A59" s="626">
        <v>54</v>
      </c>
      <c r="B59" s="627"/>
      <c r="C59" s="628" t="s">
        <v>965</v>
      </c>
      <c r="D59" s="629"/>
      <c r="E59" s="629"/>
      <c r="F59" s="629"/>
      <c r="G59" s="629"/>
      <c r="H59" s="629"/>
      <c r="I59" s="629"/>
      <c r="J59" s="629"/>
      <c r="K59" s="629"/>
      <c r="L59" s="629"/>
      <c r="M59" s="629"/>
      <c r="N59" s="629"/>
      <c r="O59" s="629"/>
      <c r="P59" s="629"/>
      <c r="Q59" s="629"/>
      <c r="R59" s="629"/>
      <c r="S59" s="629"/>
      <c r="T59" s="629"/>
      <c r="U59" s="630"/>
      <c r="V59" s="631" t="s">
        <v>966</v>
      </c>
      <c r="W59" s="632"/>
      <c r="X59" s="633"/>
      <c r="Y59" s="634"/>
      <c r="Z59" s="634"/>
      <c r="AA59" s="634"/>
      <c r="AB59" s="634"/>
      <c r="AC59" s="634"/>
      <c r="AD59" s="634"/>
      <c r="AE59" s="634"/>
      <c r="AF59" s="634"/>
      <c r="AG59" s="634"/>
      <c r="AH59" s="634"/>
      <c r="AI59" s="634"/>
      <c r="AJ59" s="634"/>
      <c r="AK59" s="634"/>
      <c r="AL59" s="634"/>
      <c r="AM59" s="634"/>
      <c r="AN59" s="634"/>
      <c r="AO59" s="634"/>
      <c r="AP59" s="634"/>
      <c r="AQ59" s="634"/>
      <c r="AR59" s="634"/>
      <c r="AS59" s="634"/>
      <c r="AT59" s="634"/>
      <c r="AU59" s="634"/>
      <c r="AV59" s="634"/>
      <c r="AW59" s="634"/>
      <c r="AX59" s="634"/>
      <c r="AY59" s="634"/>
      <c r="AZ59" s="634"/>
      <c r="BA59" s="634"/>
      <c r="BB59" s="634"/>
    </row>
    <row r="60" spans="1:54" ht="25.5" customHeight="1">
      <c r="A60" s="626">
        <v>55</v>
      </c>
      <c r="B60" s="627"/>
      <c r="C60" s="635" t="s">
        <v>967</v>
      </c>
      <c r="D60" s="636"/>
      <c r="E60" s="636"/>
      <c r="F60" s="636"/>
      <c r="G60" s="636"/>
      <c r="H60" s="636"/>
      <c r="I60" s="636"/>
      <c r="J60" s="636"/>
      <c r="K60" s="636"/>
      <c r="L60" s="636"/>
      <c r="M60" s="636"/>
      <c r="N60" s="636"/>
      <c r="O60" s="636"/>
      <c r="P60" s="636"/>
      <c r="Q60" s="636"/>
      <c r="R60" s="636"/>
      <c r="S60" s="636"/>
      <c r="T60" s="636"/>
      <c r="U60" s="637"/>
      <c r="V60" s="631" t="s">
        <v>966</v>
      </c>
      <c r="W60" s="632"/>
      <c r="X60" s="633"/>
      <c r="Y60" s="634"/>
      <c r="Z60" s="634"/>
      <c r="AA60" s="634"/>
      <c r="AB60" s="634"/>
      <c r="AC60" s="634"/>
      <c r="AD60" s="634"/>
      <c r="AE60" s="634"/>
      <c r="AF60" s="634"/>
      <c r="AG60" s="634"/>
      <c r="AH60" s="634"/>
      <c r="AI60" s="634"/>
      <c r="AJ60" s="634"/>
      <c r="AK60" s="634"/>
      <c r="AL60" s="634"/>
      <c r="AM60" s="634"/>
      <c r="AN60" s="634"/>
      <c r="AO60" s="634"/>
      <c r="AP60" s="634"/>
      <c r="AQ60" s="634"/>
      <c r="AR60" s="634"/>
      <c r="AS60" s="634"/>
      <c r="AT60" s="634"/>
      <c r="AU60" s="634"/>
      <c r="AV60" s="634"/>
      <c r="AW60" s="634"/>
      <c r="AX60" s="634"/>
      <c r="AY60" s="634"/>
      <c r="AZ60" s="634"/>
      <c r="BA60" s="634"/>
      <c r="BB60" s="634"/>
    </row>
    <row r="61" spans="1:54" ht="25.5" customHeight="1">
      <c r="A61" s="626">
        <v>56</v>
      </c>
      <c r="B61" s="627"/>
      <c r="C61" s="635" t="s">
        <v>968</v>
      </c>
      <c r="D61" s="636"/>
      <c r="E61" s="636"/>
      <c r="F61" s="636"/>
      <c r="G61" s="636"/>
      <c r="H61" s="636"/>
      <c r="I61" s="636"/>
      <c r="J61" s="636"/>
      <c r="K61" s="636"/>
      <c r="L61" s="636"/>
      <c r="M61" s="636"/>
      <c r="N61" s="636"/>
      <c r="O61" s="636"/>
      <c r="P61" s="636"/>
      <c r="Q61" s="636"/>
      <c r="R61" s="636"/>
      <c r="S61" s="636"/>
      <c r="T61" s="636"/>
      <c r="U61" s="637"/>
      <c r="V61" s="631" t="s">
        <v>966</v>
      </c>
      <c r="W61" s="632"/>
      <c r="X61" s="633"/>
      <c r="Y61" s="634"/>
      <c r="Z61" s="634"/>
      <c r="AA61" s="634"/>
      <c r="AB61" s="634"/>
      <c r="AC61" s="634"/>
      <c r="AD61" s="634"/>
      <c r="AE61" s="634"/>
      <c r="AF61" s="634"/>
      <c r="AG61" s="634"/>
      <c r="AH61" s="634"/>
      <c r="AI61" s="634"/>
      <c r="AJ61" s="634"/>
      <c r="AK61" s="634"/>
      <c r="AL61" s="634"/>
      <c r="AM61" s="634"/>
      <c r="AN61" s="634"/>
      <c r="AO61" s="634"/>
      <c r="AP61" s="634"/>
      <c r="AQ61" s="634"/>
      <c r="AR61" s="634"/>
      <c r="AS61" s="634"/>
      <c r="AT61" s="634"/>
      <c r="AU61" s="634"/>
      <c r="AV61" s="634"/>
      <c r="AW61" s="634"/>
      <c r="AX61" s="634"/>
      <c r="AY61" s="634"/>
      <c r="AZ61" s="634"/>
      <c r="BA61" s="634"/>
      <c r="BB61" s="634"/>
    </row>
    <row r="62" spans="1:54" ht="25.5" customHeight="1">
      <c r="A62" s="626">
        <v>57</v>
      </c>
      <c r="B62" s="627"/>
      <c r="C62" s="635" t="s">
        <v>969</v>
      </c>
      <c r="D62" s="636"/>
      <c r="E62" s="636"/>
      <c r="F62" s="636"/>
      <c r="G62" s="636"/>
      <c r="H62" s="636"/>
      <c r="I62" s="636"/>
      <c r="J62" s="636"/>
      <c r="K62" s="636"/>
      <c r="L62" s="636"/>
      <c r="M62" s="636"/>
      <c r="N62" s="636"/>
      <c r="O62" s="636"/>
      <c r="P62" s="636"/>
      <c r="Q62" s="636"/>
      <c r="R62" s="636"/>
      <c r="S62" s="636"/>
      <c r="T62" s="636"/>
      <c r="U62" s="637"/>
      <c r="V62" s="631" t="s">
        <v>966</v>
      </c>
      <c r="W62" s="632"/>
      <c r="X62" s="633"/>
      <c r="Y62" s="634"/>
      <c r="Z62" s="634"/>
      <c r="AA62" s="634"/>
      <c r="AB62" s="634"/>
      <c r="AC62" s="634"/>
      <c r="AD62" s="634"/>
      <c r="AE62" s="634"/>
      <c r="AF62" s="634"/>
      <c r="AG62" s="634"/>
      <c r="AH62" s="634"/>
      <c r="AI62" s="634"/>
      <c r="AJ62" s="634"/>
      <c r="AK62" s="634"/>
      <c r="AL62" s="634"/>
      <c r="AM62" s="634"/>
      <c r="AN62" s="634"/>
      <c r="AO62" s="634"/>
      <c r="AP62" s="634"/>
      <c r="AQ62" s="634"/>
      <c r="AR62" s="634"/>
      <c r="AS62" s="634"/>
      <c r="AT62" s="634"/>
      <c r="AU62" s="634"/>
      <c r="AV62" s="634"/>
      <c r="AW62" s="634"/>
      <c r="AX62" s="634"/>
      <c r="AY62" s="634"/>
      <c r="AZ62" s="634"/>
      <c r="BA62" s="634"/>
      <c r="BB62" s="634"/>
    </row>
    <row r="63" spans="1:54" ht="12.75" customHeight="1">
      <c r="A63" s="626">
        <v>58</v>
      </c>
      <c r="B63" s="627"/>
      <c r="C63" s="628" t="s">
        <v>970</v>
      </c>
      <c r="D63" s="629"/>
      <c r="E63" s="629"/>
      <c r="F63" s="629"/>
      <c r="G63" s="629"/>
      <c r="H63" s="629"/>
      <c r="I63" s="629"/>
      <c r="J63" s="629"/>
      <c r="K63" s="629"/>
      <c r="L63" s="629"/>
      <c r="M63" s="629"/>
      <c r="N63" s="629"/>
      <c r="O63" s="629"/>
      <c r="P63" s="629"/>
      <c r="Q63" s="629"/>
      <c r="R63" s="629"/>
      <c r="S63" s="629"/>
      <c r="T63" s="629"/>
      <c r="U63" s="630"/>
      <c r="V63" s="631" t="s">
        <v>971</v>
      </c>
      <c r="W63" s="632"/>
      <c r="X63" s="633"/>
      <c r="Y63" s="634"/>
      <c r="Z63" s="634"/>
      <c r="AA63" s="634"/>
      <c r="AB63" s="634"/>
      <c r="AC63" s="634"/>
      <c r="AD63" s="634"/>
      <c r="AE63" s="634"/>
      <c r="AF63" s="634"/>
      <c r="AG63" s="634"/>
      <c r="AH63" s="634"/>
      <c r="AI63" s="634"/>
      <c r="AJ63" s="634"/>
      <c r="AK63" s="634"/>
      <c r="AL63" s="634"/>
      <c r="AM63" s="634"/>
      <c r="AN63" s="634"/>
      <c r="AO63" s="634"/>
      <c r="AP63" s="634"/>
      <c r="AQ63" s="634"/>
      <c r="AR63" s="634"/>
      <c r="AS63" s="634"/>
      <c r="AT63" s="634"/>
      <c r="AU63" s="634"/>
      <c r="AV63" s="634"/>
      <c r="AW63" s="634"/>
      <c r="AX63" s="634"/>
      <c r="AY63" s="634"/>
      <c r="AZ63" s="634"/>
      <c r="BA63" s="634"/>
      <c r="BB63" s="634"/>
    </row>
    <row r="64" spans="1:54" ht="25.5" customHeight="1">
      <c r="A64" s="638">
        <v>59</v>
      </c>
      <c r="B64" s="639"/>
      <c r="C64" s="640" t="s">
        <v>972</v>
      </c>
      <c r="D64" s="641"/>
      <c r="E64" s="641"/>
      <c r="F64" s="641"/>
      <c r="G64" s="641"/>
      <c r="H64" s="641"/>
      <c r="I64" s="641"/>
      <c r="J64" s="641"/>
      <c r="K64" s="641"/>
      <c r="L64" s="641"/>
      <c r="M64" s="641"/>
      <c r="N64" s="641"/>
      <c r="O64" s="641"/>
      <c r="P64" s="641"/>
      <c r="Q64" s="641"/>
      <c r="R64" s="641"/>
      <c r="S64" s="641"/>
      <c r="T64" s="641"/>
      <c r="U64" s="642"/>
      <c r="V64" s="643" t="s">
        <v>973</v>
      </c>
      <c r="W64" s="644"/>
      <c r="X64" s="645"/>
      <c r="Y64" s="646"/>
      <c r="Z64" s="646"/>
      <c r="AA64" s="646"/>
      <c r="AB64" s="647"/>
      <c r="AC64" s="647"/>
      <c r="AD64" s="647"/>
      <c r="AE64" s="646"/>
      <c r="AF64" s="646"/>
      <c r="AG64" s="646"/>
      <c r="AH64" s="647"/>
      <c r="AI64" s="647"/>
      <c r="AJ64" s="647"/>
      <c r="AK64" s="646"/>
      <c r="AL64" s="646"/>
      <c r="AM64" s="646"/>
      <c r="AN64" s="647"/>
      <c r="AO64" s="647"/>
      <c r="AP64" s="647"/>
      <c r="AQ64" s="646"/>
      <c r="AR64" s="646"/>
      <c r="AS64" s="646"/>
      <c r="AT64" s="647"/>
      <c r="AU64" s="647"/>
      <c r="AV64" s="647"/>
      <c r="AW64" s="646"/>
      <c r="AX64" s="646"/>
      <c r="AY64" s="646"/>
      <c r="AZ64" s="647"/>
      <c r="BA64" s="647"/>
      <c r="BB64" s="647"/>
    </row>
    <row r="65" spans="1:54" ht="12.75" customHeight="1">
      <c r="A65" s="638">
        <v>60</v>
      </c>
      <c r="B65" s="639"/>
      <c r="C65" s="640" t="s">
        <v>974</v>
      </c>
      <c r="D65" s="641"/>
      <c r="E65" s="641"/>
      <c r="F65" s="641"/>
      <c r="G65" s="641"/>
      <c r="H65" s="641"/>
      <c r="I65" s="641"/>
      <c r="J65" s="641"/>
      <c r="K65" s="641"/>
      <c r="L65" s="641"/>
      <c r="M65" s="641"/>
      <c r="N65" s="641"/>
      <c r="O65" s="641"/>
      <c r="P65" s="641"/>
      <c r="Q65" s="641"/>
      <c r="R65" s="641"/>
      <c r="S65" s="641"/>
      <c r="T65" s="641"/>
      <c r="U65" s="642"/>
      <c r="V65" s="643" t="s">
        <v>975</v>
      </c>
      <c r="W65" s="644"/>
      <c r="X65" s="645"/>
      <c r="Y65" s="646"/>
      <c r="Z65" s="646"/>
      <c r="AA65" s="646"/>
      <c r="AB65" s="647"/>
      <c r="AC65" s="647"/>
      <c r="AD65" s="647"/>
      <c r="AE65" s="646"/>
      <c r="AF65" s="646"/>
      <c r="AG65" s="646"/>
      <c r="AH65" s="647"/>
      <c r="AI65" s="647"/>
      <c r="AJ65" s="647"/>
      <c r="AK65" s="646"/>
      <c r="AL65" s="646"/>
      <c r="AM65" s="646"/>
      <c r="AN65" s="647"/>
      <c r="AO65" s="647"/>
      <c r="AP65" s="647"/>
      <c r="AQ65" s="646"/>
      <c r="AR65" s="646"/>
      <c r="AS65" s="646"/>
      <c r="AT65" s="647"/>
      <c r="AU65" s="647"/>
      <c r="AV65" s="647"/>
      <c r="AW65" s="646"/>
      <c r="AX65" s="646"/>
      <c r="AY65" s="646"/>
      <c r="AZ65" s="647"/>
      <c r="BA65" s="647"/>
      <c r="BB65" s="647"/>
    </row>
    <row r="66" spans="1:54" ht="12.75" customHeight="1">
      <c r="A66" s="626">
        <v>61</v>
      </c>
      <c r="B66" s="627"/>
      <c r="C66" s="651" t="s">
        <v>976</v>
      </c>
      <c r="D66" s="652"/>
      <c r="E66" s="652"/>
      <c r="F66" s="652"/>
      <c r="G66" s="652"/>
      <c r="H66" s="652"/>
      <c r="I66" s="652"/>
      <c r="J66" s="652"/>
      <c r="K66" s="652"/>
      <c r="L66" s="652"/>
      <c r="M66" s="652"/>
      <c r="N66" s="652"/>
      <c r="O66" s="652"/>
      <c r="P66" s="652"/>
      <c r="Q66" s="652"/>
      <c r="R66" s="652"/>
      <c r="S66" s="652"/>
      <c r="T66" s="652"/>
      <c r="U66" s="653"/>
      <c r="V66" s="631" t="s">
        <v>977</v>
      </c>
      <c r="W66" s="632"/>
      <c r="X66" s="633"/>
      <c r="Y66" s="634"/>
      <c r="Z66" s="634"/>
      <c r="AA66" s="634"/>
      <c r="AB66" s="634"/>
      <c r="AC66" s="634"/>
      <c r="AD66" s="634"/>
      <c r="AE66" s="634"/>
      <c r="AF66" s="634"/>
      <c r="AG66" s="634"/>
      <c r="AH66" s="634"/>
      <c r="AI66" s="634"/>
      <c r="AJ66" s="634"/>
      <c r="AK66" s="634"/>
      <c r="AL66" s="634"/>
      <c r="AM66" s="634"/>
      <c r="AN66" s="634"/>
      <c r="AO66" s="634"/>
      <c r="AP66" s="634"/>
      <c r="AQ66" s="634"/>
      <c r="AR66" s="634"/>
      <c r="AS66" s="634"/>
      <c r="AT66" s="634"/>
      <c r="AU66" s="634"/>
      <c r="AV66" s="634"/>
      <c r="AW66" s="634"/>
      <c r="AX66" s="634"/>
      <c r="AY66" s="634"/>
      <c r="AZ66" s="634"/>
      <c r="BA66" s="634"/>
      <c r="BB66" s="634"/>
    </row>
    <row r="67" spans="1:54" s="550" customFormat="1" ht="12.75" customHeight="1">
      <c r="A67" s="626">
        <v>62</v>
      </c>
      <c r="B67" s="627"/>
      <c r="C67" s="651" t="s">
        <v>978</v>
      </c>
      <c r="D67" s="652"/>
      <c r="E67" s="652"/>
      <c r="F67" s="652"/>
      <c r="G67" s="652"/>
      <c r="H67" s="652"/>
      <c r="I67" s="652"/>
      <c r="J67" s="652"/>
      <c r="K67" s="652"/>
      <c r="L67" s="652"/>
      <c r="M67" s="652"/>
      <c r="N67" s="652"/>
      <c r="O67" s="652"/>
      <c r="P67" s="652"/>
      <c r="Q67" s="652"/>
      <c r="R67" s="652"/>
      <c r="S67" s="652"/>
      <c r="T67" s="652"/>
      <c r="U67" s="653"/>
      <c r="V67" s="654" t="s">
        <v>979</v>
      </c>
      <c r="W67" s="655"/>
      <c r="X67" s="656"/>
      <c r="Y67" s="646"/>
      <c r="Z67" s="646"/>
      <c r="AA67" s="646"/>
      <c r="AB67" s="647"/>
      <c r="AC67" s="647"/>
      <c r="AD67" s="647"/>
      <c r="AE67" s="646"/>
      <c r="AF67" s="646"/>
      <c r="AG67" s="646"/>
      <c r="AH67" s="647"/>
      <c r="AI67" s="647"/>
      <c r="AJ67" s="647"/>
      <c r="AK67" s="646"/>
      <c r="AL67" s="646"/>
      <c r="AM67" s="646"/>
      <c r="AN67" s="647"/>
      <c r="AO67" s="647"/>
      <c r="AP67" s="647"/>
      <c r="AQ67" s="646"/>
      <c r="AR67" s="646"/>
      <c r="AS67" s="646"/>
      <c r="AT67" s="647"/>
      <c r="AU67" s="647"/>
      <c r="AV67" s="647"/>
      <c r="AW67" s="646"/>
      <c r="AX67" s="646"/>
      <c r="AY67" s="646"/>
      <c r="AZ67" s="647"/>
      <c r="BA67" s="647"/>
      <c r="BB67" s="647"/>
    </row>
    <row r="68" spans="1:54" ht="12.75" customHeight="1">
      <c r="A68" s="626">
        <v>63</v>
      </c>
      <c r="B68" s="627"/>
      <c r="C68" s="651" t="s">
        <v>980</v>
      </c>
      <c r="D68" s="652"/>
      <c r="E68" s="652"/>
      <c r="F68" s="652"/>
      <c r="G68" s="652"/>
      <c r="H68" s="652"/>
      <c r="I68" s="652"/>
      <c r="J68" s="652"/>
      <c r="K68" s="652"/>
      <c r="L68" s="652"/>
      <c r="M68" s="652"/>
      <c r="N68" s="652"/>
      <c r="O68" s="652"/>
      <c r="P68" s="652"/>
      <c r="Q68" s="652"/>
      <c r="R68" s="652"/>
      <c r="S68" s="652"/>
      <c r="T68" s="652"/>
      <c r="U68" s="653"/>
      <c r="V68" s="631" t="s">
        <v>979</v>
      </c>
      <c r="W68" s="632"/>
      <c r="X68" s="633"/>
      <c r="Y68" s="634"/>
      <c r="Z68" s="634"/>
      <c r="AA68" s="634"/>
      <c r="AB68" s="634"/>
      <c r="AC68" s="634"/>
      <c r="AD68" s="634"/>
      <c r="AE68" s="634"/>
      <c r="AF68" s="634"/>
      <c r="AG68" s="634"/>
      <c r="AH68" s="634"/>
      <c r="AI68" s="634"/>
      <c r="AJ68" s="634"/>
      <c r="AK68" s="634"/>
      <c r="AL68" s="634"/>
      <c r="AM68" s="634"/>
      <c r="AN68" s="634"/>
      <c r="AO68" s="634"/>
      <c r="AP68" s="634"/>
      <c r="AQ68" s="634"/>
      <c r="AR68" s="634"/>
      <c r="AS68" s="634"/>
      <c r="AT68" s="634"/>
      <c r="AU68" s="634"/>
      <c r="AV68" s="634"/>
      <c r="AW68" s="634"/>
      <c r="AX68" s="634"/>
      <c r="AY68" s="634"/>
      <c r="AZ68" s="634"/>
      <c r="BA68" s="634"/>
      <c r="BB68" s="634"/>
    </row>
    <row r="69" spans="1:54" ht="12.75" customHeight="1">
      <c r="A69" s="626">
        <v>64</v>
      </c>
      <c r="B69" s="627"/>
      <c r="C69" s="651" t="s">
        <v>981</v>
      </c>
      <c r="D69" s="652"/>
      <c r="E69" s="652"/>
      <c r="F69" s="652"/>
      <c r="G69" s="652"/>
      <c r="H69" s="652"/>
      <c r="I69" s="652"/>
      <c r="J69" s="652"/>
      <c r="K69" s="652"/>
      <c r="L69" s="652"/>
      <c r="M69" s="652"/>
      <c r="N69" s="652"/>
      <c r="O69" s="652"/>
      <c r="P69" s="652"/>
      <c r="Q69" s="652"/>
      <c r="R69" s="652"/>
      <c r="S69" s="652"/>
      <c r="T69" s="652"/>
      <c r="U69" s="653"/>
      <c r="V69" s="631" t="s">
        <v>979</v>
      </c>
      <c r="W69" s="632"/>
      <c r="X69" s="633"/>
      <c r="Y69" s="634"/>
      <c r="Z69" s="634"/>
      <c r="AA69" s="634"/>
      <c r="AB69" s="634"/>
      <c r="AC69" s="634"/>
      <c r="AD69" s="634"/>
      <c r="AE69" s="634"/>
      <c r="AF69" s="634"/>
      <c r="AG69" s="634"/>
      <c r="AH69" s="634"/>
      <c r="AI69" s="634"/>
      <c r="AJ69" s="634"/>
      <c r="AK69" s="634"/>
      <c r="AL69" s="634"/>
      <c r="AM69" s="634"/>
      <c r="AN69" s="634"/>
      <c r="AO69" s="634"/>
      <c r="AP69" s="634"/>
      <c r="AQ69" s="634"/>
      <c r="AR69" s="634"/>
      <c r="AS69" s="634"/>
      <c r="AT69" s="634"/>
      <c r="AU69" s="634"/>
      <c r="AV69" s="634"/>
      <c r="AW69" s="634"/>
      <c r="AX69" s="634"/>
      <c r="AY69" s="634"/>
      <c r="AZ69" s="634"/>
      <c r="BA69" s="634"/>
      <c r="BB69" s="634"/>
    </row>
    <row r="70" spans="1:54" ht="12.75" customHeight="1">
      <c r="A70" s="626">
        <v>65</v>
      </c>
      <c r="B70" s="627"/>
      <c r="C70" s="651" t="s">
        <v>982</v>
      </c>
      <c r="D70" s="652"/>
      <c r="E70" s="652"/>
      <c r="F70" s="652"/>
      <c r="G70" s="652"/>
      <c r="H70" s="652"/>
      <c r="I70" s="652"/>
      <c r="J70" s="652"/>
      <c r="K70" s="652"/>
      <c r="L70" s="652"/>
      <c r="M70" s="652"/>
      <c r="N70" s="652"/>
      <c r="O70" s="652"/>
      <c r="P70" s="652"/>
      <c r="Q70" s="652"/>
      <c r="R70" s="652"/>
      <c r="S70" s="652"/>
      <c r="T70" s="652"/>
      <c r="U70" s="653"/>
      <c r="V70" s="631" t="s">
        <v>979</v>
      </c>
      <c r="W70" s="632"/>
      <c r="X70" s="633"/>
      <c r="Y70" s="634"/>
      <c r="Z70" s="634"/>
      <c r="AA70" s="634"/>
      <c r="AB70" s="634"/>
      <c r="AC70" s="634"/>
      <c r="AD70" s="634"/>
      <c r="AE70" s="634"/>
      <c r="AF70" s="634"/>
      <c r="AG70" s="634"/>
      <c r="AH70" s="634"/>
      <c r="AI70" s="634"/>
      <c r="AJ70" s="634"/>
      <c r="AK70" s="634"/>
      <c r="AL70" s="634"/>
      <c r="AM70" s="634"/>
      <c r="AN70" s="634"/>
      <c r="AO70" s="634"/>
      <c r="AP70" s="634"/>
      <c r="AQ70" s="634"/>
      <c r="AR70" s="634"/>
      <c r="AS70" s="634"/>
      <c r="AT70" s="634"/>
      <c r="AU70" s="634"/>
      <c r="AV70" s="634"/>
      <c r="AW70" s="634"/>
      <c r="AX70" s="634"/>
      <c r="AY70" s="634"/>
      <c r="AZ70" s="634"/>
      <c r="BA70" s="634"/>
      <c r="BB70" s="634"/>
    </row>
    <row r="71" spans="1:54" ht="12.75" customHeight="1">
      <c r="A71" s="626">
        <v>66</v>
      </c>
      <c r="B71" s="627"/>
      <c r="C71" s="651" t="s">
        <v>983</v>
      </c>
      <c r="D71" s="652"/>
      <c r="E71" s="652"/>
      <c r="F71" s="652"/>
      <c r="G71" s="652"/>
      <c r="H71" s="652"/>
      <c r="I71" s="652"/>
      <c r="J71" s="652"/>
      <c r="K71" s="652"/>
      <c r="L71" s="652"/>
      <c r="M71" s="652"/>
      <c r="N71" s="652"/>
      <c r="O71" s="652"/>
      <c r="P71" s="652"/>
      <c r="Q71" s="652"/>
      <c r="R71" s="652"/>
      <c r="S71" s="652"/>
      <c r="T71" s="652"/>
      <c r="U71" s="653"/>
      <c r="V71" s="631" t="s">
        <v>979</v>
      </c>
      <c r="W71" s="632"/>
      <c r="X71" s="633"/>
      <c r="Y71" s="634"/>
      <c r="Z71" s="634"/>
      <c r="AA71" s="634"/>
      <c r="AB71" s="634"/>
      <c r="AC71" s="634"/>
      <c r="AD71" s="634"/>
      <c r="AE71" s="634"/>
      <c r="AF71" s="634"/>
      <c r="AG71" s="634"/>
      <c r="AH71" s="634"/>
      <c r="AI71" s="634"/>
      <c r="AJ71" s="634"/>
      <c r="AK71" s="634"/>
      <c r="AL71" s="634"/>
      <c r="AM71" s="634"/>
      <c r="AN71" s="634"/>
      <c r="AO71" s="634"/>
      <c r="AP71" s="634"/>
      <c r="AQ71" s="634"/>
      <c r="AR71" s="634"/>
      <c r="AS71" s="634"/>
      <c r="AT71" s="634"/>
      <c r="AU71" s="634"/>
      <c r="AV71" s="634"/>
      <c r="AW71" s="634"/>
      <c r="AX71" s="634"/>
      <c r="AY71" s="634"/>
      <c r="AZ71" s="634"/>
      <c r="BA71" s="634"/>
      <c r="BB71" s="634"/>
    </row>
    <row r="72" spans="1:54" ht="25.5" customHeight="1">
      <c r="A72" s="626">
        <v>67</v>
      </c>
      <c r="B72" s="627"/>
      <c r="C72" s="651" t="s">
        <v>984</v>
      </c>
      <c r="D72" s="652"/>
      <c r="E72" s="652"/>
      <c r="F72" s="652"/>
      <c r="G72" s="652"/>
      <c r="H72" s="652"/>
      <c r="I72" s="652"/>
      <c r="J72" s="652"/>
      <c r="K72" s="652"/>
      <c r="L72" s="652"/>
      <c r="M72" s="652"/>
      <c r="N72" s="652"/>
      <c r="O72" s="652"/>
      <c r="P72" s="652"/>
      <c r="Q72" s="652"/>
      <c r="R72" s="652"/>
      <c r="S72" s="652"/>
      <c r="T72" s="652"/>
      <c r="U72" s="653"/>
      <c r="V72" s="631" t="s">
        <v>979</v>
      </c>
      <c r="W72" s="632"/>
      <c r="X72" s="633"/>
      <c r="Y72" s="634"/>
      <c r="Z72" s="634"/>
      <c r="AA72" s="634"/>
      <c r="AB72" s="634"/>
      <c r="AC72" s="634"/>
      <c r="AD72" s="634"/>
      <c r="AE72" s="634"/>
      <c r="AF72" s="634"/>
      <c r="AG72" s="634"/>
      <c r="AH72" s="634"/>
      <c r="AI72" s="634"/>
      <c r="AJ72" s="634"/>
      <c r="AK72" s="634"/>
      <c r="AL72" s="634"/>
      <c r="AM72" s="634"/>
      <c r="AN72" s="634"/>
      <c r="AO72" s="634"/>
      <c r="AP72" s="634"/>
      <c r="AQ72" s="634"/>
      <c r="AR72" s="634"/>
      <c r="AS72" s="634"/>
      <c r="AT72" s="634"/>
      <c r="AU72" s="634"/>
      <c r="AV72" s="634"/>
      <c r="AW72" s="634"/>
      <c r="AX72" s="634"/>
      <c r="AY72" s="634"/>
      <c r="AZ72" s="634"/>
      <c r="BA72" s="634"/>
      <c r="BB72" s="634"/>
    </row>
    <row r="73" spans="1:54" ht="12.75" customHeight="1">
      <c r="A73" s="626">
        <v>68</v>
      </c>
      <c r="B73" s="627"/>
      <c r="C73" s="651" t="s">
        <v>985</v>
      </c>
      <c r="D73" s="652"/>
      <c r="E73" s="652"/>
      <c r="F73" s="652"/>
      <c r="G73" s="652"/>
      <c r="H73" s="652"/>
      <c r="I73" s="652"/>
      <c r="J73" s="652"/>
      <c r="K73" s="652"/>
      <c r="L73" s="652"/>
      <c r="M73" s="652"/>
      <c r="N73" s="652"/>
      <c r="O73" s="652"/>
      <c r="P73" s="652"/>
      <c r="Q73" s="652"/>
      <c r="R73" s="652"/>
      <c r="S73" s="652"/>
      <c r="T73" s="652"/>
      <c r="U73" s="653"/>
      <c r="V73" s="631" t="s">
        <v>979</v>
      </c>
      <c r="W73" s="632"/>
      <c r="X73" s="633"/>
      <c r="Y73" s="634"/>
      <c r="Z73" s="634"/>
      <c r="AA73" s="634"/>
      <c r="AB73" s="634"/>
      <c r="AC73" s="634"/>
      <c r="AD73" s="634"/>
      <c r="AE73" s="634"/>
      <c r="AF73" s="634"/>
      <c r="AG73" s="634"/>
      <c r="AH73" s="634"/>
      <c r="AI73" s="634"/>
      <c r="AJ73" s="634"/>
      <c r="AK73" s="634"/>
      <c r="AL73" s="634"/>
      <c r="AM73" s="634"/>
      <c r="AN73" s="634"/>
      <c r="AO73" s="634"/>
      <c r="AP73" s="634"/>
      <c r="AQ73" s="634"/>
      <c r="AR73" s="634"/>
      <c r="AS73" s="634"/>
      <c r="AT73" s="634"/>
      <c r="AU73" s="634"/>
      <c r="AV73" s="634"/>
      <c r="AW73" s="634"/>
      <c r="AX73" s="634"/>
      <c r="AY73" s="634"/>
      <c r="AZ73" s="634"/>
      <c r="BA73" s="634"/>
      <c r="BB73" s="634"/>
    </row>
    <row r="74" spans="1:54" ht="12.75" customHeight="1">
      <c r="A74" s="626">
        <v>69</v>
      </c>
      <c r="B74" s="627"/>
      <c r="C74" s="651" t="s">
        <v>986</v>
      </c>
      <c r="D74" s="652"/>
      <c r="E74" s="652"/>
      <c r="F74" s="652"/>
      <c r="G74" s="652"/>
      <c r="H74" s="652"/>
      <c r="I74" s="652"/>
      <c r="J74" s="652"/>
      <c r="K74" s="652"/>
      <c r="L74" s="652"/>
      <c r="M74" s="652"/>
      <c r="N74" s="652"/>
      <c r="O74" s="652"/>
      <c r="P74" s="652"/>
      <c r="Q74" s="652"/>
      <c r="R74" s="652"/>
      <c r="S74" s="652"/>
      <c r="T74" s="652"/>
      <c r="U74" s="653"/>
      <c r="V74" s="631" t="s">
        <v>979</v>
      </c>
      <c r="W74" s="632"/>
      <c r="X74" s="633"/>
      <c r="Y74" s="634"/>
      <c r="Z74" s="634"/>
      <c r="AA74" s="634"/>
      <c r="AB74" s="634"/>
      <c r="AC74" s="634"/>
      <c r="AD74" s="634"/>
      <c r="AE74" s="634"/>
      <c r="AF74" s="634"/>
      <c r="AG74" s="634"/>
      <c r="AH74" s="634"/>
      <c r="AI74" s="634"/>
      <c r="AJ74" s="634"/>
      <c r="AK74" s="634"/>
      <c r="AL74" s="634"/>
      <c r="AM74" s="634"/>
      <c r="AN74" s="634"/>
      <c r="AO74" s="634"/>
      <c r="AP74" s="634"/>
      <c r="AQ74" s="634"/>
      <c r="AR74" s="634"/>
      <c r="AS74" s="634"/>
      <c r="AT74" s="634"/>
      <c r="AU74" s="634"/>
      <c r="AV74" s="634"/>
      <c r="AW74" s="634"/>
      <c r="AX74" s="634"/>
      <c r="AY74" s="634"/>
      <c r="AZ74" s="634"/>
      <c r="BA74" s="634"/>
      <c r="BB74" s="634"/>
    </row>
    <row r="75" spans="1:54" ht="12.75" customHeight="1">
      <c r="A75" s="626">
        <v>70</v>
      </c>
      <c r="B75" s="627"/>
      <c r="C75" s="651" t="s">
        <v>987</v>
      </c>
      <c r="D75" s="652"/>
      <c r="E75" s="652"/>
      <c r="F75" s="652"/>
      <c r="G75" s="652"/>
      <c r="H75" s="652"/>
      <c r="I75" s="652"/>
      <c r="J75" s="652"/>
      <c r="K75" s="652"/>
      <c r="L75" s="652"/>
      <c r="M75" s="652"/>
      <c r="N75" s="652"/>
      <c r="O75" s="652"/>
      <c r="P75" s="652"/>
      <c r="Q75" s="652"/>
      <c r="R75" s="652"/>
      <c r="S75" s="652"/>
      <c r="T75" s="652"/>
      <c r="U75" s="653"/>
      <c r="V75" s="631" t="s">
        <v>979</v>
      </c>
      <c r="W75" s="632"/>
      <c r="X75" s="633"/>
      <c r="Y75" s="634"/>
      <c r="Z75" s="634"/>
      <c r="AA75" s="634"/>
      <c r="AB75" s="634"/>
      <c r="AC75" s="634"/>
      <c r="AD75" s="634"/>
      <c r="AE75" s="634"/>
      <c r="AF75" s="634"/>
      <c r="AG75" s="634"/>
      <c r="AH75" s="634"/>
      <c r="AI75" s="634"/>
      <c r="AJ75" s="634"/>
      <c r="AK75" s="634"/>
      <c r="AL75" s="634"/>
      <c r="AM75" s="634"/>
      <c r="AN75" s="634"/>
      <c r="AO75" s="634"/>
      <c r="AP75" s="634"/>
      <c r="AQ75" s="634"/>
      <c r="AR75" s="634"/>
      <c r="AS75" s="634"/>
      <c r="AT75" s="634"/>
      <c r="AU75" s="634"/>
      <c r="AV75" s="634"/>
      <c r="AW75" s="634"/>
      <c r="AX75" s="634"/>
      <c r="AY75" s="634"/>
      <c r="AZ75" s="634"/>
      <c r="BA75" s="634"/>
      <c r="BB75" s="634"/>
    </row>
    <row r="76" spans="1:54" ht="25.5" customHeight="1">
      <c r="A76" s="626">
        <v>71</v>
      </c>
      <c r="B76" s="627"/>
      <c r="C76" s="651" t="s">
        <v>988</v>
      </c>
      <c r="D76" s="652"/>
      <c r="E76" s="652"/>
      <c r="F76" s="652"/>
      <c r="G76" s="652"/>
      <c r="H76" s="652"/>
      <c r="I76" s="652"/>
      <c r="J76" s="652"/>
      <c r="K76" s="652"/>
      <c r="L76" s="652"/>
      <c r="M76" s="652"/>
      <c r="N76" s="652"/>
      <c r="O76" s="652"/>
      <c r="P76" s="652"/>
      <c r="Q76" s="652"/>
      <c r="R76" s="652"/>
      <c r="S76" s="652"/>
      <c r="T76" s="652"/>
      <c r="U76" s="653"/>
      <c r="V76" s="631" t="s">
        <v>979</v>
      </c>
      <c r="W76" s="632"/>
      <c r="X76" s="633"/>
      <c r="Y76" s="634"/>
      <c r="Z76" s="634"/>
      <c r="AA76" s="634"/>
      <c r="AB76" s="634"/>
      <c r="AC76" s="634"/>
      <c r="AD76" s="634"/>
      <c r="AE76" s="634"/>
      <c r="AF76" s="634"/>
      <c r="AG76" s="634"/>
      <c r="AH76" s="634"/>
      <c r="AI76" s="634"/>
      <c r="AJ76" s="634"/>
      <c r="AK76" s="634"/>
      <c r="AL76" s="634"/>
      <c r="AM76" s="634"/>
      <c r="AN76" s="634"/>
      <c r="AO76" s="634"/>
      <c r="AP76" s="634"/>
      <c r="AQ76" s="634"/>
      <c r="AR76" s="634"/>
      <c r="AS76" s="634"/>
      <c r="AT76" s="634"/>
      <c r="AU76" s="634"/>
      <c r="AV76" s="634"/>
      <c r="AW76" s="634"/>
      <c r="AX76" s="634"/>
      <c r="AY76" s="634"/>
      <c r="AZ76" s="634"/>
      <c r="BA76" s="634"/>
      <c r="BB76" s="634"/>
    </row>
    <row r="77" spans="1:54" ht="12.75" customHeight="1">
      <c r="A77" s="626">
        <v>72</v>
      </c>
      <c r="B77" s="627"/>
      <c r="C77" s="657" t="s">
        <v>989</v>
      </c>
      <c r="D77" s="658"/>
      <c r="E77" s="658"/>
      <c r="F77" s="658"/>
      <c r="G77" s="658"/>
      <c r="H77" s="658"/>
      <c r="I77" s="658"/>
      <c r="J77" s="658"/>
      <c r="K77" s="658"/>
      <c r="L77" s="658"/>
      <c r="M77" s="658"/>
      <c r="N77" s="658"/>
      <c r="O77" s="658"/>
      <c r="P77" s="658"/>
      <c r="Q77" s="658"/>
      <c r="R77" s="658"/>
      <c r="S77" s="658"/>
      <c r="T77" s="658"/>
      <c r="U77" s="659"/>
      <c r="V77" s="631" t="s">
        <v>979</v>
      </c>
      <c r="W77" s="632"/>
      <c r="X77" s="633"/>
      <c r="Y77" s="634"/>
      <c r="Z77" s="634"/>
      <c r="AA77" s="634"/>
      <c r="AB77" s="634"/>
      <c r="AC77" s="634"/>
      <c r="AD77" s="634"/>
      <c r="AE77" s="634"/>
      <c r="AF77" s="634"/>
      <c r="AG77" s="634"/>
      <c r="AH77" s="634"/>
      <c r="AI77" s="634"/>
      <c r="AJ77" s="634"/>
      <c r="AK77" s="634"/>
      <c r="AL77" s="634"/>
      <c r="AM77" s="634"/>
      <c r="AN77" s="634"/>
      <c r="AO77" s="634"/>
      <c r="AP77" s="634"/>
      <c r="AQ77" s="634"/>
      <c r="AR77" s="634"/>
      <c r="AS77" s="634"/>
      <c r="AT77" s="634"/>
      <c r="AU77" s="634"/>
      <c r="AV77" s="634"/>
      <c r="AW77" s="634"/>
      <c r="AX77" s="634"/>
      <c r="AY77" s="634"/>
      <c r="AZ77" s="634"/>
      <c r="BA77" s="634"/>
      <c r="BB77" s="634"/>
    </row>
    <row r="78" spans="1:54" ht="25.5" customHeight="1">
      <c r="A78" s="626">
        <v>73</v>
      </c>
      <c r="B78" s="627"/>
      <c r="C78" s="657" t="s">
        <v>990</v>
      </c>
      <c r="D78" s="658"/>
      <c r="E78" s="658"/>
      <c r="F78" s="658"/>
      <c r="G78" s="658"/>
      <c r="H78" s="658"/>
      <c r="I78" s="658"/>
      <c r="J78" s="658"/>
      <c r="K78" s="658"/>
      <c r="L78" s="658"/>
      <c r="M78" s="658"/>
      <c r="N78" s="658"/>
      <c r="O78" s="658"/>
      <c r="P78" s="658"/>
      <c r="Q78" s="658"/>
      <c r="R78" s="658"/>
      <c r="S78" s="658"/>
      <c r="T78" s="658"/>
      <c r="U78" s="659"/>
      <c r="V78" s="631" t="s">
        <v>979</v>
      </c>
      <c r="W78" s="632"/>
      <c r="X78" s="633"/>
      <c r="Y78" s="634"/>
      <c r="Z78" s="634"/>
      <c r="AA78" s="634"/>
      <c r="AB78" s="634"/>
      <c r="AC78" s="634"/>
      <c r="AD78" s="634"/>
      <c r="AE78" s="634"/>
      <c r="AF78" s="634"/>
      <c r="AG78" s="634"/>
      <c r="AH78" s="634"/>
      <c r="AI78" s="634"/>
      <c r="AJ78" s="634"/>
      <c r="AK78" s="634"/>
      <c r="AL78" s="634"/>
      <c r="AM78" s="634"/>
      <c r="AN78" s="634"/>
      <c r="AO78" s="634"/>
      <c r="AP78" s="634"/>
      <c r="AQ78" s="634"/>
      <c r="AR78" s="634"/>
      <c r="AS78" s="634"/>
      <c r="AT78" s="634"/>
      <c r="AU78" s="634"/>
      <c r="AV78" s="634"/>
      <c r="AW78" s="634"/>
      <c r="AX78" s="634"/>
      <c r="AY78" s="634"/>
      <c r="AZ78" s="634"/>
      <c r="BA78" s="634"/>
      <c r="BB78" s="634"/>
    </row>
    <row r="79" spans="1:54" ht="12.75" customHeight="1">
      <c r="A79" s="626">
        <v>74</v>
      </c>
      <c r="B79" s="627"/>
      <c r="C79" s="651" t="s">
        <v>991</v>
      </c>
      <c r="D79" s="652"/>
      <c r="E79" s="652"/>
      <c r="F79" s="652"/>
      <c r="G79" s="652"/>
      <c r="H79" s="652"/>
      <c r="I79" s="652"/>
      <c r="J79" s="652"/>
      <c r="K79" s="652"/>
      <c r="L79" s="652"/>
      <c r="M79" s="652"/>
      <c r="N79" s="652"/>
      <c r="O79" s="652"/>
      <c r="P79" s="652"/>
      <c r="Q79" s="652"/>
      <c r="R79" s="652"/>
      <c r="S79" s="652"/>
      <c r="T79" s="652"/>
      <c r="U79" s="653"/>
      <c r="V79" s="631" t="s">
        <v>992</v>
      </c>
      <c r="W79" s="632"/>
      <c r="X79" s="633"/>
      <c r="Y79" s="634"/>
      <c r="Z79" s="634"/>
      <c r="AA79" s="634"/>
      <c r="AB79" s="634"/>
      <c r="AC79" s="634"/>
      <c r="AD79" s="634"/>
      <c r="AE79" s="634"/>
      <c r="AF79" s="634"/>
      <c r="AG79" s="634"/>
      <c r="AH79" s="634"/>
      <c r="AI79" s="634"/>
      <c r="AJ79" s="634"/>
      <c r="AK79" s="634"/>
      <c r="AL79" s="634"/>
      <c r="AM79" s="634"/>
      <c r="AN79" s="634"/>
      <c r="AO79" s="634"/>
      <c r="AP79" s="634"/>
      <c r="AQ79" s="634"/>
      <c r="AR79" s="634"/>
      <c r="AS79" s="634"/>
      <c r="AT79" s="634"/>
      <c r="AU79" s="634"/>
      <c r="AV79" s="634"/>
      <c r="AW79" s="634"/>
      <c r="AX79" s="634"/>
      <c r="AY79" s="634"/>
      <c r="AZ79" s="634"/>
      <c r="BA79" s="634"/>
      <c r="BB79" s="634"/>
    </row>
    <row r="80" spans="1:54" s="550" customFormat="1" ht="25.5" customHeight="1">
      <c r="A80" s="626">
        <v>75</v>
      </c>
      <c r="B80" s="627"/>
      <c r="C80" s="657" t="s">
        <v>993</v>
      </c>
      <c r="D80" s="658"/>
      <c r="E80" s="658"/>
      <c r="F80" s="658"/>
      <c r="G80" s="658"/>
      <c r="H80" s="658"/>
      <c r="I80" s="658"/>
      <c r="J80" s="658"/>
      <c r="K80" s="658"/>
      <c r="L80" s="658"/>
      <c r="M80" s="658"/>
      <c r="N80" s="658"/>
      <c r="O80" s="658"/>
      <c r="P80" s="658"/>
      <c r="Q80" s="658"/>
      <c r="R80" s="658"/>
      <c r="S80" s="658"/>
      <c r="T80" s="658"/>
      <c r="U80" s="659"/>
      <c r="V80" s="654" t="s">
        <v>994</v>
      </c>
      <c r="W80" s="655"/>
      <c r="X80" s="656"/>
      <c r="Y80" s="646"/>
      <c r="Z80" s="646"/>
      <c r="AA80" s="646"/>
      <c r="AB80" s="647"/>
      <c r="AC80" s="647"/>
      <c r="AD80" s="647"/>
      <c r="AE80" s="646"/>
      <c r="AF80" s="646"/>
      <c r="AG80" s="646"/>
      <c r="AH80" s="647"/>
      <c r="AI80" s="647"/>
      <c r="AJ80" s="647"/>
      <c r="AK80" s="646"/>
      <c r="AL80" s="646"/>
      <c r="AM80" s="646"/>
      <c r="AN80" s="647"/>
      <c r="AO80" s="647"/>
      <c r="AP80" s="647"/>
      <c r="AQ80" s="646"/>
      <c r="AR80" s="646"/>
      <c r="AS80" s="646"/>
      <c r="AT80" s="647"/>
      <c r="AU80" s="647"/>
      <c r="AV80" s="647"/>
      <c r="AW80" s="646"/>
      <c r="AX80" s="646"/>
      <c r="AY80" s="646"/>
      <c r="AZ80" s="647"/>
      <c r="BA80" s="647"/>
      <c r="BB80" s="647"/>
    </row>
    <row r="81" spans="1:54" ht="12.75" customHeight="1">
      <c r="A81" s="626">
        <v>76</v>
      </c>
      <c r="B81" s="627"/>
      <c r="C81" s="635" t="s">
        <v>995</v>
      </c>
      <c r="D81" s="636"/>
      <c r="E81" s="636"/>
      <c r="F81" s="636"/>
      <c r="G81" s="636"/>
      <c r="H81" s="636"/>
      <c r="I81" s="636"/>
      <c r="J81" s="636"/>
      <c r="K81" s="636"/>
      <c r="L81" s="636"/>
      <c r="M81" s="636"/>
      <c r="N81" s="636"/>
      <c r="O81" s="636"/>
      <c r="P81" s="636"/>
      <c r="Q81" s="636"/>
      <c r="R81" s="636"/>
      <c r="S81" s="636"/>
      <c r="T81" s="636"/>
      <c r="U81" s="637"/>
      <c r="V81" s="631" t="s">
        <v>994</v>
      </c>
      <c r="W81" s="632"/>
      <c r="X81" s="633"/>
      <c r="Y81" s="634"/>
      <c r="Z81" s="634"/>
      <c r="AA81" s="634"/>
      <c r="AB81" s="634"/>
      <c r="AC81" s="634"/>
      <c r="AD81" s="634"/>
      <c r="AE81" s="634"/>
      <c r="AF81" s="634"/>
      <c r="AG81" s="634"/>
      <c r="AH81" s="634"/>
      <c r="AI81" s="634"/>
      <c r="AJ81" s="634"/>
      <c r="AK81" s="634"/>
      <c r="AL81" s="634"/>
      <c r="AM81" s="634"/>
      <c r="AN81" s="634"/>
      <c r="AO81" s="634"/>
      <c r="AP81" s="634"/>
      <c r="AQ81" s="634"/>
      <c r="AR81" s="634"/>
      <c r="AS81" s="634"/>
      <c r="AT81" s="634"/>
      <c r="AU81" s="634"/>
      <c r="AV81" s="634"/>
      <c r="AW81" s="634"/>
      <c r="AX81" s="634"/>
      <c r="AY81" s="634"/>
      <c r="AZ81" s="634"/>
      <c r="BA81" s="634"/>
      <c r="BB81" s="634"/>
    </row>
    <row r="82" spans="1:54" ht="25.5" customHeight="1">
      <c r="A82" s="626">
        <v>77</v>
      </c>
      <c r="B82" s="627"/>
      <c r="C82" s="651" t="s">
        <v>996</v>
      </c>
      <c r="D82" s="652"/>
      <c r="E82" s="652"/>
      <c r="F82" s="652"/>
      <c r="G82" s="652"/>
      <c r="H82" s="652"/>
      <c r="I82" s="652"/>
      <c r="J82" s="652"/>
      <c r="K82" s="652"/>
      <c r="L82" s="652"/>
      <c r="M82" s="652"/>
      <c r="N82" s="652"/>
      <c r="O82" s="652"/>
      <c r="P82" s="652"/>
      <c r="Q82" s="652"/>
      <c r="R82" s="652"/>
      <c r="S82" s="652"/>
      <c r="T82" s="652"/>
      <c r="U82" s="653"/>
      <c r="V82" s="631" t="s">
        <v>994</v>
      </c>
      <c r="W82" s="632"/>
      <c r="X82" s="633"/>
      <c r="Y82" s="634"/>
      <c r="Z82" s="634"/>
      <c r="AA82" s="634"/>
      <c r="AB82" s="634"/>
      <c r="AC82" s="634"/>
      <c r="AD82" s="634"/>
      <c r="AE82" s="634"/>
      <c r="AF82" s="634"/>
      <c r="AG82" s="634"/>
      <c r="AH82" s="634"/>
      <c r="AI82" s="634"/>
      <c r="AJ82" s="634"/>
      <c r="AK82" s="634"/>
      <c r="AL82" s="634"/>
      <c r="AM82" s="634"/>
      <c r="AN82" s="634"/>
      <c r="AO82" s="634"/>
      <c r="AP82" s="634"/>
      <c r="AQ82" s="634"/>
      <c r="AR82" s="634"/>
      <c r="AS82" s="634"/>
      <c r="AT82" s="634"/>
      <c r="AU82" s="634"/>
      <c r="AV82" s="634"/>
      <c r="AW82" s="634"/>
      <c r="AX82" s="634"/>
      <c r="AY82" s="634"/>
      <c r="AZ82" s="634"/>
      <c r="BA82" s="634"/>
      <c r="BB82" s="634"/>
    </row>
    <row r="83" spans="1:54" ht="12.75" customHeight="1">
      <c r="A83" s="626">
        <v>78</v>
      </c>
      <c r="B83" s="627"/>
      <c r="C83" s="651" t="s">
        <v>997</v>
      </c>
      <c r="D83" s="652"/>
      <c r="E83" s="652"/>
      <c r="F83" s="652"/>
      <c r="G83" s="652"/>
      <c r="H83" s="652"/>
      <c r="I83" s="652"/>
      <c r="J83" s="652"/>
      <c r="K83" s="652"/>
      <c r="L83" s="652"/>
      <c r="M83" s="652"/>
      <c r="N83" s="652"/>
      <c r="O83" s="652"/>
      <c r="P83" s="652"/>
      <c r="Q83" s="652"/>
      <c r="R83" s="652"/>
      <c r="S83" s="652"/>
      <c r="T83" s="652"/>
      <c r="U83" s="653"/>
      <c r="V83" s="631" t="s">
        <v>994</v>
      </c>
      <c r="W83" s="632"/>
      <c r="X83" s="633"/>
      <c r="Y83" s="634"/>
      <c r="Z83" s="634"/>
      <c r="AA83" s="634"/>
      <c r="AB83" s="634"/>
      <c r="AC83" s="634"/>
      <c r="AD83" s="634"/>
      <c r="AE83" s="634"/>
      <c r="AF83" s="634"/>
      <c r="AG83" s="634"/>
      <c r="AH83" s="634"/>
      <c r="AI83" s="634"/>
      <c r="AJ83" s="634"/>
      <c r="AK83" s="634"/>
      <c r="AL83" s="634"/>
      <c r="AM83" s="634"/>
      <c r="AN83" s="634"/>
      <c r="AO83" s="634"/>
      <c r="AP83" s="634"/>
      <c r="AQ83" s="634"/>
      <c r="AR83" s="634"/>
      <c r="AS83" s="634"/>
      <c r="AT83" s="634"/>
      <c r="AU83" s="634"/>
      <c r="AV83" s="634"/>
      <c r="AW83" s="634"/>
      <c r="AX83" s="634"/>
      <c r="AY83" s="634"/>
      <c r="AZ83" s="634"/>
      <c r="BA83" s="634"/>
      <c r="BB83" s="634"/>
    </row>
    <row r="84" spans="1:54" ht="25.5" customHeight="1">
      <c r="A84" s="626">
        <v>79</v>
      </c>
      <c r="B84" s="627"/>
      <c r="C84" s="651" t="s">
        <v>998</v>
      </c>
      <c r="D84" s="652"/>
      <c r="E84" s="652"/>
      <c r="F84" s="652"/>
      <c r="G84" s="652"/>
      <c r="H84" s="652"/>
      <c r="I84" s="652"/>
      <c r="J84" s="652"/>
      <c r="K84" s="652"/>
      <c r="L84" s="652"/>
      <c r="M84" s="652"/>
      <c r="N84" s="652"/>
      <c r="O84" s="652"/>
      <c r="P84" s="652"/>
      <c r="Q84" s="652"/>
      <c r="R84" s="652"/>
      <c r="S84" s="652"/>
      <c r="T84" s="652"/>
      <c r="U84" s="653"/>
      <c r="V84" s="631" t="s">
        <v>994</v>
      </c>
      <c r="W84" s="632"/>
      <c r="X84" s="633"/>
      <c r="Y84" s="634"/>
      <c r="Z84" s="634"/>
      <c r="AA84" s="634"/>
      <c r="AB84" s="634"/>
      <c r="AC84" s="634"/>
      <c r="AD84" s="634"/>
      <c r="AE84" s="634"/>
      <c r="AF84" s="634"/>
      <c r="AG84" s="634"/>
      <c r="AH84" s="634"/>
      <c r="AI84" s="634"/>
      <c r="AJ84" s="634"/>
      <c r="AK84" s="634"/>
      <c r="AL84" s="634"/>
      <c r="AM84" s="634"/>
      <c r="AN84" s="634"/>
      <c r="AO84" s="634"/>
      <c r="AP84" s="634"/>
      <c r="AQ84" s="634"/>
      <c r="AR84" s="634"/>
      <c r="AS84" s="634"/>
      <c r="AT84" s="634"/>
      <c r="AU84" s="634"/>
      <c r="AV84" s="634"/>
      <c r="AW84" s="634"/>
      <c r="AX84" s="634"/>
      <c r="AY84" s="634"/>
      <c r="AZ84" s="634"/>
      <c r="BA84" s="634"/>
      <c r="BB84" s="634"/>
    </row>
    <row r="85" spans="1:54" ht="25.5" customHeight="1">
      <c r="A85" s="626">
        <v>80</v>
      </c>
      <c r="B85" s="627"/>
      <c r="C85" s="651" t="s">
        <v>999</v>
      </c>
      <c r="D85" s="652"/>
      <c r="E85" s="652"/>
      <c r="F85" s="652"/>
      <c r="G85" s="652"/>
      <c r="H85" s="652"/>
      <c r="I85" s="652"/>
      <c r="J85" s="652"/>
      <c r="K85" s="652"/>
      <c r="L85" s="652"/>
      <c r="M85" s="652"/>
      <c r="N85" s="652"/>
      <c r="O85" s="652"/>
      <c r="P85" s="652"/>
      <c r="Q85" s="652"/>
      <c r="R85" s="652"/>
      <c r="S85" s="652"/>
      <c r="T85" s="652"/>
      <c r="U85" s="653"/>
      <c r="V85" s="631" t="s">
        <v>994</v>
      </c>
      <c r="W85" s="632"/>
      <c r="X85" s="633"/>
      <c r="Y85" s="634"/>
      <c r="Z85" s="634"/>
      <c r="AA85" s="634"/>
      <c r="AB85" s="634"/>
      <c r="AC85" s="634"/>
      <c r="AD85" s="634"/>
      <c r="AE85" s="634"/>
      <c r="AF85" s="634"/>
      <c r="AG85" s="634"/>
      <c r="AH85" s="634"/>
      <c r="AI85" s="634"/>
      <c r="AJ85" s="634"/>
      <c r="AK85" s="634"/>
      <c r="AL85" s="634"/>
      <c r="AM85" s="634"/>
      <c r="AN85" s="634"/>
      <c r="AO85" s="634"/>
      <c r="AP85" s="634"/>
      <c r="AQ85" s="634"/>
      <c r="AR85" s="634"/>
      <c r="AS85" s="634"/>
      <c r="AT85" s="634"/>
      <c r="AU85" s="634"/>
      <c r="AV85" s="634"/>
      <c r="AW85" s="634"/>
      <c r="AX85" s="634"/>
      <c r="AY85" s="634"/>
      <c r="AZ85" s="634"/>
      <c r="BA85" s="634"/>
      <c r="BB85" s="634"/>
    </row>
    <row r="86" spans="1:54" ht="25.5" customHeight="1">
      <c r="A86" s="626">
        <v>81</v>
      </c>
      <c r="B86" s="627"/>
      <c r="C86" s="651" t="s">
        <v>1000</v>
      </c>
      <c r="D86" s="652"/>
      <c r="E86" s="652"/>
      <c r="F86" s="652"/>
      <c r="G86" s="652"/>
      <c r="H86" s="652"/>
      <c r="I86" s="652"/>
      <c r="J86" s="652"/>
      <c r="K86" s="652"/>
      <c r="L86" s="652"/>
      <c r="M86" s="652"/>
      <c r="N86" s="652"/>
      <c r="O86" s="652"/>
      <c r="P86" s="652"/>
      <c r="Q86" s="652"/>
      <c r="R86" s="652"/>
      <c r="S86" s="652"/>
      <c r="T86" s="652"/>
      <c r="U86" s="653"/>
      <c r="V86" s="631" t="s">
        <v>994</v>
      </c>
      <c r="W86" s="632"/>
      <c r="X86" s="633"/>
      <c r="Y86" s="634"/>
      <c r="Z86" s="634"/>
      <c r="AA86" s="634"/>
      <c r="AB86" s="634"/>
      <c r="AC86" s="634"/>
      <c r="AD86" s="634"/>
      <c r="AE86" s="634"/>
      <c r="AF86" s="634"/>
      <c r="AG86" s="634"/>
      <c r="AH86" s="634"/>
      <c r="AI86" s="634"/>
      <c r="AJ86" s="634"/>
      <c r="AK86" s="634"/>
      <c r="AL86" s="634"/>
      <c r="AM86" s="634"/>
      <c r="AN86" s="634"/>
      <c r="AO86" s="634"/>
      <c r="AP86" s="634"/>
      <c r="AQ86" s="634"/>
      <c r="AR86" s="634"/>
      <c r="AS86" s="634"/>
      <c r="AT86" s="634"/>
      <c r="AU86" s="634"/>
      <c r="AV86" s="634"/>
      <c r="AW86" s="634"/>
      <c r="AX86" s="634"/>
      <c r="AY86" s="634"/>
      <c r="AZ86" s="634"/>
      <c r="BA86" s="634"/>
      <c r="BB86" s="634"/>
    </row>
    <row r="87" spans="1:54" ht="12.75" customHeight="1">
      <c r="A87" s="626">
        <v>82</v>
      </c>
      <c r="B87" s="627"/>
      <c r="C87" s="651" t="s">
        <v>1001</v>
      </c>
      <c r="D87" s="652"/>
      <c r="E87" s="652"/>
      <c r="F87" s="652"/>
      <c r="G87" s="652"/>
      <c r="H87" s="652"/>
      <c r="I87" s="652"/>
      <c r="J87" s="652"/>
      <c r="K87" s="652"/>
      <c r="L87" s="652"/>
      <c r="M87" s="652"/>
      <c r="N87" s="652"/>
      <c r="O87" s="652"/>
      <c r="P87" s="652"/>
      <c r="Q87" s="652"/>
      <c r="R87" s="652"/>
      <c r="S87" s="652"/>
      <c r="T87" s="652"/>
      <c r="U87" s="653"/>
      <c r="V87" s="631" t="s">
        <v>994</v>
      </c>
      <c r="W87" s="632"/>
      <c r="X87" s="633"/>
      <c r="Y87" s="634"/>
      <c r="Z87" s="634"/>
      <c r="AA87" s="634"/>
      <c r="AB87" s="634"/>
      <c r="AC87" s="634"/>
      <c r="AD87" s="634"/>
      <c r="AE87" s="634"/>
      <c r="AF87" s="634"/>
      <c r="AG87" s="634"/>
      <c r="AH87" s="634"/>
      <c r="AI87" s="634"/>
      <c r="AJ87" s="634"/>
      <c r="AK87" s="634"/>
      <c r="AL87" s="634"/>
      <c r="AM87" s="634"/>
      <c r="AN87" s="634"/>
      <c r="AO87" s="634"/>
      <c r="AP87" s="634"/>
      <c r="AQ87" s="634"/>
      <c r="AR87" s="634"/>
      <c r="AS87" s="634"/>
      <c r="AT87" s="634"/>
      <c r="AU87" s="634"/>
      <c r="AV87" s="634"/>
      <c r="AW87" s="634"/>
      <c r="AX87" s="634"/>
      <c r="AY87" s="634"/>
      <c r="AZ87" s="634"/>
      <c r="BA87" s="634"/>
      <c r="BB87" s="634"/>
    </row>
    <row r="88" spans="1:54" s="550" customFormat="1" ht="25.5" customHeight="1">
      <c r="A88" s="626">
        <v>83</v>
      </c>
      <c r="B88" s="627"/>
      <c r="C88" s="657" t="s">
        <v>1002</v>
      </c>
      <c r="D88" s="658"/>
      <c r="E88" s="658"/>
      <c r="F88" s="658"/>
      <c r="G88" s="658"/>
      <c r="H88" s="658"/>
      <c r="I88" s="658"/>
      <c r="J88" s="658"/>
      <c r="K88" s="658"/>
      <c r="L88" s="658"/>
      <c r="M88" s="658"/>
      <c r="N88" s="658"/>
      <c r="O88" s="658"/>
      <c r="P88" s="658"/>
      <c r="Q88" s="658"/>
      <c r="R88" s="658"/>
      <c r="S88" s="658"/>
      <c r="T88" s="658"/>
      <c r="U88" s="659"/>
      <c r="V88" s="631" t="s">
        <v>994</v>
      </c>
      <c r="W88" s="632"/>
      <c r="X88" s="633"/>
      <c r="Y88" s="634"/>
      <c r="Z88" s="634"/>
      <c r="AA88" s="634"/>
      <c r="AB88" s="634"/>
      <c r="AC88" s="634"/>
      <c r="AD88" s="634"/>
      <c r="AE88" s="634"/>
      <c r="AF88" s="634"/>
      <c r="AG88" s="634"/>
      <c r="AH88" s="634"/>
      <c r="AI88" s="634"/>
      <c r="AJ88" s="634"/>
      <c r="AK88" s="634"/>
      <c r="AL88" s="634"/>
      <c r="AM88" s="634"/>
      <c r="AN88" s="634"/>
      <c r="AO88" s="634"/>
      <c r="AP88" s="634"/>
      <c r="AQ88" s="634"/>
      <c r="AR88" s="634"/>
      <c r="AS88" s="634"/>
      <c r="AT88" s="634"/>
      <c r="AU88" s="634"/>
      <c r="AV88" s="634"/>
      <c r="AW88" s="634"/>
      <c r="AX88" s="634"/>
      <c r="AY88" s="634"/>
      <c r="AZ88" s="634"/>
      <c r="BA88" s="634"/>
      <c r="BB88" s="634"/>
    </row>
    <row r="89" spans="1:54" ht="39" customHeight="1">
      <c r="A89" s="626">
        <v>84</v>
      </c>
      <c r="B89" s="627"/>
      <c r="C89" s="657" t="s">
        <v>1003</v>
      </c>
      <c r="D89" s="658"/>
      <c r="E89" s="658"/>
      <c r="F89" s="658"/>
      <c r="G89" s="658"/>
      <c r="H89" s="658"/>
      <c r="I89" s="658"/>
      <c r="J89" s="658"/>
      <c r="K89" s="658"/>
      <c r="L89" s="658"/>
      <c r="M89" s="658"/>
      <c r="N89" s="658"/>
      <c r="O89" s="658"/>
      <c r="P89" s="658"/>
      <c r="Q89" s="658"/>
      <c r="R89" s="658"/>
      <c r="S89" s="658"/>
      <c r="T89" s="658"/>
      <c r="U89" s="659"/>
      <c r="V89" s="631" t="s">
        <v>994</v>
      </c>
      <c r="W89" s="632"/>
      <c r="X89" s="633"/>
      <c r="Y89" s="634"/>
      <c r="Z89" s="634"/>
      <c r="AA89" s="634"/>
      <c r="AB89" s="634"/>
      <c r="AC89" s="634"/>
      <c r="AD89" s="634"/>
      <c r="AE89" s="634"/>
      <c r="AF89" s="634"/>
      <c r="AG89" s="634"/>
      <c r="AH89" s="634"/>
      <c r="AI89" s="634"/>
      <c r="AJ89" s="634"/>
      <c r="AK89" s="634"/>
      <c r="AL89" s="634"/>
      <c r="AM89" s="634"/>
      <c r="AN89" s="634"/>
      <c r="AO89" s="634"/>
      <c r="AP89" s="634"/>
      <c r="AQ89" s="634"/>
      <c r="AR89" s="634"/>
      <c r="AS89" s="634"/>
      <c r="AT89" s="634"/>
      <c r="AU89" s="634"/>
      <c r="AV89" s="634"/>
      <c r="AW89" s="634"/>
      <c r="AX89" s="634"/>
      <c r="AY89" s="634"/>
      <c r="AZ89" s="634"/>
      <c r="BA89" s="634"/>
      <c r="BB89" s="634"/>
    </row>
    <row r="90" spans="1:54" ht="25.5" customHeight="1">
      <c r="A90" s="626">
        <v>85</v>
      </c>
      <c r="B90" s="627"/>
      <c r="C90" s="657" t="s">
        <v>1004</v>
      </c>
      <c r="D90" s="658"/>
      <c r="E90" s="658"/>
      <c r="F90" s="658"/>
      <c r="G90" s="658"/>
      <c r="H90" s="658"/>
      <c r="I90" s="658"/>
      <c r="J90" s="658"/>
      <c r="K90" s="658"/>
      <c r="L90" s="658"/>
      <c r="M90" s="658"/>
      <c r="N90" s="658"/>
      <c r="O90" s="658"/>
      <c r="P90" s="658"/>
      <c r="Q90" s="658"/>
      <c r="R90" s="658"/>
      <c r="S90" s="658"/>
      <c r="T90" s="658"/>
      <c r="U90" s="659"/>
      <c r="V90" s="654" t="s">
        <v>1005</v>
      </c>
      <c r="W90" s="655"/>
      <c r="X90" s="656"/>
      <c r="Y90" s="646"/>
      <c r="Z90" s="646"/>
      <c r="AA90" s="646"/>
      <c r="AB90" s="647"/>
      <c r="AC90" s="647"/>
      <c r="AD90" s="647"/>
      <c r="AE90" s="646"/>
      <c r="AF90" s="646"/>
      <c r="AG90" s="646"/>
      <c r="AH90" s="647"/>
      <c r="AI90" s="647"/>
      <c r="AJ90" s="647"/>
      <c r="AK90" s="646"/>
      <c r="AL90" s="646"/>
      <c r="AM90" s="646"/>
      <c r="AN90" s="647"/>
      <c r="AO90" s="647"/>
      <c r="AP90" s="647"/>
      <c r="AQ90" s="646"/>
      <c r="AR90" s="646"/>
      <c r="AS90" s="646"/>
      <c r="AT90" s="647"/>
      <c r="AU90" s="647"/>
      <c r="AV90" s="647"/>
      <c r="AW90" s="646"/>
      <c r="AX90" s="646"/>
      <c r="AY90" s="646"/>
      <c r="AZ90" s="647"/>
      <c r="BA90" s="647"/>
      <c r="BB90" s="647"/>
    </row>
    <row r="91" spans="1:54" ht="64.5" customHeight="1">
      <c r="A91" s="626">
        <v>86</v>
      </c>
      <c r="B91" s="627"/>
      <c r="C91" s="651" t="s">
        <v>1006</v>
      </c>
      <c r="D91" s="652"/>
      <c r="E91" s="652"/>
      <c r="F91" s="652"/>
      <c r="G91" s="652"/>
      <c r="H91" s="652"/>
      <c r="I91" s="652"/>
      <c r="J91" s="652"/>
      <c r="K91" s="652"/>
      <c r="L91" s="652"/>
      <c r="M91" s="652"/>
      <c r="N91" s="652"/>
      <c r="O91" s="652"/>
      <c r="P91" s="652"/>
      <c r="Q91" s="652"/>
      <c r="R91" s="652"/>
      <c r="S91" s="652"/>
      <c r="T91" s="652"/>
      <c r="U91" s="653"/>
      <c r="V91" s="631" t="s">
        <v>1005</v>
      </c>
      <c r="W91" s="632"/>
      <c r="X91" s="633"/>
      <c r="Y91" s="634"/>
      <c r="Z91" s="634"/>
      <c r="AA91" s="634"/>
      <c r="AB91" s="634"/>
      <c r="AC91" s="634"/>
      <c r="AD91" s="634"/>
      <c r="AE91" s="634"/>
      <c r="AF91" s="634"/>
      <c r="AG91" s="634"/>
      <c r="AH91" s="634"/>
      <c r="AI91" s="634"/>
      <c r="AJ91" s="634"/>
      <c r="AK91" s="634"/>
      <c r="AL91" s="634"/>
      <c r="AM91" s="634"/>
      <c r="AN91" s="634"/>
      <c r="AO91" s="634"/>
      <c r="AP91" s="634"/>
      <c r="AQ91" s="634"/>
      <c r="AR91" s="634"/>
      <c r="AS91" s="634"/>
      <c r="AT91" s="634"/>
      <c r="AU91" s="634"/>
      <c r="AV91" s="634"/>
      <c r="AW91" s="634"/>
      <c r="AX91" s="634"/>
      <c r="AY91" s="634"/>
      <c r="AZ91" s="634"/>
      <c r="BA91" s="634"/>
      <c r="BB91" s="634"/>
    </row>
    <row r="92" spans="1:54" ht="25.5" customHeight="1">
      <c r="A92" s="626">
        <v>87</v>
      </c>
      <c r="B92" s="627"/>
      <c r="C92" s="651" t="s">
        <v>1007</v>
      </c>
      <c r="D92" s="652"/>
      <c r="E92" s="652"/>
      <c r="F92" s="652"/>
      <c r="G92" s="652"/>
      <c r="H92" s="652"/>
      <c r="I92" s="652"/>
      <c r="J92" s="652"/>
      <c r="K92" s="652"/>
      <c r="L92" s="652"/>
      <c r="M92" s="652"/>
      <c r="N92" s="652"/>
      <c r="O92" s="652"/>
      <c r="P92" s="652"/>
      <c r="Q92" s="652"/>
      <c r="R92" s="652"/>
      <c r="S92" s="652"/>
      <c r="T92" s="652"/>
      <c r="U92" s="653"/>
      <c r="V92" s="631" t="s">
        <v>1005</v>
      </c>
      <c r="W92" s="632"/>
      <c r="X92" s="633"/>
      <c r="Y92" s="634"/>
      <c r="Z92" s="634"/>
      <c r="AA92" s="634"/>
      <c r="AB92" s="634"/>
      <c r="AC92" s="634"/>
      <c r="AD92" s="634"/>
      <c r="AE92" s="634"/>
      <c r="AF92" s="634"/>
      <c r="AG92" s="634"/>
      <c r="AH92" s="634"/>
      <c r="AI92" s="634"/>
      <c r="AJ92" s="634"/>
      <c r="AK92" s="634"/>
      <c r="AL92" s="634"/>
      <c r="AM92" s="634"/>
      <c r="AN92" s="634"/>
      <c r="AO92" s="634"/>
      <c r="AP92" s="634"/>
      <c r="AQ92" s="634"/>
      <c r="AR92" s="634"/>
      <c r="AS92" s="634"/>
      <c r="AT92" s="634"/>
      <c r="AU92" s="634"/>
      <c r="AV92" s="634"/>
      <c r="AW92" s="634"/>
      <c r="AX92" s="634"/>
      <c r="AY92" s="634"/>
      <c r="AZ92" s="634"/>
      <c r="BA92" s="634"/>
      <c r="BB92" s="634"/>
    </row>
    <row r="93" spans="1:54" ht="25.5" customHeight="1">
      <c r="A93" s="626">
        <v>88</v>
      </c>
      <c r="B93" s="627"/>
      <c r="C93" s="651" t="s">
        <v>1008</v>
      </c>
      <c r="D93" s="652"/>
      <c r="E93" s="652"/>
      <c r="F93" s="652"/>
      <c r="G93" s="652"/>
      <c r="H93" s="652"/>
      <c r="I93" s="652"/>
      <c r="J93" s="652"/>
      <c r="K93" s="652"/>
      <c r="L93" s="652"/>
      <c r="M93" s="652"/>
      <c r="N93" s="652"/>
      <c r="O93" s="652"/>
      <c r="P93" s="652"/>
      <c r="Q93" s="652"/>
      <c r="R93" s="652"/>
      <c r="S93" s="652"/>
      <c r="T93" s="652"/>
      <c r="U93" s="653"/>
      <c r="V93" s="631" t="s">
        <v>1005</v>
      </c>
      <c r="W93" s="632"/>
      <c r="X93" s="633"/>
      <c r="Y93" s="634"/>
      <c r="Z93" s="634"/>
      <c r="AA93" s="634"/>
      <c r="AB93" s="634"/>
      <c r="AC93" s="634"/>
      <c r="AD93" s="634"/>
      <c r="AE93" s="634"/>
      <c r="AF93" s="634"/>
      <c r="AG93" s="634"/>
      <c r="AH93" s="634"/>
      <c r="AI93" s="634"/>
      <c r="AJ93" s="634"/>
      <c r="AK93" s="634"/>
      <c r="AL93" s="634"/>
      <c r="AM93" s="634"/>
      <c r="AN93" s="634"/>
      <c r="AO93" s="634"/>
      <c r="AP93" s="634"/>
      <c r="AQ93" s="634"/>
      <c r="AR93" s="634"/>
      <c r="AS93" s="634"/>
      <c r="AT93" s="634"/>
      <c r="AU93" s="634"/>
      <c r="AV93" s="634"/>
      <c r="AW93" s="634"/>
      <c r="AX93" s="634"/>
      <c r="AY93" s="634"/>
      <c r="AZ93" s="634"/>
      <c r="BA93" s="634"/>
      <c r="BB93" s="634"/>
    </row>
    <row r="94" spans="1:54" ht="12.75" customHeight="1">
      <c r="A94" s="626">
        <v>89</v>
      </c>
      <c r="B94" s="627"/>
      <c r="C94" s="651" t="s">
        <v>1009</v>
      </c>
      <c r="D94" s="652"/>
      <c r="E94" s="652"/>
      <c r="F94" s="652"/>
      <c r="G94" s="652"/>
      <c r="H94" s="652"/>
      <c r="I94" s="652"/>
      <c r="J94" s="652"/>
      <c r="K94" s="652"/>
      <c r="L94" s="652"/>
      <c r="M94" s="652"/>
      <c r="N94" s="652"/>
      <c r="O94" s="652"/>
      <c r="P94" s="652"/>
      <c r="Q94" s="652"/>
      <c r="R94" s="652"/>
      <c r="S94" s="652"/>
      <c r="T94" s="652"/>
      <c r="U94" s="653"/>
      <c r="V94" s="631" t="s">
        <v>1005</v>
      </c>
      <c r="W94" s="632"/>
      <c r="X94" s="633"/>
      <c r="Y94" s="634"/>
      <c r="Z94" s="634"/>
      <c r="AA94" s="634"/>
      <c r="AB94" s="634"/>
      <c r="AC94" s="634"/>
      <c r="AD94" s="634"/>
      <c r="AE94" s="634"/>
      <c r="AF94" s="634"/>
      <c r="AG94" s="634"/>
      <c r="AH94" s="634"/>
      <c r="AI94" s="634"/>
      <c r="AJ94" s="634"/>
      <c r="AK94" s="634"/>
      <c r="AL94" s="634"/>
      <c r="AM94" s="634"/>
      <c r="AN94" s="634"/>
      <c r="AO94" s="634"/>
      <c r="AP94" s="634"/>
      <c r="AQ94" s="634"/>
      <c r="AR94" s="634"/>
      <c r="AS94" s="634"/>
      <c r="AT94" s="634"/>
      <c r="AU94" s="634"/>
      <c r="AV94" s="634"/>
      <c r="AW94" s="634"/>
      <c r="AX94" s="634"/>
      <c r="AY94" s="634"/>
      <c r="AZ94" s="634"/>
      <c r="BA94" s="634"/>
      <c r="BB94" s="634"/>
    </row>
    <row r="95" spans="1:54" ht="12.75" customHeight="1">
      <c r="A95" s="626">
        <v>90</v>
      </c>
      <c r="B95" s="627"/>
      <c r="C95" s="651" t="s">
        <v>1010</v>
      </c>
      <c r="D95" s="652"/>
      <c r="E95" s="652"/>
      <c r="F95" s="652"/>
      <c r="G95" s="652"/>
      <c r="H95" s="652"/>
      <c r="I95" s="652"/>
      <c r="J95" s="652"/>
      <c r="K95" s="652"/>
      <c r="L95" s="652"/>
      <c r="M95" s="652"/>
      <c r="N95" s="652"/>
      <c r="O95" s="652"/>
      <c r="P95" s="652"/>
      <c r="Q95" s="652"/>
      <c r="R95" s="652"/>
      <c r="S95" s="652"/>
      <c r="T95" s="652"/>
      <c r="U95" s="653"/>
      <c r="V95" s="631" t="s">
        <v>1005</v>
      </c>
      <c r="W95" s="632"/>
      <c r="X95" s="633"/>
      <c r="Y95" s="634"/>
      <c r="Z95" s="634"/>
      <c r="AA95" s="634"/>
      <c r="AB95" s="634"/>
      <c r="AC95" s="634"/>
      <c r="AD95" s="634"/>
      <c r="AE95" s="634"/>
      <c r="AF95" s="634"/>
      <c r="AG95" s="634"/>
      <c r="AH95" s="634"/>
      <c r="AI95" s="634"/>
      <c r="AJ95" s="634"/>
      <c r="AK95" s="634"/>
      <c r="AL95" s="634"/>
      <c r="AM95" s="634"/>
      <c r="AN95" s="634"/>
      <c r="AO95" s="634"/>
      <c r="AP95" s="634"/>
      <c r="AQ95" s="634"/>
      <c r="AR95" s="634"/>
      <c r="AS95" s="634"/>
      <c r="AT95" s="634"/>
      <c r="AU95" s="634"/>
      <c r="AV95" s="634"/>
      <c r="AW95" s="634"/>
      <c r="AX95" s="634"/>
      <c r="AY95" s="634"/>
      <c r="AZ95" s="634"/>
      <c r="BA95" s="634"/>
      <c r="BB95" s="634"/>
    </row>
    <row r="96" spans="1:54" ht="25.5" customHeight="1">
      <c r="A96" s="626">
        <v>91</v>
      </c>
      <c r="B96" s="627"/>
      <c r="C96" s="651" t="s">
        <v>1011</v>
      </c>
      <c r="D96" s="652"/>
      <c r="E96" s="652"/>
      <c r="F96" s="652"/>
      <c r="G96" s="652"/>
      <c r="H96" s="652"/>
      <c r="I96" s="652"/>
      <c r="J96" s="652"/>
      <c r="K96" s="652"/>
      <c r="L96" s="652"/>
      <c r="M96" s="652"/>
      <c r="N96" s="652"/>
      <c r="O96" s="652"/>
      <c r="P96" s="652"/>
      <c r="Q96" s="652"/>
      <c r="R96" s="652"/>
      <c r="S96" s="652"/>
      <c r="T96" s="652"/>
      <c r="U96" s="653"/>
      <c r="V96" s="631" t="s">
        <v>1005</v>
      </c>
      <c r="W96" s="632"/>
      <c r="X96" s="633"/>
      <c r="Y96" s="634"/>
      <c r="Z96" s="634"/>
      <c r="AA96" s="634"/>
      <c r="AB96" s="634"/>
      <c r="AC96" s="634"/>
      <c r="AD96" s="634"/>
      <c r="AE96" s="634"/>
      <c r="AF96" s="634"/>
      <c r="AG96" s="634"/>
      <c r="AH96" s="634"/>
      <c r="AI96" s="634"/>
      <c r="AJ96" s="634"/>
      <c r="AK96" s="634"/>
      <c r="AL96" s="634"/>
      <c r="AM96" s="634"/>
      <c r="AN96" s="634"/>
      <c r="AO96" s="634"/>
      <c r="AP96" s="634"/>
      <c r="AQ96" s="634"/>
      <c r="AR96" s="634"/>
      <c r="AS96" s="634"/>
      <c r="AT96" s="634"/>
      <c r="AU96" s="634"/>
      <c r="AV96" s="634"/>
      <c r="AW96" s="634"/>
      <c r="AX96" s="634"/>
      <c r="AY96" s="634"/>
      <c r="AZ96" s="634"/>
      <c r="BA96" s="634"/>
      <c r="BB96" s="634"/>
    </row>
    <row r="97" spans="1:54" ht="12.75" customHeight="1">
      <c r="A97" s="626">
        <v>92</v>
      </c>
      <c r="B97" s="627"/>
      <c r="C97" s="651" t="s">
        <v>1012</v>
      </c>
      <c r="D97" s="652"/>
      <c r="E97" s="652"/>
      <c r="F97" s="652"/>
      <c r="G97" s="652"/>
      <c r="H97" s="652"/>
      <c r="I97" s="652"/>
      <c r="J97" s="652"/>
      <c r="K97" s="652"/>
      <c r="L97" s="652"/>
      <c r="M97" s="652"/>
      <c r="N97" s="652"/>
      <c r="O97" s="652"/>
      <c r="P97" s="652"/>
      <c r="Q97" s="652"/>
      <c r="R97" s="652"/>
      <c r="S97" s="652"/>
      <c r="T97" s="652"/>
      <c r="U97" s="653"/>
      <c r="V97" s="631" t="s">
        <v>1005</v>
      </c>
      <c r="W97" s="632"/>
      <c r="X97" s="633"/>
      <c r="Y97" s="634"/>
      <c r="Z97" s="634"/>
      <c r="AA97" s="634"/>
      <c r="AB97" s="634"/>
      <c r="AC97" s="634"/>
      <c r="AD97" s="634"/>
      <c r="AE97" s="634"/>
      <c r="AF97" s="634"/>
      <c r="AG97" s="634"/>
      <c r="AH97" s="634"/>
      <c r="AI97" s="634"/>
      <c r="AJ97" s="634"/>
      <c r="AK97" s="634"/>
      <c r="AL97" s="634"/>
      <c r="AM97" s="634"/>
      <c r="AN97" s="634"/>
      <c r="AO97" s="634"/>
      <c r="AP97" s="634"/>
      <c r="AQ97" s="634"/>
      <c r="AR97" s="634"/>
      <c r="AS97" s="634"/>
      <c r="AT97" s="634"/>
      <c r="AU97" s="634"/>
      <c r="AV97" s="634"/>
      <c r="AW97" s="634"/>
      <c r="AX97" s="634"/>
      <c r="AY97" s="634"/>
      <c r="AZ97" s="634"/>
      <c r="BA97" s="634"/>
      <c r="BB97" s="634"/>
    </row>
    <row r="98" spans="1:54" s="550" customFormat="1" ht="25.5" customHeight="1">
      <c r="A98" s="626">
        <v>93</v>
      </c>
      <c r="B98" s="627"/>
      <c r="C98" s="651" t="s">
        <v>1013</v>
      </c>
      <c r="D98" s="652"/>
      <c r="E98" s="652"/>
      <c r="F98" s="652"/>
      <c r="G98" s="652"/>
      <c r="H98" s="652"/>
      <c r="I98" s="652"/>
      <c r="J98" s="652"/>
      <c r="K98" s="652"/>
      <c r="L98" s="652"/>
      <c r="M98" s="652"/>
      <c r="N98" s="652"/>
      <c r="O98" s="652"/>
      <c r="P98" s="652"/>
      <c r="Q98" s="652"/>
      <c r="R98" s="652"/>
      <c r="S98" s="652"/>
      <c r="T98" s="652"/>
      <c r="U98" s="653"/>
      <c r="V98" s="631" t="s">
        <v>1005</v>
      </c>
      <c r="W98" s="632"/>
      <c r="X98" s="633"/>
      <c r="Y98" s="634"/>
      <c r="Z98" s="634"/>
      <c r="AA98" s="634"/>
      <c r="AB98" s="634"/>
      <c r="AC98" s="634"/>
      <c r="AD98" s="634"/>
      <c r="AE98" s="634"/>
      <c r="AF98" s="634"/>
      <c r="AG98" s="634"/>
      <c r="AH98" s="634"/>
      <c r="AI98" s="634"/>
      <c r="AJ98" s="634"/>
      <c r="AK98" s="634"/>
      <c r="AL98" s="634"/>
      <c r="AM98" s="634"/>
      <c r="AN98" s="634"/>
      <c r="AO98" s="634"/>
      <c r="AP98" s="634"/>
      <c r="AQ98" s="634"/>
      <c r="AR98" s="634"/>
      <c r="AS98" s="634"/>
      <c r="AT98" s="634"/>
      <c r="AU98" s="634"/>
      <c r="AV98" s="634"/>
      <c r="AW98" s="634"/>
      <c r="AX98" s="634"/>
      <c r="AY98" s="634"/>
      <c r="AZ98" s="634"/>
      <c r="BA98" s="634"/>
      <c r="BB98" s="634"/>
    </row>
    <row r="99" spans="1:54" ht="12.75" customHeight="1">
      <c r="A99" s="626">
        <v>94</v>
      </c>
      <c r="B99" s="627"/>
      <c r="C99" s="651" t="s">
        <v>1014</v>
      </c>
      <c r="D99" s="652"/>
      <c r="E99" s="652"/>
      <c r="F99" s="652"/>
      <c r="G99" s="652"/>
      <c r="H99" s="652"/>
      <c r="I99" s="652"/>
      <c r="J99" s="652"/>
      <c r="K99" s="652"/>
      <c r="L99" s="652"/>
      <c r="M99" s="652"/>
      <c r="N99" s="652"/>
      <c r="O99" s="652"/>
      <c r="P99" s="652"/>
      <c r="Q99" s="652"/>
      <c r="R99" s="652"/>
      <c r="S99" s="652"/>
      <c r="T99" s="652"/>
      <c r="U99" s="653"/>
      <c r="V99" s="631" t="s">
        <v>1005</v>
      </c>
      <c r="W99" s="632"/>
      <c r="X99" s="633"/>
      <c r="Y99" s="634"/>
      <c r="Z99" s="634"/>
      <c r="AA99" s="634"/>
      <c r="AB99" s="634"/>
      <c r="AC99" s="634"/>
      <c r="AD99" s="634"/>
      <c r="AE99" s="634"/>
      <c r="AF99" s="634"/>
      <c r="AG99" s="634"/>
      <c r="AH99" s="634"/>
      <c r="AI99" s="634"/>
      <c r="AJ99" s="634"/>
      <c r="AK99" s="634"/>
      <c r="AL99" s="634"/>
      <c r="AM99" s="634"/>
      <c r="AN99" s="634"/>
      <c r="AO99" s="634"/>
      <c r="AP99" s="634"/>
      <c r="AQ99" s="634"/>
      <c r="AR99" s="634"/>
      <c r="AS99" s="634"/>
      <c r="AT99" s="634"/>
      <c r="AU99" s="634"/>
      <c r="AV99" s="634"/>
      <c r="AW99" s="634"/>
      <c r="AX99" s="634"/>
      <c r="AY99" s="634"/>
      <c r="AZ99" s="634"/>
      <c r="BA99" s="634"/>
      <c r="BB99" s="634"/>
    </row>
    <row r="100" spans="1:54" ht="12.75" customHeight="1">
      <c r="A100" s="626">
        <v>95</v>
      </c>
      <c r="B100" s="627"/>
      <c r="C100" s="651" t="s">
        <v>1015</v>
      </c>
      <c r="D100" s="652"/>
      <c r="E100" s="652"/>
      <c r="F100" s="652"/>
      <c r="G100" s="652"/>
      <c r="H100" s="652"/>
      <c r="I100" s="652"/>
      <c r="J100" s="652"/>
      <c r="K100" s="652"/>
      <c r="L100" s="652"/>
      <c r="M100" s="652"/>
      <c r="N100" s="652"/>
      <c r="O100" s="652"/>
      <c r="P100" s="652"/>
      <c r="Q100" s="652"/>
      <c r="R100" s="652"/>
      <c r="S100" s="652"/>
      <c r="T100" s="652"/>
      <c r="U100" s="653"/>
      <c r="V100" s="654" t="s">
        <v>1016</v>
      </c>
      <c r="W100" s="655"/>
      <c r="X100" s="656"/>
      <c r="Y100" s="646"/>
      <c r="Z100" s="646"/>
      <c r="AA100" s="646"/>
      <c r="AB100" s="647"/>
      <c r="AC100" s="647"/>
      <c r="AD100" s="647"/>
      <c r="AE100" s="646"/>
      <c r="AF100" s="646"/>
      <c r="AG100" s="646"/>
      <c r="AH100" s="647"/>
      <c r="AI100" s="647"/>
      <c r="AJ100" s="647"/>
      <c r="AK100" s="646"/>
      <c r="AL100" s="646"/>
      <c r="AM100" s="646"/>
      <c r="AN100" s="647"/>
      <c r="AO100" s="647"/>
      <c r="AP100" s="647"/>
      <c r="AQ100" s="646"/>
      <c r="AR100" s="646"/>
      <c r="AS100" s="646"/>
      <c r="AT100" s="647"/>
      <c r="AU100" s="647"/>
      <c r="AV100" s="647"/>
      <c r="AW100" s="646"/>
      <c r="AX100" s="646"/>
      <c r="AY100" s="646"/>
      <c r="AZ100" s="647"/>
      <c r="BA100" s="647"/>
      <c r="BB100" s="647"/>
    </row>
    <row r="101" spans="1:54" ht="12.75" customHeight="1">
      <c r="A101" s="626">
        <v>96</v>
      </c>
      <c r="B101" s="627"/>
      <c r="C101" s="651" t="s">
        <v>1017</v>
      </c>
      <c r="D101" s="652"/>
      <c r="E101" s="652"/>
      <c r="F101" s="652"/>
      <c r="G101" s="652"/>
      <c r="H101" s="652"/>
      <c r="I101" s="652"/>
      <c r="J101" s="652"/>
      <c r="K101" s="652"/>
      <c r="L101" s="652"/>
      <c r="M101" s="652"/>
      <c r="N101" s="652"/>
      <c r="O101" s="652"/>
      <c r="P101" s="652"/>
      <c r="Q101" s="652"/>
      <c r="R101" s="652"/>
      <c r="S101" s="652"/>
      <c r="T101" s="652"/>
      <c r="U101" s="653"/>
      <c r="V101" s="631" t="s">
        <v>1016</v>
      </c>
      <c r="W101" s="632"/>
      <c r="X101" s="633"/>
      <c r="Y101" s="634"/>
      <c r="Z101" s="634"/>
      <c r="AA101" s="634"/>
      <c r="AB101" s="634"/>
      <c r="AC101" s="634"/>
      <c r="AD101" s="634"/>
      <c r="AE101" s="634"/>
      <c r="AF101" s="634"/>
      <c r="AG101" s="634"/>
      <c r="AH101" s="634"/>
      <c r="AI101" s="634"/>
      <c r="AJ101" s="634"/>
      <c r="AK101" s="634"/>
      <c r="AL101" s="634"/>
      <c r="AM101" s="634"/>
      <c r="AN101" s="634"/>
      <c r="AO101" s="634"/>
      <c r="AP101" s="634"/>
      <c r="AQ101" s="634"/>
      <c r="AR101" s="634"/>
      <c r="AS101" s="634"/>
      <c r="AT101" s="634"/>
      <c r="AU101" s="634"/>
      <c r="AV101" s="634"/>
      <c r="AW101" s="634"/>
      <c r="AX101" s="634"/>
      <c r="AY101" s="634"/>
      <c r="AZ101" s="634"/>
      <c r="BA101" s="634"/>
      <c r="BB101" s="634"/>
    </row>
    <row r="102" spans="1:54" ht="12.75" customHeight="1">
      <c r="A102" s="626">
        <v>97</v>
      </c>
      <c r="B102" s="627"/>
      <c r="C102" s="651" t="s">
        <v>1018</v>
      </c>
      <c r="D102" s="652"/>
      <c r="E102" s="652"/>
      <c r="F102" s="652"/>
      <c r="G102" s="652"/>
      <c r="H102" s="652"/>
      <c r="I102" s="652"/>
      <c r="J102" s="652"/>
      <c r="K102" s="652"/>
      <c r="L102" s="652"/>
      <c r="M102" s="652"/>
      <c r="N102" s="652"/>
      <c r="O102" s="652"/>
      <c r="P102" s="652"/>
      <c r="Q102" s="652"/>
      <c r="R102" s="652"/>
      <c r="S102" s="652"/>
      <c r="T102" s="652"/>
      <c r="U102" s="653"/>
      <c r="V102" s="631" t="s">
        <v>1016</v>
      </c>
      <c r="W102" s="632"/>
      <c r="X102" s="633"/>
      <c r="Y102" s="634"/>
      <c r="Z102" s="634"/>
      <c r="AA102" s="634"/>
      <c r="AB102" s="634"/>
      <c r="AC102" s="634"/>
      <c r="AD102" s="634"/>
      <c r="AE102" s="634"/>
      <c r="AF102" s="634"/>
      <c r="AG102" s="634"/>
      <c r="AH102" s="634"/>
      <c r="AI102" s="634"/>
      <c r="AJ102" s="634"/>
      <c r="AK102" s="634"/>
      <c r="AL102" s="634"/>
      <c r="AM102" s="634"/>
      <c r="AN102" s="634"/>
      <c r="AO102" s="634"/>
      <c r="AP102" s="634"/>
      <c r="AQ102" s="634"/>
      <c r="AR102" s="634"/>
      <c r="AS102" s="634"/>
      <c r="AT102" s="634"/>
      <c r="AU102" s="634"/>
      <c r="AV102" s="634"/>
      <c r="AW102" s="634"/>
      <c r="AX102" s="634"/>
      <c r="AY102" s="634"/>
      <c r="AZ102" s="634"/>
      <c r="BA102" s="634"/>
      <c r="BB102" s="634"/>
    </row>
    <row r="103" spans="1:54" ht="25.5" customHeight="1">
      <c r="A103" s="626">
        <v>98</v>
      </c>
      <c r="B103" s="627"/>
      <c r="C103" s="657" t="s">
        <v>1019</v>
      </c>
      <c r="D103" s="658"/>
      <c r="E103" s="658"/>
      <c r="F103" s="658"/>
      <c r="G103" s="658"/>
      <c r="H103" s="658"/>
      <c r="I103" s="658"/>
      <c r="J103" s="658"/>
      <c r="K103" s="658"/>
      <c r="L103" s="658"/>
      <c r="M103" s="658"/>
      <c r="N103" s="658"/>
      <c r="O103" s="658"/>
      <c r="P103" s="658"/>
      <c r="Q103" s="658"/>
      <c r="R103" s="658"/>
      <c r="S103" s="658"/>
      <c r="T103" s="658"/>
      <c r="U103" s="659"/>
      <c r="V103" s="631" t="s">
        <v>1016</v>
      </c>
      <c r="W103" s="632"/>
      <c r="X103" s="633"/>
      <c r="Y103" s="634"/>
      <c r="Z103" s="634"/>
      <c r="AA103" s="634"/>
      <c r="AB103" s="634"/>
      <c r="AC103" s="634"/>
      <c r="AD103" s="634"/>
      <c r="AE103" s="634"/>
      <c r="AF103" s="634"/>
      <c r="AG103" s="634"/>
      <c r="AH103" s="634"/>
      <c r="AI103" s="634"/>
      <c r="AJ103" s="634"/>
      <c r="AK103" s="634"/>
      <c r="AL103" s="634"/>
      <c r="AM103" s="634"/>
      <c r="AN103" s="634"/>
      <c r="AO103" s="634"/>
      <c r="AP103" s="634"/>
      <c r="AQ103" s="634"/>
      <c r="AR103" s="634"/>
      <c r="AS103" s="634"/>
      <c r="AT103" s="634"/>
      <c r="AU103" s="634"/>
      <c r="AV103" s="634"/>
      <c r="AW103" s="634"/>
      <c r="AX103" s="634"/>
      <c r="AY103" s="634"/>
      <c r="AZ103" s="634"/>
      <c r="BA103" s="634"/>
      <c r="BB103" s="634"/>
    </row>
    <row r="104" spans="1:54" ht="25.5" customHeight="1">
      <c r="A104" s="626">
        <v>99</v>
      </c>
      <c r="B104" s="627"/>
      <c r="C104" s="657" t="s">
        <v>1020</v>
      </c>
      <c r="D104" s="658"/>
      <c r="E104" s="658"/>
      <c r="F104" s="658"/>
      <c r="G104" s="658"/>
      <c r="H104" s="658"/>
      <c r="I104" s="658"/>
      <c r="J104" s="658"/>
      <c r="K104" s="658"/>
      <c r="L104" s="658"/>
      <c r="M104" s="658"/>
      <c r="N104" s="658"/>
      <c r="O104" s="658"/>
      <c r="P104" s="658"/>
      <c r="Q104" s="658"/>
      <c r="R104" s="658"/>
      <c r="S104" s="658"/>
      <c r="T104" s="658"/>
      <c r="U104" s="659"/>
      <c r="V104" s="631" t="s">
        <v>1016</v>
      </c>
      <c r="W104" s="632"/>
      <c r="X104" s="633"/>
      <c r="Y104" s="634"/>
      <c r="Z104" s="634"/>
      <c r="AA104" s="634"/>
      <c r="AB104" s="634"/>
      <c r="AC104" s="634"/>
      <c r="AD104" s="634"/>
      <c r="AE104" s="634"/>
      <c r="AF104" s="634"/>
      <c r="AG104" s="634"/>
      <c r="AH104" s="634"/>
      <c r="AI104" s="634"/>
      <c r="AJ104" s="634"/>
      <c r="AK104" s="634"/>
      <c r="AL104" s="634"/>
      <c r="AM104" s="634"/>
      <c r="AN104" s="634"/>
      <c r="AO104" s="634"/>
      <c r="AP104" s="634"/>
      <c r="AQ104" s="634"/>
      <c r="AR104" s="634"/>
      <c r="AS104" s="634"/>
      <c r="AT104" s="634"/>
      <c r="AU104" s="634"/>
      <c r="AV104" s="634"/>
      <c r="AW104" s="634"/>
      <c r="AX104" s="634"/>
      <c r="AY104" s="634"/>
      <c r="AZ104" s="634"/>
      <c r="BA104" s="634"/>
      <c r="BB104" s="634"/>
    </row>
    <row r="105" spans="1:54" ht="25.5" customHeight="1">
      <c r="A105" s="626">
        <v>100</v>
      </c>
      <c r="B105" s="627"/>
      <c r="C105" s="657" t="s">
        <v>1021</v>
      </c>
      <c r="D105" s="658"/>
      <c r="E105" s="658"/>
      <c r="F105" s="658"/>
      <c r="G105" s="658"/>
      <c r="H105" s="658"/>
      <c r="I105" s="658"/>
      <c r="J105" s="658"/>
      <c r="K105" s="658"/>
      <c r="L105" s="658"/>
      <c r="M105" s="658"/>
      <c r="N105" s="658"/>
      <c r="O105" s="658"/>
      <c r="P105" s="658"/>
      <c r="Q105" s="658"/>
      <c r="R105" s="658"/>
      <c r="S105" s="658"/>
      <c r="T105" s="658"/>
      <c r="U105" s="659"/>
      <c r="V105" s="631" t="s">
        <v>1016</v>
      </c>
      <c r="W105" s="632"/>
      <c r="X105" s="633"/>
      <c r="Y105" s="634"/>
      <c r="Z105" s="634"/>
      <c r="AA105" s="634"/>
      <c r="AB105" s="634"/>
      <c r="AC105" s="634"/>
      <c r="AD105" s="634"/>
      <c r="AE105" s="634"/>
      <c r="AF105" s="634"/>
      <c r="AG105" s="634"/>
      <c r="AH105" s="634"/>
      <c r="AI105" s="634"/>
      <c r="AJ105" s="634"/>
      <c r="AK105" s="634"/>
      <c r="AL105" s="634"/>
      <c r="AM105" s="634"/>
      <c r="AN105" s="634"/>
      <c r="AO105" s="634"/>
      <c r="AP105" s="634"/>
      <c r="AQ105" s="634"/>
      <c r="AR105" s="634"/>
      <c r="AS105" s="634"/>
      <c r="AT105" s="634"/>
      <c r="AU105" s="634"/>
      <c r="AV105" s="634"/>
      <c r="AW105" s="634"/>
      <c r="AX105" s="634"/>
      <c r="AY105" s="634"/>
      <c r="AZ105" s="634"/>
      <c r="BA105" s="634"/>
      <c r="BB105" s="634"/>
    </row>
    <row r="106" spans="1:54" ht="39" customHeight="1">
      <c r="A106" s="626">
        <v>101</v>
      </c>
      <c r="B106" s="627"/>
      <c r="C106" s="660" t="s">
        <v>1022</v>
      </c>
      <c r="D106" s="661"/>
      <c r="E106" s="661"/>
      <c r="F106" s="661"/>
      <c r="G106" s="661"/>
      <c r="H106" s="661"/>
      <c r="I106" s="661"/>
      <c r="J106" s="661"/>
      <c r="K106" s="661"/>
      <c r="L106" s="661"/>
      <c r="M106" s="661"/>
      <c r="N106" s="661"/>
      <c r="O106" s="661"/>
      <c r="P106" s="661"/>
      <c r="Q106" s="661"/>
      <c r="R106" s="661"/>
      <c r="S106" s="661"/>
      <c r="T106" s="661"/>
      <c r="U106" s="662"/>
      <c r="V106" s="631" t="s">
        <v>1016</v>
      </c>
      <c r="W106" s="632"/>
      <c r="X106" s="633"/>
      <c r="Y106" s="634"/>
      <c r="Z106" s="634"/>
      <c r="AA106" s="634"/>
      <c r="AB106" s="634"/>
      <c r="AC106" s="634"/>
      <c r="AD106" s="634"/>
      <c r="AE106" s="634"/>
      <c r="AF106" s="634"/>
      <c r="AG106" s="634"/>
      <c r="AH106" s="634"/>
      <c r="AI106" s="634"/>
      <c r="AJ106" s="634"/>
      <c r="AK106" s="634"/>
      <c r="AL106" s="634"/>
      <c r="AM106" s="634"/>
      <c r="AN106" s="634"/>
      <c r="AO106" s="634"/>
      <c r="AP106" s="634"/>
      <c r="AQ106" s="634"/>
      <c r="AR106" s="634"/>
      <c r="AS106" s="634"/>
      <c r="AT106" s="634"/>
      <c r="AU106" s="634"/>
      <c r="AV106" s="634"/>
      <c r="AW106" s="634"/>
      <c r="AX106" s="634"/>
      <c r="AY106" s="634"/>
      <c r="AZ106" s="634"/>
      <c r="BA106" s="634"/>
      <c r="BB106" s="634"/>
    </row>
    <row r="107" spans="1:54" ht="12.75" customHeight="1">
      <c r="A107" s="626">
        <v>102</v>
      </c>
      <c r="B107" s="627"/>
      <c r="C107" s="651" t="s">
        <v>1023</v>
      </c>
      <c r="D107" s="652"/>
      <c r="E107" s="652"/>
      <c r="F107" s="652"/>
      <c r="G107" s="652"/>
      <c r="H107" s="652"/>
      <c r="I107" s="652"/>
      <c r="J107" s="652"/>
      <c r="K107" s="652"/>
      <c r="L107" s="652"/>
      <c r="M107" s="652"/>
      <c r="N107" s="652"/>
      <c r="O107" s="652"/>
      <c r="P107" s="652"/>
      <c r="Q107" s="652"/>
      <c r="R107" s="652"/>
      <c r="S107" s="652"/>
      <c r="T107" s="652"/>
      <c r="U107" s="653"/>
      <c r="V107" s="631" t="s">
        <v>1024</v>
      </c>
      <c r="W107" s="632"/>
      <c r="X107" s="633"/>
      <c r="Y107" s="634"/>
      <c r="Z107" s="634"/>
      <c r="AA107" s="634"/>
      <c r="AB107" s="634"/>
      <c r="AC107" s="634"/>
      <c r="AD107" s="634"/>
      <c r="AE107" s="634"/>
      <c r="AF107" s="634"/>
      <c r="AG107" s="634"/>
      <c r="AH107" s="634"/>
      <c r="AI107" s="634"/>
      <c r="AJ107" s="634"/>
      <c r="AK107" s="634"/>
      <c r="AL107" s="634"/>
      <c r="AM107" s="634"/>
      <c r="AN107" s="634"/>
      <c r="AO107" s="634"/>
      <c r="AP107" s="634"/>
      <c r="AQ107" s="634"/>
      <c r="AR107" s="634"/>
      <c r="AS107" s="634"/>
      <c r="AT107" s="634"/>
      <c r="AU107" s="634"/>
      <c r="AV107" s="634"/>
      <c r="AW107" s="634"/>
      <c r="AX107" s="634"/>
      <c r="AY107" s="634"/>
      <c r="AZ107" s="634"/>
      <c r="BA107" s="634"/>
      <c r="BB107" s="634"/>
    </row>
    <row r="108" spans="1:54" ht="12.75" customHeight="1">
      <c r="A108" s="626">
        <v>103</v>
      </c>
      <c r="B108" s="627"/>
      <c r="C108" s="651" t="s">
        <v>1025</v>
      </c>
      <c r="D108" s="652"/>
      <c r="E108" s="652"/>
      <c r="F108" s="652"/>
      <c r="G108" s="652"/>
      <c r="H108" s="652"/>
      <c r="I108" s="652"/>
      <c r="J108" s="652"/>
      <c r="K108" s="652"/>
      <c r="L108" s="652"/>
      <c r="M108" s="652"/>
      <c r="N108" s="652"/>
      <c r="O108" s="652"/>
      <c r="P108" s="652"/>
      <c r="Q108" s="652"/>
      <c r="R108" s="652"/>
      <c r="S108" s="652"/>
      <c r="T108" s="652"/>
      <c r="U108" s="653"/>
      <c r="V108" s="631" t="s">
        <v>1024</v>
      </c>
      <c r="W108" s="632"/>
      <c r="X108" s="633"/>
      <c r="Y108" s="634"/>
      <c r="Z108" s="634"/>
      <c r="AA108" s="634"/>
      <c r="AB108" s="634"/>
      <c r="AC108" s="634"/>
      <c r="AD108" s="634"/>
      <c r="AE108" s="634"/>
      <c r="AF108" s="634"/>
      <c r="AG108" s="634"/>
      <c r="AH108" s="634"/>
      <c r="AI108" s="634"/>
      <c r="AJ108" s="634"/>
      <c r="AK108" s="634"/>
      <c r="AL108" s="634"/>
      <c r="AM108" s="634"/>
      <c r="AN108" s="634"/>
      <c r="AO108" s="634"/>
      <c r="AP108" s="634"/>
      <c r="AQ108" s="634"/>
      <c r="AR108" s="634"/>
      <c r="AS108" s="634"/>
      <c r="AT108" s="634"/>
      <c r="AU108" s="634"/>
      <c r="AV108" s="634"/>
      <c r="AW108" s="634"/>
      <c r="AX108" s="634"/>
      <c r="AY108" s="634"/>
      <c r="AZ108" s="634"/>
      <c r="BA108" s="634"/>
      <c r="BB108" s="634"/>
    </row>
    <row r="109" spans="1:54" ht="12.75" customHeight="1">
      <c r="A109" s="626">
        <v>104</v>
      </c>
      <c r="B109" s="627"/>
      <c r="C109" s="651" t="s">
        <v>1026</v>
      </c>
      <c r="D109" s="652"/>
      <c r="E109" s="652"/>
      <c r="F109" s="652"/>
      <c r="G109" s="652"/>
      <c r="H109" s="652"/>
      <c r="I109" s="652"/>
      <c r="J109" s="652"/>
      <c r="K109" s="652"/>
      <c r="L109" s="652"/>
      <c r="M109" s="652"/>
      <c r="N109" s="652"/>
      <c r="O109" s="652"/>
      <c r="P109" s="652"/>
      <c r="Q109" s="652"/>
      <c r="R109" s="652"/>
      <c r="S109" s="652"/>
      <c r="T109" s="652"/>
      <c r="U109" s="653"/>
      <c r="V109" s="631" t="s">
        <v>1024</v>
      </c>
      <c r="W109" s="632"/>
      <c r="X109" s="633"/>
      <c r="Y109" s="634"/>
      <c r="Z109" s="634"/>
      <c r="AA109" s="634"/>
      <c r="AB109" s="634"/>
      <c r="AC109" s="634"/>
      <c r="AD109" s="634"/>
      <c r="AE109" s="634"/>
      <c r="AF109" s="634"/>
      <c r="AG109" s="634"/>
      <c r="AH109" s="634"/>
      <c r="AI109" s="634"/>
      <c r="AJ109" s="634"/>
      <c r="AK109" s="634"/>
      <c r="AL109" s="634"/>
      <c r="AM109" s="634"/>
      <c r="AN109" s="634"/>
      <c r="AO109" s="634"/>
      <c r="AP109" s="634"/>
      <c r="AQ109" s="634"/>
      <c r="AR109" s="634"/>
      <c r="AS109" s="634"/>
      <c r="AT109" s="634"/>
      <c r="AU109" s="634"/>
      <c r="AV109" s="634"/>
      <c r="AW109" s="634"/>
      <c r="AX109" s="634"/>
      <c r="AY109" s="634"/>
      <c r="AZ109" s="634"/>
      <c r="BA109" s="634"/>
      <c r="BB109" s="634"/>
    </row>
    <row r="110" spans="1:54" ht="12.75" customHeight="1">
      <c r="A110" s="626">
        <v>105</v>
      </c>
      <c r="B110" s="627"/>
      <c r="C110" s="651" t="s">
        <v>1027</v>
      </c>
      <c r="D110" s="652"/>
      <c r="E110" s="652"/>
      <c r="F110" s="652"/>
      <c r="G110" s="652"/>
      <c r="H110" s="652"/>
      <c r="I110" s="652"/>
      <c r="J110" s="652"/>
      <c r="K110" s="652"/>
      <c r="L110" s="652"/>
      <c r="M110" s="652"/>
      <c r="N110" s="652"/>
      <c r="O110" s="652"/>
      <c r="P110" s="652"/>
      <c r="Q110" s="652"/>
      <c r="R110" s="652"/>
      <c r="S110" s="652"/>
      <c r="T110" s="652"/>
      <c r="U110" s="653"/>
      <c r="V110" s="654" t="s">
        <v>1028</v>
      </c>
      <c r="W110" s="655"/>
      <c r="X110" s="656"/>
      <c r="Y110" s="663"/>
      <c r="Z110" s="663"/>
      <c r="AA110" s="663"/>
      <c r="AB110" s="663"/>
      <c r="AC110" s="663"/>
      <c r="AD110" s="663"/>
      <c r="AE110" s="663"/>
      <c r="AF110" s="663"/>
      <c r="AG110" s="663"/>
      <c r="AH110" s="663"/>
      <c r="AI110" s="663"/>
      <c r="AJ110" s="663"/>
      <c r="AK110" s="663"/>
      <c r="AL110" s="663"/>
      <c r="AM110" s="663"/>
      <c r="AN110" s="663"/>
      <c r="AO110" s="663"/>
      <c r="AP110" s="663"/>
      <c r="AQ110" s="663"/>
      <c r="AR110" s="663"/>
      <c r="AS110" s="663"/>
      <c r="AT110" s="663"/>
      <c r="AU110" s="663"/>
      <c r="AV110" s="663"/>
      <c r="AW110" s="663"/>
      <c r="AX110" s="663"/>
      <c r="AY110" s="663"/>
      <c r="AZ110" s="663"/>
      <c r="BA110" s="663"/>
      <c r="BB110" s="663"/>
    </row>
    <row r="111" spans="1:54" ht="12.75" customHeight="1">
      <c r="A111" s="626">
        <v>106</v>
      </c>
      <c r="B111" s="627"/>
      <c r="C111" s="651" t="s">
        <v>1029</v>
      </c>
      <c r="D111" s="652"/>
      <c r="E111" s="652"/>
      <c r="F111" s="652"/>
      <c r="G111" s="652"/>
      <c r="H111" s="652"/>
      <c r="I111" s="652"/>
      <c r="J111" s="652"/>
      <c r="K111" s="652"/>
      <c r="L111" s="652"/>
      <c r="M111" s="652"/>
      <c r="N111" s="652"/>
      <c r="O111" s="652"/>
      <c r="P111" s="652"/>
      <c r="Q111" s="652"/>
      <c r="R111" s="652"/>
      <c r="S111" s="652"/>
      <c r="T111" s="652"/>
      <c r="U111" s="653"/>
      <c r="V111" s="631" t="s">
        <v>1028</v>
      </c>
      <c r="W111" s="632"/>
      <c r="X111" s="633"/>
      <c r="Y111" s="663"/>
      <c r="Z111" s="663"/>
      <c r="AA111" s="663"/>
      <c r="AB111" s="663"/>
      <c r="AC111" s="663"/>
      <c r="AD111" s="663"/>
      <c r="AE111" s="663"/>
      <c r="AF111" s="663"/>
      <c r="AG111" s="663"/>
      <c r="AH111" s="663"/>
      <c r="AI111" s="663"/>
      <c r="AJ111" s="663"/>
      <c r="AK111" s="663"/>
      <c r="AL111" s="663"/>
      <c r="AM111" s="663"/>
      <c r="AN111" s="663"/>
      <c r="AO111" s="663"/>
      <c r="AP111" s="663"/>
      <c r="AQ111" s="663"/>
      <c r="AR111" s="663"/>
      <c r="AS111" s="663"/>
      <c r="AT111" s="663"/>
      <c r="AU111" s="663"/>
      <c r="AV111" s="663"/>
      <c r="AW111" s="663"/>
      <c r="AX111" s="663"/>
      <c r="AY111" s="663"/>
      <c r="AZ111" s="663"/>
      <c r="BA111" s="663"/>
      <c r="BB111" s="663"/>
    </row>
    <row r="112" spans="1:54" ht="25.5" customHeight="1">
      <c r="A112" s="626">
        <v>107</v>
      </c>
      <c r="B112" s="627"/>
      <c r="C112" s="651" t="s">
        <v>1030</v>
      </c>
      <c r="D112" s="652"/>
      <c r="E112" s="652"/>
      <c r="F112" s="652"/>
      <c r="G112" s="652"/>
      <c r="H112" s="652"/>
      <c r="I112" s="652"/>
      <c r="J112" s="652"/>
      <c r="K112" s="652"/>
      <c r="L112" s="652"/>
      <c r="M112" s="652"/>
      <c r="N112" s="652"/>
      <c r="O112" s="652"/>
      <c r="P112" s="652"/>
      <c r="Q112" s="652"/>
      <c r="R112" s="652"/>
      <c r="S112" s="652"/>
      <c r="T112" s="652"/>
      <c r="U112" s="653"/>
      <c r="V112" s="631" t="s">
        <v>1028</v>
      </c>
      <c r="W112" s="632"/>
      <c r="X112" s="633"/>
      <c r="Y112" s="663"/>
      <c r="Z112" s="663"/>
      <c r="AA112" s="663"/>
      <c r="AB112" s="663"/>
      <c r="AC112" s="663"/>
      <c r="AD112" s="663"/>
      <c r="AE112" s="663"/>
      <c r="AF112" s="663"/>
      <c r="AG112" s="663"/>
      <c r="AH112" s="663"/>
      <c r="AI112" s="663"/>
      <c r="AJ112" s="663"/>
      <c r="AK112" s="663"/>
      <c r="AL112" s="663"/>
      <c r="AM112" s="663"/>
      <c r="AN112" s="663"/>
      <c r="AO112" s="663"/>
      <c r="AP112" s="663"/>
      <c r="AQ112" s="663"/>
      <c r="AR112" s="663"/>
      <c r="AS112" s="663"/>
      <c r="AT112" s="663"/>
      <c r="AU112" s="663"/>
      <c r="AV112" s="663"/>
      <c r="AW112" s="663"/>
      <c r="AX112" s="663"/>
      <c r="AY112" s="663"/>
      <c r="AZ112" s="663"/>
      <c r="BA112" s="663"/>
      <c r="BB112" s="663"/>
    </row>
    <row r="113" spans="1:54" ht="25.5" customHeight="1">
      <c r="A113" s="626">
        <v>108</v>
      </c>
      <c r="B113" s="627"/>
      <c r="C113" s="651" t="s">
        <v>1031</v>
      </c>
      <c r="D113" s="652"/>
      <c r="E113" s="652"/>
      <c r="F113" s="652"/>
      <c r="G113" s="652"/>
      <c r="H113" s="652"/>
      <c r="I113" s="652"/>
      <c r="J113" s="652"/>
      <c r="K113" s="652"/>
      <c r="L113" s="652"/>
      <c r="M113" s="652"/>
      <c r="N113" s="652"/>
      <c r="O113" s="652"/>
      <c r="P113" s="652"/>
      <c r="Q113" s="652"/>
      <c r="R113" s="652"/>
      <c r="S113" s="652"/>
      <c r="T113" s="652"/>
      <c r="U113" s="653"/>
      <c r="V113" s="631" t="s">
        <v>1028</v>
      </c>
      <c r="W113" s="632"/>
      <c r="X113" s="633"/>
      <c r="Y113" s="663"/>
      <c r="Z113" s="663"/>
      <c r="AA113" s="663"/>
      <c r="AB113" s="663"/>
      <c r="AC113" s="663"/>
      <c r="AD113" s="663"/>
      <c r="AE113" s="663"/>
      <c r="AF113" s="663"/>
      <c r="AG113" s="663"/>
      <c r="AH113" s="663"/>
      <c r="AI113" s="663"/>
      <c r="AJ113" s="663"/>
      <c r="AK113" s="663"/>
      <c r="AL113" s="663"/>
      <c r="AM113" s="663"/>
      <c r="AN113" s="663"/>
      <c r="AO113" s="663"/>
      <c r="AP113" s="663"/>
      <c r="AQ113" s="663"/>
      <c r="AR113" s="663"/>
      <c r="AS113" s="663"/>
      <c r="AT113" s="663"/>
      <c r="AU113" s="663"/>
      <c r="AV113" s="663"/>
      <c r="AW113" s="663"/>
      <c r="AX113" s="663"/>
      <c r="AY113" s="663"/>
      <c r="AZ113" s="663"/>
      <c r="BA113" s="663"/>
      <c r="BB113" s="663"/>
    </row>
    <row r="114" spans="1:54" ht="12.75" customHeight="1">
      <c r="A114" s="626">
        <v>109</v>
      </c>
      <c r="B114" s="627"/>
      <c r="C114" s="651" t="s">
        <v>1032</v>
      </c>
      <c r="D114" s="652"/>
      <c r="E114" s="652"/>
      <c r="F114" s="652"/>
      <c r="G114" s="652"/>
      <c r="H114" s="652"/>
      <c r="I114" s="652"/>
      <c r="J114" s="652"/>
      <c r="K114" s="652"/>
      <c r="L114" s="652"/>
      <c r="M114" s="652"/>
      <c r="N114" s="652"/>
      <c r="O114" s="652"/>
      <c r="P114" s="652"/>
      <c r="Q114" s="652"/>
      <c r="R114" s="652"/>
      <c r="S114" s="652"/>
      <c r="T114" s="652"/>
      <c r="U114" s="653"/>
      <c r="V114" s="631" t="s">
        <v>1028</v>
      </c>
      <c r="W114" s="632"/>
      <c r="X114" s="633"/>
      <c r="Y114" s="663"/>
      <c r="Z114" s="663"/>
      <c r="AA114" s="663"/>
      <c r="AB114" s="663"/>
      <c r="AC114" s="663"/>
      <c r="AD114" s="663"/>
      <c r="AE114" s="663"/>
      <c r="AF114" s="663"/>
      <c r="AG114" s="663"/>
      <c r="AH114" s="663"/>
      <c r="AI114" s="663"/>
      <c r="AJ114" s="663"/>
      <c r="AK114" s="663"/>
      <c r="AL114" s="663"/>
      <c r="AM114" s="663"/>
      <c r="AN114" s="663"/>
      <c r="AO114" s="663"/>
      <c r="AP114" s="663"/>
      <c r="AQ114" s="663"/>
      <c r="AR114" s="663"/>
      <c r="AS114" s="663"/>
      <c r="AT114" s="663"/>
      <c r="AU114" s="663"/>
      <c r="AV114" s="663"/>
      <c r="AW114" s="663"/>
      <c r="AX114" s="663"/>
      <c r="AY114" s="663"/>
      <c r="AZ114" s="663"/>
      <c r="BA114" s="663"/>
      <c r="BB114" s="663"/>
    </row>
    <row r="115" spans="1:54" ht="12.75" customHeight="1">
      <c r="A115" s="626">
        <v>110</v>
      </c>
      <c r="B115" s="627"/>
      <c r="C115" s="651" t="s">
        <v>1033</v>
      </c>
      <c r="D115" s="652"/>
      <c r="E115" s="652"/>
      <c r="F115" s="652"/>
      <c r="G115" s="652"/>
      <c r="H115" s="652"/>
      <c r="I115" s="652"/>
      <c r="J115" s="652"/>
      <c r="K115" s="652"/>
      <c r="L115" s="652"/>
      <c r="M115" s="652"/>
      <c r="N115" s="652"/>
      <c r="O115" s="652"/>
      <c r="P115" s="652"/>
      <c r="Q115" s="652"/>
      <c r="R115" s="652"/>
      <c r="S115" s="652"/>
      <c r="T115" s="652"/>
      <c r="U115" s="653"/>
      <c r="V115" s="631" t="s">
        <v>1028</v>
      </c>
      <c r="W115" s="632"/>
      <c r="X115" s="633"/>
      <c r="Y115" s="663"/>
      <c r="Z115" s="663"/>
      <c r="AA115" s="663"/>
      <c r="AB115" s="663"/>
      <c r="AC115" s="663"/>
      <c r="AD115" s="663"/>
      <c r="AE115" s="663"/>
      <c r="AF115" s="663"/>
      <c r="AG115" s="663"/>
      <c r="AH115" s="663"/>
      <c r="AI115" s="663"/>
      <c r="AJ115" s="663"/>
      <c r="AK115" s="663"/>
      <c r="AL115" s="663"/>
      <c r="AM115" s="663"/>
      <c r="AN115" s="663"/>
      <c r="AO115" s="663"/>
      <c r="AP115" s="663"/>
      <c r="AQ115" s="663"/>
      <c r="AR115" s="663"/>
      <c r="AS115" s="663"/>
      <c r="AT115" s="663"/>
      <c r="AU115" s="663"/>
      <c r="AV115" s="663"/>
      <c r="AW115" s="663"/>
      <c r="AX115" s="663"/>
      <c r="AY115" s="663"/>
      <c r="AZ115" s="663"/>
      <c r="BA115" s="663"/>
      <c r="BB115" s="663"/>
    </row>
    <row r="116" spans="1:54" ht="25.5" customHeight="1">
      <c r="A116" s="626">
        <v>111</v>
      </c>
      <c r="B116" s="627"/>
      <c r="C116" s="651" t="s">
        <v>1034</v>
      </c>
      <c r="D116" s="652"/>
      <c r="E116" s="652"/>
      <c r="F116" s="652"/>
      <c r="G116" s="652"/>
      <c r="H116" s="652"/>
      <c r="I116" s="652"/>
      <c r="J116" s="652"/>
      <c r="K116" s="652"/>
      <c r="L116" s="652"/>
      <c r="M116" s="652"/>
      <c r="N116" s="652"/>
      <c r="O116" s="652"/>
      <c r="P116" s="652"/>
      <c r="Q116" s="652"/>
      <c r="R116" s="652"/>
      <c r="S116" s="652"/>
      <c r="T116" s="652"/>
      <c r="U116" s="653"/>
      <c r="V116" s="631" t="s">
        <v>1028</v>
      </c>
      <c r="W116" s="632"/>
      <c r="X116" s="633"/>
      <c r="Y116" s="663"/>
      <c r="Z116" s="663"/>
      <c r="AA116" s="663"/>
      <c r="AB116" s="663"/>
      <c r="AC116" s="663"/>
      <c r="AD116" s="663"/>
      <c r="AE116" s="663"/>
      <c r="AF116" s="663"/>
      <c r="AG116" s="663"/>
      <c r="AH116" s="663"/>
      <c r="AI116" s="663"/>
      <c r="AJ116" s="663"/>
      <c r="AK116" s="663"/>
      <c r="AL116" s="663"/>
      <c r="AM116" s="663"/>
      <c r="AN116" s="663"/>
      <c r="AO116" s="663"/>
      <c r="AP116" s="663"/>
      <c r="AQ116" s="663"/>
      <c r="AR116" s="663"/>
      <c r="AS116" s="663"/>
      <c r="AT116" s="663"/>
      <c r="AU116" s="663"/>
      <c r="AV116" s="663"/>
      <c r="AW116" s="663"/>
      <c r="AX116" s="663"/>
      <c r="AY116" s="663"/>
      <c r="AZ116" s="663"/>
      <c r="BA116" s="663"/>
      <c r="BB116" s="663"/>
    </row>
    <row r="117" spans="1:54" ht="25.5" customHeight="1">
      <c r="A117" s="626">
        <v>112</v>
      </c>
      <c r="B117" s="627"/>
      <c r="C117" s="651" t="s">
        <v>1035</v>
      </c>
      <c r="D117" s="652"/>
      <c r="E117" s="652"/>
      <c r="F117" s="652"/>
      <c r="G117" s="652"/>
      <c r="H117" s="652"/>
      <c r="I117" s="652"/>
      <c r="J117" s="652"/>
      <c r="K117" s="652"/>
      <c r="L117" s="652"/>
      <c r="M117" s="652"/>
      <c r="N117" s="652"/>
      <c r="O117" s="652"/>
      <c r="P117" s="652"/>
      <c r="Q117" s="652"/>
      <c r="R117" s="652"/>
      <c r="S117" s="652"/>
      <c r="T117" s="652"/>
      <c r="U117" s="653"/>
      <c r="V117" s="631" t="s">
        <v>1028</v>
      </c>
      <c r="W117" s="632"/>
      <c r="X117" s="633"/>
      <c r="Y117" s="663"/>
      <c r="Z117" s="663"/>
      <c r="AA117" s="663"/>
      <c r="AB117" s="663"/>
      <c r="AC117" s="663"/>
      <c r="AD117" s="663"/>
      <c r="AE117" s="663"/>
      <c r="AF117" s="663"/>
      <c r="AG117" s="663"/>
      <c r="AH117" s="663"/>
      <c r="AI117" s="663"/>
      <c r="AJ117" s="663"/>
      <c r="AK117" s="663"/>
      <c r="AL117" s="663"/>
      <c r="AM117" s="663"/>
      <c r="AN117" s="663"/>
      <c r="AO117" s="663"/>
      <c r="AP117" s="663"/>
      <c r="AQ117" s="663"/>
      <c r="AR117" s="663"/>
      <c r="AS117" s="663"/>
      <c r="AT117" s="663"/>
      <c r="AU117" s="663"/>
      <c r="AV117" s="663"/>
      <c r="AW117" s="663"/>
      <c r="AX117" s="663"/>
      <c r="AY117" s="663"/>
      <c r="AZ117" s="663"/>
      <c r="BA117" s="663"/>
      <c r="BB117" s="663"/>
    </row>
    <row r="118" spans="1:54" ht="39" customHeight="1">
      <c r="A118" s="626">
        <v>113</v>
      </c>
      <c r="B118" s="627"/>
      <c r="C118" s="651" t="s">
        <v>1036</v>
      </c>
      <c r="D118" s="652"/>
      <c r="E118" s="652"/>
      <c r="F118" s="652"/>
      <c r="G118" s="652"/>
      <c r="H118" s="652"/>
      <c r="I118" s="652"/>
      <c r="J118" s="652"/>
      <c r="K118" s="652"/>
      <c r="L118" s="652"/>
      <c r="M118" s="652"/>
      <c r="N118" s="652"/>
      <c r="O118" s="652"/>
      <c r="P118" s="652"/>
      <c r="Q118" s="652"/>
      <c r="R118" s="652"/>
      <c r="S118" s="652"/>
      <c r="T118" s="652"/>
      <c r="U118" s="653"/>
      <c r="V118" s="631" t="s">
        <v>1028</v>
      </c>
      <c r="W118" s="632"/>
      <c r="X118" s="633"/>
      <c r="Y118" s="663"/>
      <c r="Z118" s="663"/>
      <c r="AA118" s="663"/>
      <c r="AB118" s="663"/>
      <c r="AC118" s="663"/>
      <c r="AD118" s="663"/>
      <c r="AE118" s="663"/>
      <c r="AF118" s="663"/>
      <c r="AG118" s="663"/>
      <c r="AH118" s="663"/>
      <c r="AI118" s="663"/>
      <c r="AJ118" s="663"/>
      <c r="AK118" s="663"/>
      <c r="AL118" s="663"/>
      <c r="AM118" s="663"/>
      <c r="AN118" s="663"/>
      <c r="AO118" s="663"/>
      <c r="AP118" s="663"/>
      <c r="AQ118" s="663"/>
      <c r="AR118" s="663"/>
      <c r="AS118" s="663"/>
      <c r="AT118" s="663"/>
      <c r="AU118" s="663"/>
      <c r="AV118" s="663"/>
      <c r="AW118" s="663"/>
      <c r="AX118" s="663"/>
      <c r="AY118" s="663"/>
      <c r="AZ118" s="663"/>
      <c r="BA118" s="663"/>
      <c r="BB118" s="663"/>
    </row>
    <row r="119" spans="1:54" ht="25.5" customHeight="1">
      <c r="A119" s="626">
        <v>114</v>
      </c>
      <c r="B119" s="627"/>
      <c r="C119" s="651" t="s">
        <v>1037</v>
      </c>
      <c r="D119" s="652"/>
      <c r="E119" s="652"/>
      <c r="F119" s="652"/>
      <c r="G119" s="652"/>
      <c r="H119" s="652"/>
      <c r="I119" s="652"/>
      <c r="J119" s="652"/>
      <c r="K119" s="652"/>
      <c r="L119" s="652"/>
      <c r="M119" s="652"/>
      <c r="N119" s="652"/>
      <c r="O119" s="652"/>
      <c r="P119" s="652"/>
      <c r="Q119" s="652"/>
      <c r="R119" s="652"/>
      <c r="S119" s="652"/>
      <c r="T119" s="652"/>
      <c r="U119" s="653"/>
      <c r="V119" s="631" t="s">
        <v>1028</v>
      </c>
      <c r="W119" s="632"/>
      <c r="X119" s="633"/>
      <c r="Y119" s="663"/>
      <c r="Z119" s="663"/>
      <c r="AA119" s="663"/>
      <c r="AB119" s="663"/>
      <c r="AC119" s="663"/>
      <c r="AD119" s="663"/>
      <c r="AE119" s="663"/>
      <c r="AF119" s="663"/>
      <c r="AG119" s="663"/>
      <c r="AH119" s="663"/>
      <c r="AI119" s="663"/>
      <c r="AJ119" s="663"/>
      <c r="AK119" s="663"/>
      <c r="AL119" s="663"/>
      <c r="AM119" s="663"/>
      <c r="AN119" s="663"/>
      <c r="AO119" s="663"/>
      <c r="AP119" s="663"/>
      <c r="AQ119" s="663"/>
      <c r="AR119" s="663"/>
      <c r="AS119" s="663"/>
      <c r="AT119" s="663"/>
      <c r="AU119" s="663"/>
      <c r="AV119" s="663"/>
      <c r="AW119" s="663"/>
      <c r="AX119" s="663"/>
      <c r="AY119" s="663"/>
      <c r="AZ119" s="663"/>
      <c r="BA119" s="663"/>
      <c r="BB119" s="663"/>
    </row>
    <row r="120" spans="1:54" ht="25.5" customHeight="1">
      <c r="A120" s="626">
        <v>115</v>
      </c>
      <c r="B120" s="627"/>
      <c r="C120" s="651" t="s">
        <v>1038</v>
      </c>
      <c r="D120" s="652"/>
      <c r="E120" s="652"/>
      <c r="F120" s="652"/>
      <c r="G120" s="652"/>
      <c r="H120" s="652"/>
      <c r="I120" s="652"/>
      <c r="J120" s="652"/>
      <c r="K120" s="652"/>
      <c r="L120" s="652"/>
      <c r="M120" s="652"/>
      <c r="N120" s="652"/>
      <c r="O120" s="652"/>
      <c r="P120" s="652"/>
      <c r="Q120" s="652"/>
      <c r="R120" s="652"/>
      <c r="S120" s="652"/>
      <c r="T120" s="652"/>
      <c r="U120" s="653"/>
      <c r="V120" s="631" t="s">
        <v>1028</v>
      </c>
      <c r="W120" s="632"/>
      <c r="X120" s="633"/>
      <c r="Y120" s="663"/>
      <c r="Z120" s="663"/>
      <c r="AA120" s="663"/>
      <c r="AB120" s="663"/>
      <c r="AC120" s="663"/>
      <c r="AD120" s="663"/>
      <c r="AE120" s="663"/>
      <c r="AF120" s="663"/>
      <c r="AG120" s="663"/>
      <c r="AH120" s="663"/>
      <c r="AI120" s="663"/>
      <c r="AJ120" s="663"/>
      <c r="AK120" s="663"/>
      <c r="AL120" s="663"/>
      <c r="AM120" s="663"/>
      <c r="AN120" s="663"/>
      <c r="AO120" s="663"/>
      <c r="AP120" s="663"/>
      <c r="AQ120" s="663"/>
      <c r="AR120" s="663"/>
      <c r="AS120" s="663"/>
      <c r="AT120" s="663"/>
      <c r="AU120" s="663"/>
      <c r="AV120" s="663"/>
      <c r="AW120" s="663"/>
      <c r="AX120" s="663"/>
      <c r="AY120" s="663"/>
      <c r="AZ120" s="663"/>
      <c r="BA120" s="663"/>
      <c r="BB120" s="663"/>
    </row>
    <row r="121" spans="1:54" ht="12.75" customHeight="1">
      <c r="A121" s="626">
        <v>116</v>
      </c>
      <c r="B121" s="627"/>
      <c r="C121" s="651" t="s">
        <v>1039</v>
      </c>
      <c r="D121" s="652"/>
      <c r="E121" s="652"/>
      <c r="F121" s="652"/>
      <c r="G121" s="652"/>
      <c r="H121" s="652"/>
      <c r="I121" s="652"/>
      <c r="J121" s="652"/>
      <c r="K121" s="652"/>
      <c r="L121" s="652"/>
      <c r="M121" s="652"/>
      <c r="N121" s="652"/>
      <c r="O121" s="652"/>
      <c r="P121" s="652"/>
      <c r="Q121" s="652"/>
      <c r="R121" s="652"/>
      <c r="S121" s="652"/>
      <c r="T121" s="652"/>
      <c r="U121" s="653"/>
      <c r="V121" s="631" t="s">
        <v>1028</v>
      </c>
      <c r="W121" s="632"/>
      <c r="X121" s="633"/>
      <c r="Y121" s="663"/>
      <c r="Z121" s="663"/>
      <c r="AA121" s="663"/>
      <c r="AB121" s="663"/>
      <c r="AC121" s="663"/>
      <c r="AD121" s="663"/>
      <c r="AE121" s="663"/>
      <c r="AF121" s="663"/>
      <c r="AG121" s="663"/>
      <c r="AH121" s="663"/>
      <c r="AI121" s="663"/>
      <c r="AJ121" s="663"/>
      <c r="AK121" s="663"/>
      <c r="AL121" s="663"/>
      <c r="AM121" s="663"/>
      <c r="AN121" s="663"/>
      <c r="AO121" s="663"/>
      <c r="AP121" s="663"/>
      <c r="AQ121" s="663"/>
      <c r="AR121" s="663"/>
      <c r="AS121" s="663"/>
      <c r="AT121" s="663"/>
      <c r="AU121" s="663"/>
      <c r="AV121" s="663"/>
      <c r="AW121" s="663"/>
      <c r="AX121" s="663"/>
      <c r="AY121" s="663"/>
      <c r="AZ121" s="663"/>
      <c r="BA121" s="663"/>
      <c r="BB121" s="663"/>
    </row>
    <row r="122" spans="1:54" ht="25.5" customHeight="1">
      <c r="A122" s="626">
        <v>117</v>
      </c>
      <c r="B122" s="627"/>
      <c r="C122" s="651" t="s">
        <v>1040</v>
      </c>
      <c r="D122" s="652"/>
      <c r="E122" s="652"/>
      <c r="F122" s="652"/>
      <c r="G122" s="652"/>
      <c r="H122" s="652"/>
      <c r="I122" s="652"/>
      <c r="J122" s="652"/>
      <c r="K122" s="652"/>
      <c r="L122" s="652"/>
      <c r="M122" s="652"/>
      <c r="N122" s="652"/>
      <c r="O122" s="652"/>
      <c r="P122" s="652"/>
      <c r="Q122" s="652"/>
      <c r="R122" s="652"/>
      <c r="S122" s="652"/>
      <c r="T122" s="652"/>
      <c r="U122" s="653"/>
      <c r="V122" s="631" t="s">
        <v>1028</v>
      </c>
      <c r="W122" s="632"/>
      <c r="X122" s="633"/>
      <c r="Y122" s="663"/>
      <c r="Z122" s="663"/>
      <c r="AA122" s="663"/>
      <c r="AB122" s="663"/>
      <c r="AC122" s="663"/>
      <c r="AD122" s="663"/>
      <c r="AE122" s="663"/>
      <c r="AF122" s="663"/>
      <c r="AG122" s="663"/>
      <c r="AH122" s="663"/>
      <c r="AI122" s="663"/>
      <c r="AJ122" s="663"/>
      <c r="AK122" s="663"/>
      <c r="AL122" s="663"/>
      <c r="AM122" s="663"/>
      <c r="AN122" s="663"/>
      <c r="AO122" s="663"/>
      <c r="AP122" s="663"/>
      <c r="AQ122" s="663"/>
      <c r="AR122" s="663"/>
      <c r="AS122" s="663"/>
      <c r="AT122" s="663"/>
      <c r="AU122" s="663"/>
      <c r="AV122" s="663"/>
      <c r="AW122" s="663"/>
      <c r="AX122" s="663"/>
      <c r="AY122" s="663"/>
      <c r="AZ122" s="663"/>
      <c r="BA122" s="663"/>
      <c r="BB122" s="663"/>
    </row>
    <row r="123" spans="1:54" ht="12.75" customHeight="1">
      <c r="A123" s="626">
        <v>118</v>
      </c>
      <c r="B123" s="627"/>
      <c r="C123" s="651" t="s">
        <v>1041</v>
      </c>
      <c r="D123" s="652"/>
      <c r="E123" s="652"/>
      <c r="F123" s="652"/>
      <c r="G123" s="652"/>
      <c r="H123" s="652"/>
      <c r="I123" s="652"/>
      <c r="J123" s="652"/>
      <c r="K123" s="652"/>
      <c r="L123" s="652"/>
      <c r="M123" s="652"/>
      <c r="N123" s="652"/>
      <c r="O123" s="652"/>
      <c r="P123" s="652"/>
      <c r="Q123" s="652"/>
      <c r="R123" s="652"/>
      <c r="S123" s="652"/>
      <c r="T123" s="652"/>
      <c r="U123" s="653"/>
      <c r="V123" s="631" t="s">
        <v>1028</v>
      </c>
      <c r="W123" s="632"/>
      <c r="X123" s="633"/>
      <c r="Y123" s="663"/>
      <c r="Z123" s="663"/>
      <c r="AA123" s="663"/>
      <c r="AB123" s="663"/>
      <c r="AC123" s="663"/>
      <c r="AD123" s="663"/>
      <c r="AE123" s="663"/>
      <c r="AF123" s="663"/>
      <c r="AG123" s="663"/>
      <c r="AH123" s="663"/>
      <c r="AI123" s="663"/>
      <c r="AJ123" s="663"/>
      <c r="AK123" s="663"/>
      <c r="AL123" s="663"/>
      <c r="AM123" s="663"/>
      <c r="AN123" s="663"/>
      <c r="AO123" s="663"/>
      <c r="AP123" s="663"/>
      <c r="AQ123" s="663"/>
      <c r="AR123" s="663"/>
      <c r="AS123" s="663"/>
      <c r="AT123" s="663"/>
      <c r="AU123" s="663"/>
      <c r="AV123" s="663"/>
      <c r="AW123" s="663"/>
      <c r="AX123" s="663"/>
      <c r="AY123" s="663"/>
      <c r="AZ123" s="663"/>
      <c r="BA123" s="663"/>
      <c r="BB123" s="663"/>
    </row>
    <row r="124" spans="1:54" ht="12.75" customHeight="1">
      <c r="A124" s="626">
        <v>119</v>
      </c>
      <c r="B124" s="627"/>
      <c r="C124" s="651" t="s">
        <v>1042</v>
      </c>
      <c r="D124" s="652"/>
      <c r="E124" s="652"/>
      <c r="F124" s="652"/>
      <c r="G124" s="652"/>
      <c r="H124" s="652"/>
      <c r="I124" s="652"/>
      <c r="J124" s="652"/>
      <c r="K124" s="652"/>
      <c r="L124" s="652"/>
      <c r="M124" s="652"/>
      <c r="N124" s="652"/>
      <c r="O124" s="652"/>
      <c r="P124" s="652"/>
      <c r="Q124" s="652"/>
      <c r="R124" s="652"/>
      <c r="S124" s="652"/>
      <c r="T124" s="652"/>
      <c r="U124" s="653"/>
      <c r="V124" s="631" t="s">
        <v>1028</v>
      </c>
      <c r="W124" s="632"/>
      <c r="X124" s="633"/>
      <c r="Y124" s="663"/>
      <c r="Z124" s="663"/>
      <c r="AA124" s="663"/>
      <c r="AB124" s="663"/>
      <c r="AC124" s="663"/>
      <c r="AD124" s="663"/>
      <c r="AE124" s="663"/>
      <c r="AF124" s="663"/>
      <c r="AG124" s="663"/>
      <c r="AH124" s="663"/>
      <c r="AI124" s="663"/>
      <c r="AJ124" s="663"/>
      <c r="AK124" s="663"/>
      <c r="AL124" s="663"/>
      <c r="AM124" s="663"/>
      <c r="AN124" s="663"/>
      <c r="AO124" s="663"/>
      <c r="AP124" s="663"/>
      <c r="AQ124" s="663"/>
      <c r="AR124" s="663"/>
      <c r="AS124" s="663"/>
      <c r="AT124" s="663"/>
      <c r="AU124" s="663"/>
      <c r="AV124" s="663"/>
      <c r="AW124" s="663"/>
      <c r="AX124" s="663"/>
      <c r="AY124" s="663"/>
      <c r="AZ124" s="663"/>
      <c r="BA124" s="663"/>
      <c r="BB124" s="663"/>
    </row>
    <row r="125" spans="1:54" ht="25.5" customHeight="1">
      <c r="A125" s="626">
        <v>120</v>
      </c>
      <c r="B125" s="627"/>
      <c r="C125" s="651" t="s">
        <v>1043</v>
      </c>
      <c r="D125" s="652"/>
      <c r="E125" s="652"/>
      <c r="F125" s="652"/>
      <c r="G125" s="652"/>
      <c r="H125" s="652"/>
      <c r="I125" s="652"/>
      <c r="J125" s="652"/>
      <c r="K125" s="652"/>
      <c r="L125" s="652"/>
      <c r="M125" s="652"/>
      <c r="N125" s="652"/>
      <c r="O125" s="652"/>
      <c r="P125" s="652"/>
      <c r="Q125" s="652"/>
      <c r="R125" s="652"/>
      <c r="S125" s="652"/>
      <c r="T125" s="652"/>
      <c r="U125" s="653"/>
      <c r="V125" s="631" t="s">
        <v>1028</v>
      </c>
      <c r="W125" s="632"/>
      <c r="X125" s="633"/>
      <c r="Y125" s="634"/>
      <c r="Z125" s="634"/>
      <c r="AA125" s="634"/>
      <c r="AB125" s="634"/>
      <c r="AC125" s="634"/>
      <c r="AD125" s="634"/>
      <c r="AE125" s="634"/>
      <c r="AF125" s="634"/>
      <c r="AG125" s="634"/>
      <c r="AH125" s="634"/>
      <c r="AI125" s="634"/>
      <c r="AJ125" s="634"/>
      <c r="AK125" s="634"/>
      <c r="AL125" s="634"/>
      <c r="AM125" s="634"/>
      <c r="AN125" s="634"/>
      <c r="AO125" s="634"/>
      <c r="AP125" s="634"/>
      <c r="AQ125" s="634"/>
      <c r="AR125" s="634"/>
      <c r="AS125" s="634"/>
      <c r="AT125" s="634"/>
      <c r="AU125" s="634"/>
      <c r="AV125" s="634"/>
      <c r="AW125" s="634"/>
      <c r="AX125" s="634"/>
      <c r="AY125" s="634"/>
      <c r="AZ125" s="634"/>
      <c r="BA125" s="634"/>
      <c r="BB125" s="634"/>
    </row>
    <row r="126" spans="1:54" ht="12.75" customHeight="1">
      <c r="A126" s="626">
        <v>121</v>
      </c>
      <c r="B126" s="627"/>
      <c r="C126" s="657" t="s">
        <v>1044</v>
      </c>
      <c r="D126" s="658"/>
      <c r="E126" s="658"/>
      <c r="F126" s="658"/>
      <c r="G126" s="658"/>
      <c r="H126" s="658"/>
      <c r="I126" s="658"/>
      <c r="J126" s="658"/>
      <c r="K126" s="658"/>
      <c r="L126" s="658"/>
      <c r="M126" s="658"/>
      <c r="N126" s="658"/>
      <c r="O126" s="658"/>
      <c r="P126" s="658"/>
      <c r="Q126" s="658"/>
      <c r="R126" s="658"/>
      <c r="S126" s="658"/>
      <c r="T126" s="658"/>
      <c r="U126" s="659"/>
      <c r="V126" s="631" t="s">
        <v>1028</v>
      </c>
      <c r="W126" s="632"/>
      <c r="X126" s="633"/>
      <c r="Y126" s="634"/>
      <c r="Z126" s="634"/>
      <c r="AA126" s="634"/>
      <c r="AB126" s="634"/>
      <c r="AC126" s="634"/>
      <c r="AD126" s="634"/>
      <c r="AE126" s="634"/>
      <c r="AF126" s="634"/>
      <c r="AG126" s="634"/>
      <c r="AH126" s="634"/>
      <c r="AI126" s="634"/>
      <c r="AJ126" s="634"/>
      <c r="AK126" s="634"/>
      <c r="AL126" s="634"/>
      <c r="AM126" s="634"/>
      <c r="AN126" s="634"/>
      <c r="AO126" s="634"/>
      <c r="AP126" s="634"/>
      <c r="AQ126" s="634"/>
      <c r="AR126" s="634"/>
      <c r="AS126" s="634"/>
      <c r="AT126" s="634"/>
      <c r="AU126" s="634"/>
      <c r="AV126" s="634"/>
      <c r="AW126" s="634"/>
      <c r="AX126" s="634"/>
      <c r="AY126" s="634"/>
      <c r="AZ126" s="634"/>
      <c r="BA126" s="634"/>
      <c r="BB126" s="634"/>
    </row>
    <row r="127" spans="1:54" ht="25.5" customHeight="1">
      <c r="A127" s="626">
        <v>122</v>
      </c>
      <c r="B127" s="627"/>
      <c r="C127" s="657" t="s">
        <v>1045</v>
      </c>
      <c r="D127" s="658"/>
      <c r="E127" s="658"/>
      <c r="F127" s="658"/>
      <c r="G127" s="658"/>
      <c r="H127" s="658"/>
      <c r="I127" s="658"/>
      <c r="J127" s="658"/>
      <c r="K127" s="658"/>
      <c r="L127" s="658"/>
      <c r="M127" s="658"/>
      <c r="N127" s="658"/>
      <c r="O127" s="658"/>
      <c r="P127" s="658"/>
      <c r="Q127" s="658"/>
      <c r="R127" s="658"/>
      <c r="S127" s="658"/>
      <c r="T127" s="658"/>
      <c r="U127" s="659"/>
      <c r="V127" s="631" t="s">
        <v>1028</v>
      </c>
      <c r="W127" s="632"/>
      <c r="X127" s="633"/>
      <c r="Y127" s="634"/>
      <c r="Z127" s="634"/>
      <c r="AA127" s="634"/>
      <c r="AB127" s="634"/>
      <c r="AC127" s="634"/>
      <c r="AD127" s="634"/>
      <c r="AE127" s="634"/>
      <c r="AF127" s="634"/>
      <c r="AG127" s="634"/>
      <c r="AH127" s="634"/>
      <c r="AI127" s="634"/>
      <c r="AJ127" s="634"/>
      <c r="AK127" s="634"/>
      <c r="AL127" s="634"/>
      <c r="AM127" s="634"/>
      <c r="AN127" s="634"/>
      <c r="AO127" s="634"/>
      <c r="AP127" s="634"/>
      <c r="AQ127" s="634"/>
      <c r="AR127" s="634"/>
      <c r="AS127" s="634"/>
      <c r="AT127" s="634"/>
      <c r="AU127" s="634"/>
      <c r="AV127" s="634"/>
      <c r="AW127" s="634"/>
      <c r="AX127" s="634"/>
      <c r="AY127" s="634"/>
      <c r="AZ127" s="634"/>
      <c r="BA127" s="634"/>
      <c r="BB127" s="634"/>
    </row>
    <row r="128" spans="1:54" ht="25.5" customHeight="1">
      <c r="A128" s="626">
        <v>123</v>
      </c>
      <c r="B128" s="627"/>
      <c r="C128" s="657" t="s">
        <v>1046</v>
      </c>
      <c r="D128" s="658"/>
      <c r="E128" s="658"/>
      <c r="F128" s="658"/>
      <c r="G128" s="658"/>
      <c r="H128" s="658"/>
      <c r="I128" s="658"/>
      <c r="J128" s="658"/>
      <c r="K128" s="658"/>
      <c r="L128" s="658"/>
      <c r="M128" s="658"/>
      <c r="N128" s="658"/>
      <c r="O128" s="658"/>
      <c r="P128" s="658"/>
      <c r="Q128" s="658"/>
      <c r="R128" s="658"/>
      <c r="S128" s="658"/>
      <c r="T128" s="658"/>
      <c r="U128" s="659"/>
      <c r="V128" s="631" t="s">
        <v>1028</v>
      </c>
      <c r="W128" s="632"/>
      <c r="X128" s="633"/>
      <c r="Y128" s="634"/>
      <c r="Z128" s="634"/>
      <c r="AA128" s="634"/>
      <c r="AB128" s="634"/>
      <c r="AC128" s="634"/>
      <c r="AD128" s="634"/>
      <c r="AE128" s="634"/>
      <c r="AF128" s="634"/>
      <c r="AG128" s="634"/>
      <c r="AH128" s="634"/>
      <c r="AI128" s="634"/>
      <c r="AJ128" s="634"/>
      <c r="AK128" s="634"/>
      <c r="AL128" s="634"/>
      <c r="AM128" s="634"/>
      <c r="AN128" s="634"/>
      <c r="AO128" s="634"/>
      <c r="AP128" s="634"/>
      <c r="AQ128" s="634"/>
      <c r="AR128" s="634"/>
      <c r="AS128" s="634"/>
      <c r="AT128" s="634"/>
      <c r="AU128" s="634"/>
      <c r="AV128" s="634"/>
      <c r="AW128" s="634"/>
      <c r="AX128" s="634"/>
      <c r="AY128" s="634"/>
      <c r="AZ128" s="634"/>
      <c r="BA128" s="634"/>
      <c r="BB128" s="634"/>
    </row>
    <row r="129" spans="1:54" ht="25.5" customHeight="1">
      <c r="A129" s="626">
        <v>124</v>
      </c>
      <c r="B129" s="627"/>
      <c r="C129" s="657" t="s">
        <v>1047</v>
      </c>
      <c r="D129" s="658"/>
      <c r="E129" s="658"/>
      <c r="F129" s="658"/>
      <c r="G129" s="658"/>
      <c r="H129" s="658"/>
      <c r="I129" s="658"/>
      <c r="J129" s="658"/>
      <c r="K129" s="658"/>
      <c r="L129" s="658"/>
      <c r="M129" s="658"/>
      <c r="N129" s="658"/>
      <c r="O129" s="658"/>
      <c r="P129" s="658"/>
      <c r="Q129" s="658"/>
      <c r="R129" s="658"/>
      <c r="S129" s="658"/>
      <c r="T129" s="658"/>
      <c r="U129" s="659"/>
      <c r="V129" s="631" t="s">
        <v>1028</v>
      </c>
      <c r="W129" s="632"/>
      <c r="X129" s="633"/>
      <c r="Y129" s="634"/>
      <c r="Z129" s="634"/>
      <c r="AA129" s="634"/>
      <c r="AB129" s="634"/>
      <c r="AC129" s="634"/>
      <c r="AD129" s="634"/>
      <c r="AE129" s="634"/>
      <c r="AF129" s="634"/>
      <c r="AG129" s="634"/>
      <c r="AH129" s="634"/>
      <c r="AI129" s="634"/>
      <c r="AJ129" s="634"/>
      <c r="AK129" s="634"/>
      <c r="AL129" s="634"/>
      <c r="AM129" s="634"/>
      <c r="AN129" s="634"/>
      <c r="AO129" s="634"/>
      <c r="AP129" s="634"/>
      <c r="AQ129" s="634"/>
      <c r="AR129" s="634"/>
      <c r="AS129" s="634"/>
      <c r="AT129" s="634"/>
      <c r="AU129" s="634"/>
      <c r="AV129" s="634"/>
      <c r="AW129" s="634"/>
      <c r="AX129" s="634"/>
      <c r="AY129" s="634"/>
      <c r="AZ129" s="634"/>
      <c r="BA129" s="634"/>
      <c r="BB129" s="634"/>
    </row>
    <row r="130" spans="1:54" ht="12.75" customHeight="1">
      <c r="A130" s="626">
        <v>125</v>
      </c>
      <c r="B130" s="627"/>
      <c r="C130" s="657" t="s">
        <v>1048</v>
      </c>
      <c r="D130" s="658"/>
      <c r="E130" s="658"/>
      <c r="F130" s="658"/>
      <c r="G130" s="658"/>
      <c r="H130" s="658"/>
      <c r="I130" s="658"/>
      <c r="J130" s="658"/>
      <c r="K130" s="658"/>
      <c r="L130" s="658"/>
      <c r="M130" s="658"/>
      <c r="N130" s="658"/>
      <c r="O130" s="658"/>
      <c r="P130" s="658"/>
      <c r="Q130" s="658"/>
      <c r="R130" s="658"/>
      <c r="S130" s="658"/>
      <c r="T130" s="658"/>
      <c r="U130" s="659"/>
      <c r="V130" s="631" t="s">
        <v>1028</v>
      </c>
      <c r="W130" s="632"/>
      <c r="X130" s="633"/>
      <c r="Y130" s="634"/>
      <c r="Z130" s="634"/>
      <c r="AA130" s="634"/>
      <c r="AB130" s="634"/>
      <c r="AC130" s="634"/>
      <c r="AD130" s="634"/>
      <c r="AE130" s="634"/>
      <c r="AF130" s="634"/>
      <c r="AG130" s="634"/>
      <c r="AH130" s="634"/>
      <c r="AI130" s="634"/>
      <c r="AJ130" s="634"/>
      <c r="AK130" s="634"/>
      <c r="AL130" s="634"/>
      <c r="AM130" s="634"/>
      <c r="AN130" s="634"/>
      <c r="AO130" s="634"/>
      <c r="AP130" s="634"/>
      <c r="AQ130" s="634"/>
      <c r="AR130" s="634"/>
      <c r="AS130" s="634"/>
      <c r="AT130" s="634"/>
      <c r="AU130" s="634"/>
      <c r="AV130" s="634"/>
      <c r="AW130" s="634"/>
      <c r="AX130" s="634"/>
      <c r="AY130" s="634"/>
      <c r="AZ130" s="634"/>
      <c r="BA130" s="634"/>
      <c r="BB130" s="634"/>
    </row>
    <row r="131" spans="1:54" ht="25.5" customHeight="1">
      <c r="A131" s="626">
        <v>126</v>
      </c>
      <c r="B131" s="627"/>
      <c r="C131" s="657" t="s">
        <v>1049</v>
      </c>
      <c r="D131" s="658"/>
      <c r="E131" s="658"/>
      <c r="F131" s="658"/>
      <c r="G131" s="658"/>
      <c r="H131" s="658"/>
      <c r="I131" s="658"/>
      <c r="J131" s="658"/>
      <c r="K131" s="658"/>
      <c r="L131" s="658"/>
      <c r="M131" s="658"/>
      <c r="N131" s="658"/>
      <c r="O131" s="658"/>
      <c r="P131" s="658"/>
      <c r="Q131" s="658"/>
      <c r="R131" s="658"/>
      <c r="S131" s="658"/>
      <c r="T131" s="658"/>
      <c r="U131" s="659"/>
      <c r="V131" s="631" t="s">
        <v>1028</v>
      </c>
      <c r="W131" s="632"/>
      <c r="X131" s="633"/>
      <c r="Y131" s="634"/>
      <c r="Z131" s="634"/>
      <c r="AA131" s="634"/>
      <c r="AB131" s="634"/>
      <c r="AC131" s="634"/>
      <c r="AD131" s="634"/>
      <c r="AE131" s="634"/>
      <c r="AF131" s="634"/>
      <c r="AG131" s="634"/>
      <c r="AH131" s="634"/>
      <c r="AI131" s="634"/>
      <c r="AJ131" s="634"/>
      <c r="AK131" s="634"/>
      <c r="AL131" s="634"/>
      <c r="AM131" s="634"/>
      <c r="AN131" s="634"/>
      <c r="AO131" s="634"/>
      <c r="AP131" s="634"/>
      <c r="AQ131" s="634"/>
      <c r="AR131" s="634"/>
      <c r="AS131" s="634"/>
      <c r="AT131" s="634"/>
      <c r="AU131" s="634"/>
      <c r="AV131" s="634"/>
      <c r="AW131" s="634"/>
      <c r="AX131" s="634"/>
      <c r="AY131" s="634"/>
      <c r="AZ131" s="634"/>
      <c r="BA131" s="634"/>
      <c r="BB131" s="634"/>
    </row>
    <row r="132" spans="1:54" ht="39" customHeight="1">
      <c r="A132" s="626">
        <v>127</v>
      </c>
      <c r="B132" s="627"/>
      <c r="C132" s="657" t="s">
        <v>1050</v>
      </c>
      <c r="D132" s="658"/>
      <c r="E132" s="658"/>
      <c r="F132" s="658"/>
      <c r="G132" s="658"/>
      <c r="H132" s="658"/>
      <c r="I132" s="658"/>
      <c r="J132" s="658"/>
      <c r="K132" s="658"/>
      <c r="L132" s="658"/>
      <c r="M132" s="658"/>
      <c r="N132" s="658"/>
      <c r="O132" s="658"/>
      <c r="P132" s="658"/>
      <c r="Q132" s="658"/>
      <c r="R132" s="658"/>
      <c r="S132" s="658"/>
      <c r="T132" s="658"/>
      <c r="U132" s="659"/>
      <c r="V132" s="631" t="s">
        <v>1028</v>
      </c>
      <c r="W132" s="632"/>
      <c r="X132" s="633"/>
      <c r="Y132" s="634"/>
      <c r="Z132" s="634"/>
      <c r="AA132" s="634"/>
      <c r="AB132" s="634"/>
      <c r="AC132" s="634"/>
      <c r="AD132" s="634"/>
      <c r="AE132" s="634"/>
      <c r="AF132" s="634"/>
      <c r="AG132" s="634"/>
      <c r="AH132" s="634"/>
      <c r="AI132" s="634"/>
      <c r="AJ132" s="634"/>
      <c r="AK132" s="634"/>
      <c r="AL132" s="634"/>
      <c r="AM132" s="634"/>
      <c r="AN132" s="634"/>
      <c r="AO132" s="634"/>
      <c r="AP132" s="634"/>
      <c r="AQ132" s="634"/>
      <c r="AR132" s="634"/>
      <c r="AS132" s="634"/>
      <c r="AT132" s="634"/>
      <c r="AU132" s="634"/>
      <c r="AV132" s="634"/>
      <c r="AW132" s="634"/>
      <c r="AX132" s="634"/>
      <c r="AY132" s="634"/>
      <c r="AZ132" s="634"/>
      <c r="BA132" s="634"/>
      <c r="BB132" s="634"/>
    </row>
    <row r="133" spans="1:54" ht="39" customHeight="1">
      <c r="A133" s="626">
        <v>128</v>
      </c>
      <c r="B133" s="627"/>
      <c r="C133" s="657" t="s">
        <v>1051</v>
      </c>
      <c r="D133" s="658"/>
      <c r="E133" s="658"/>
      <c r="F133" s="658"/>
      <c r="G133" s="658"/>
      <c r="H133" s="658"/>
      <c r="I133" s="658"/>
      <c r="J133" s="658"/>
      <c r="K133" s="658"/>
      <c r="L133" s="658"/>
      <c r="M133" s="658"/>
      <c r="N133" s="658"/>
      <c r="O133" s="658"/>
      <c r="P133" s="658"/>
      <c r="Q133" s="658"/>
      <c r="R133" s="658"/>
      <c r="S133" s="658"/>
      <c r="T133" s="658"/>
      <c r="U133" s="659"/>
      <c r="V133" s="631" t="s">
        <v>1028</v>
      </c>
      <c r="W133" s="632"/>
      <c r="X133" s="633"/>
      <c r="Y133" s="634"/>
      <c r="Z133" s="634"/>
      <c r="AA133" s="634"/>
      <c r="AB133" s="634"/>
      <c r="AC133" s="634"/>
      <c r="AD133" s="634"/>
      <c r="AE133" s="634"/>
      <c r="AF133" s="634"/>
      <c r="AG133" s="634"/>
      <c r="AH133" s="634"/>
      <c r="AI133" s="634"/>
      <c r="AJ133" s="634"/>
      <c r="AK133" s="634"/>
      <c r="AL133" s="634"/>
      <c r="AM133" s="634"/>
      <c r="AN133" s="634"/>
      <c r="AO133" s="634"/>
      <c r="AP133" s="634"/>
      <c r="AQ133" s="634"/>
      <c r="AR133" s="634"/>
      <c r="AS133" s="634"/>
      <c r="AT133" s="634"/>
      <c r="AU133" s="634"/>
      <c r="AV133" s="634"/>
      <c r="AW133" s="634"/>
      <c r="AX133" s="634"/>
      <c r="AY133" s="634"/>
      <c r="AZ133" s="634"/>
      <c r="BA133" s="634"/>
      <c r="BB133" s="634"/>
    </row>
    <row r="134" spans="1:54" ht="12.75" customHeight="1">
      <c r="A134" s="626">
        <v>129</v>
      </c>
      <c r="B134" s="627"/>
      <c r="C134" s="657" t="s">
        <v>1052</v>
      </c>
      <c r="D134" s="658"/>
      <c r="E134" s="658"/>
      <c r="F134" s="658"/>
      <c r="G134" s="658"/>
      <c r="H134" s="658"/>
      <c r="I134" s="658"/>
      <c r="J134" s="658"/>
      <c r="K134" s="658"/>
      <c r="L134" s="658"/>
      <c r="M134" s="658"/>
      <c r="N134" s="658"/>
      <c r="O134" s="658"/>
      <c r="P134" s="658"/>
      <c r="Q134" s="658"/>
      <c r="R134" s="658"/>
      <c r="S134" s="658"/>
      <c r="T134" s="658"/>
      <c r="U134" s="659"/>
      <c r="V134" s="631" t="s">
        <v>1028</v>
      </c>
      <c r="W134" s="632"/>
      <c r="X134" s="633"/>
      <c r="Y134" s="634"/>
      <c r="Z134" s="634"/>
      <c r="AA134" s="634"/>
      <c r="AB134" s="634"/>
      <c r="AC134" s="634"/>
      <c r="AD134" s="634"/>
      <c r="AE134" s="634"/>
      <c r="AF134" s="634"/>
      <c r="AG134" s="634"/>
      <c r="AH134" s="634"/>
      <c r="AI134" s="634"/>
      <c r="AJ134" s="634"/>
      <c r="AK134" s="634"/>
      <c r="AL134" s="634"/>
      <c r="AM134" s="634"/>
      <c r="AN134" s="634"/>
      <c r="AO134" s="634"/>
      <c r="AP134" s="634"/>
      <c r="AQ134" s="634"/>
      <c r="AR134" s="634"/>
      <c r="AS134" s="634"/>
      <c r="AT134" s="634"/>
      <c r="AU134" s="634"/>
      <c r="AV134" s="634"/>
      <c r="AW134" s="634"/>
      <c r="AX134" s="634"/>
      <c r="AY134" s="634"/>
      <c r="AZ134" s="634"/>
      <c r="BA134" s="634"/>
      <c r="BB134" s="634"/>
    </row>
    <row r="135" spans="1:54" ht="25.5" customHeight="1">
      <c r="A135" s="626">
        <v>130</v>
      </c>
      <c r="B135" s="627"/>
      <c r="C135" s="657" t="s">
        <v>1053</v>
      </c>
      <c r="D135" s="658"/>
      <c r="E135" s="658"/>
      <c r="F135" s="658"/>
      <c r="G135" s="658"/>
      <c r="H135" s="658"/>
      <c r="I135" s="658"/>
      <c r="J135" s="658"/>
      <c r="K135" s="658"/>
      <c r="L135" s="658"/>
      <c r="M135" s="658"/>
      <c r="N135" s="658"/>
      <c r="O135" s="658"/>
      <c r="P135" s="658"/>
      <c r="Q135" s="658"/>
      <c r="R135" s="658"/>
      <c r="S135" s="658"/>
      <c r="T135" s="658"/>
      <c r="U135" s="659"/>
      <c r="V135" s="631" t="s">
        <v>1028</v>
      </c>
      <c r="W135" s="632"/>
      <c r="X135" s="633"/>
      <c r="Y135" s="634"/>
      <c r="Z135" s="634"/>
      <c r="AA135" s="634"/>
      <c r="AB135" s="634"/>
      <c r="AC135" s="634"/>
      <c r="AD135" s="634"/>
      <c r="AE135" s="634"/>
      <c r="AF135" s="634"/>
      <c r="AG135" s="634"/>
      <c r="AH135" s="634"/>
      <c r="AI135" s="634"/>
      <c r="AJ135" s="634"/>
      <c r="AK135" s="634"/>
      <c r="AL135" s="634"/>
      <c r="AM135" s="634"/>
      <c r="AN135" s="634"/>
      <c r="AO135" s="634"/>
      <c r="AP135" s="634"/>
      <c r="AQ135" s="634"/>
      <c r="AR135" s="634"/>
      <c r="AS135" s="634"/>
      <c r="AT135" s="634"/>
      <c r="AU135" s="634"/>
      <c r="AV135" s="634"/>
      <c r="AW135" s="634"/>
      <c r="AX135" s="634"/>
      <c r="AY135" s="634"/>
      <c r="AZ135" s="634"/>
      <c r="BA135" s="634"/>
      <c r="BB135" s="634"/>
    </row>
    <row r="136" spans="1:54" ht="25.5" customHeight="1">
      <c r="A136" s="638">
        <v>131</v>
      </c>
      <c r="B136" s="639"/>
      <c r="C136" s="664" t="s">
        <v>1054</v>
      </c>
      <c r="D136" s="665"/>
      <c r="E136" s="665"/>
      <c r="F136" s="665"/>
      <c r="G136" s="665"/>
      <c r="H136" s="665"/>
      <c r="I136" s="665"/>
      <c r="J136" s="665"/>
      <c r="K136" s="665"/>
      <c r="L136" s="665"/>
      <c r="M136" s="665"/>
      <c r="N136" s="665"/>
      <c r="O136" s="665"/>
      <c r="P136" s="665"/>
      <c r="Q136" s="665"/>
      <c r="R136" s="665"/>
      <c r="S136" s="665"/>
      <c r="T136" s="665"/>
      <c r="U136" s="666"/>
      <c r="V136" s="643" t="s">
        <v>1055</v>
      </c>
      <c r="W136" s="644"/>
      <c r="X136" s="645"/>
      <c r="Y136" s="646"/>
      <c r="Z136" s="646"/>
      <c r="AA136" s="646"/>
      <c r="AB136" s="647"/>
      <c r="AC136" s="647"/>
      <c r="AD136" s="647"/>
      <c r="AE136" s="646"/>
      <c r="AF136" s="646"/>
      <c r="AG136" s="646"/>
      <c r="AH136" s="647"/>
      <c r="AI136" s="647"/>
      <c r="AJ136" s="647"/>
      <c r="AK136" s="646"/>
      <c r="AL136" s="646"/>
      <c r="AM136" s="646"/>
      <c r="AN136" s="647"/>
      <c r="AO136" s="647"/>
      <c r="AP136" s="647"/>
      <c r="AQ136" s="646"/>
      <c r="AR136" s="646"/>
      <c r="AS136" s="646"/>
      <c r="AT136" s="647"/>
      <c r="AU136" s="647"/>
      <c r="AV136" s="647"/>
      <c r="AW136" s="646"/>
      <c r="AX136" s="646"/>
      <c r="AY136" s="646"/>
      <c r="AZ136" s="647"/>
      <c r="BA136" s="647"/>
      <c r="BB136" s="647"/>
    </row>
    <row r="137" spans="1:54" ht="12.75" customHeight="1">
      <c r="A137" s="626">
        <v>132</v>
      </c>
      <c r="B137" s="627"/>
      <c r="C137" s="651" t="s">
        <v>1056</v>
      </c>
      <c r="D137" s="652"/>
      <c r="E137" s="652"/>
      <c r="F137" s="652"/>
      <c r="G137" s="652"/>
      <c r="H137" s="652"/>
      <c r="I137" s="652"/>
      <c r="J137" s="652"/>
      <c r="K137" s="652"/>
      <c r="L137" s="652"/>
      <c r="M137" s="652"/>
      <c r="N137" s="652"/>
      <c r="O137" s="652"/>
      <c r="P137" s="652"/>
      <c r="Q137" s="652"/>
      <c r="R137" s="652"/>
      <c r="S137" s="652"/>
      <c r="T137" s="652"/>
      <c r="U137" s="653"/>
      <c r="V137" s="631" t="s">
        <v>1057</v>
      </c>
      <c r="W137" s="632"/>
      <c r="X137" s="633"/>
      <c r="Y137" s="634"/>
      <c r="Z137" s="634"/>
      <c r="AA137" s="634"/>
      <c r="AB137" s="634"/>
      <c r="AC137" s="634"/>
      <c r="AD137" s="634"/>
      <c r="AE137" s="634"/>
      <c r="AF137" s="634"/>
      <c r="AG137" s="634"/>
      <c r="AH137" s="634"/>
      <c r="AI137" s="634"/>
      <c r="AJ137" s="634"/>
      <c r="AK137" s="634"/>
      <c r="AL137" s="634"/>
      <c r="AM137" s="634"/>
      <c r="AN137" s="634"/>
      <c r="AO137" s="634"/>
      <c r="AP137" s="634"/>
      <c r="AQ137" s="634"/>
      <c r="AR137" s="634"/>
      <c r="AS137" s="634"/>
      <c r="AT137" s="634"/>
      <c r="AU137" s="634"/>
      <c r="AV137" s="634"/>
      <c r="AW137" s="634"/>
      <c r="AX137" s="634"/>
      <c r="AY137" s="634"/>
      <c r="AZ137" s="634"/>
      <c r="BA137" s="634"/>
      <c r="BB137" s="634"/>
    </row>
    <row r="138" spans="1:54" ht="12.75" customHeight="1">
      <c r="A138" s="626">
        <v>133</v>
      </c>
      <c r="B138" s="627"/>
      <c r="C138" s="651" t="s">
        <v>1058</v>
      </c>
      <c r="D138" s="652"/>
      <c r="E138" s="652"/>
      <c r="F138" s="652"/>
      <c r="G138" s="652"/>
      <c r="H138" s="652"/>
      <c r="I138" s="652"/>
      <c r="J138" s="652"/>
      <c r="K138" s="652"/>
      <c r="L138" s="652"/>
      <c r="M138" s="652"/>
      <c r="N138" s="652"/>
      <c r="O138" s="652"/>
      <c r="P138" s="652"/>
      <c r="Q138" s="652"/>
      <c r="R138" s="652"/>
      <c r="S138" s="652"/>
      <c r="T138" s="652"/>
      <c r="U138" s="653"/>
      <c r="V138" s="631" t="s">
        <v>1057</v>
      </c>
      <c r="W138" s="632"/>
      <c r="X138" s="633"/>
      <c r="Y138" s="634"/>
      <c r="Z138" s="634"/>
      <c r="AA138" s="634"/>
      <c r="AB138" s="634"/>
      <c r="AC138" s="634"/>
      <c r="AD138" s="634"/>
      <c r="AE138" s="634"/>
      <c r="AF138" s="634"/>
      <c r="AG138" s="634"/>
      <c r="AH138" s="634"/>
      <c r="AI138" s="634"/>
      <c r="AJ138" s="634"/>
      <c r="AK138" s="634"/>
      <c r="AL138" s="634"/>
      <c r="AM138" s="634"/>
      <c r="AN138" s="634"/>
      <c r="AO138" s="634"/>
      <c r="AP138" s="634"/>
      <c r="AQ138" s="634"/>
      <c r="AR138" s="634"/>
      <c r="AS138" s="634"/>
      <c r="AT138" s="634"/>
      <c r="AU138" s="634"/>
      <c r="AV138" s="634"/>
      <c r="AW138" s="634"/>
      <c r="AX138" s="634"/>
      <c r="AY138" s="634"/>
      <c r="AZ138" s="634"/>
      <c r="BA138" s="634"/>
      <c r="BB138" s="634"/>
    </row>
    <row r="139" spans="1:54" ht="25.5" customHeight="1">
      <c r="A139" s="626">
        <v>134</v>
      </c>
      <c r="B139" s="627"/>
      <c r="C139" s="651" t="s">
        <v>1059</v>
      </c>
      <c r="D139" s="652"/>
      <c r="E139" s="652"/>
      <c r="F139" s="652"/>
      <c r="G139" s="652"/>
      <c r="H139" s="652"/>
      <c r="I139" s="652"/>
      <c r="J139" s="652"/>
      <c r="K139" s="652"/>
      <c r="L139" s="652"/>
      <c r="M139" s="652"/>
      <c r="N139" s="652"/>
      <c r="O139" s="652"/>
      <c r="P139" s="652"/>
      <c r="Q139" s="652"/>
      <c r="R139" s="652"/>
      <c r="S139" s="652"/>
      <c r="T139" s="652"/>
      <c r="U139" s="653"/>
      <c r="V139" s="631" t="s">
        <v>1060</v>
      </c>
      <c r="W139" s="632"/>
      <c r="X139" s="633"/>
      <c r="Y139" s="634"/>
      <c r="Z139" s="634"/>
      <c r="AA139" s="634"/>
      <c r="AB139" s="634"/>
      <c r="AC139" s="634"/>
      <c r="AD139" s="634"/>
      <c r="AE139" s="634"/>
      <c r="AF139" s="634"/>
      <c r="AG139" s="634"/>
      <c r="AH139" s="634"/>
      <c r="AI139" s="634"/>
      <c r="AJ139" s="634"/>
      <c r="AK139" s="634"/>
      <c r="AL139" s="634"/>
      <c r="AM139" s="634"/>
      <c r="AN139" s="634"/>
      <c r="AO139" s="634"/>
      <c r="AP139" s="634"/>
      <c r="AQ139" s="634"/>
      <c r="AR139" s="634"/>
      <c r="AS139" s="634"/>
      <c r="AT139" s="634"/>
      <c r="AU139" s="634"/>
      <c r="AV139" s="634"/>
      <c r="AW139" s="634"/>
      <c r="AX139" s="634"/>
      <c r="AY139" s="634"/>
      <c r="AZ139" s="634"/>
      <c r="BA139" s="634"/>
      <c r="BB139" s="634"/>
    </row>
    <row r="140" spans="1:54" ht="25.5" customHeight="1">
      <c r="A140" s="626">
        <v>135</v>
      </c>
      <c r="B140" s="627"/>
      <c r="C140" s="651" t="s">
        <v>1061</v>
      </c>
      <c r="D140" s="652"/>
      <c r="E140" s="652"/>
      <c r="F140" s="652"/>
      <c r="G140" s="652"/>
      <c r="H140" s="652"/>
      <c r="I140" s="652"/>
      <c r="J140" s="652"/>
      <c r="K140" s="652"/>
      <c r="L140" s="652"/>
      <c r="M140" s="652"/>
      <c r="N140" s="652"/>
      <c r="O140" s="652"/>
      <c r="P140" s="652"/>
      <c r="Q140" s="652"/>
      <c r="R140" s="652"/>
      <c r="S140" s="652"/>
      <c r="T140" s="652"/>
      <c r="U140" s="653"/>
      <c r="V140" s="631" t="s">
        <v>1062</v>
      </c>
      <c r="W140" s="632"/>
      <c r="X140" s="633"/>
      <c r="Y140" s="634"/>
      <c r="Z140" s="634"/>
      <c r="AA140" s="634"/>
      <c r="AB140" s="634"/>
      <c r="AC140" s="634"/>
      <c r="AD140" s="634"/>
      <c r="AE140" s="634"/>
      <c r="AF140" s="634"/>
      <c r="AG140" s="634"/>
      <c r="AH140" s="634"/>
      <c r="AI140" s="634"/>
      <c r="AJ140" s="634"/>
      <c r="AK140" s="634"/>
      <c r="AL140" s="634"/>
      <c r="AM140" s="634"/>
      <c r="AN140" s="634"/>
      <c r="AO140" s="634"/>
      <c r="AP140" s="634"/>
      <c r="AQ140" s="634"/>
      <c r="AR140" s="634"/>
      <c r="AS140" s="634"/>
      <c r="AT140" s="634"/>
      <c r="AU140" s="634"/>
      <c r="AV140" s="634"/>
      <c r="AW140" s="634"/>
      <c r="AX140" s="634"/>
      <c r="AY140" s="634"/>
      <c r="AZ140" s="634"/>
      <c r="BA140" s="634"/>
      <c r="BB140" s="634"/>
    </row>
    <row r="141" spans="1:54" ht="12.75" customHeight="1">
      <c r="A141" s="626">
        <v>136</v>
      </c>
      <c r="B141" s="627"/>
      <c r="C141" s="651" t="s">
        <v>1063</v>
      </c>
      <c r="D141" s="652"/>
      <c r="E141" s="652"/>
      <c r="F141" s="652"/>
      <c r="G141" s="652"/>
      <c r="H141" s="652"/>
      <c r="I141" s="652"/>
      <c r="J141" s="652"/>
      <c r="K141" s="652"/>
      <c r="L141" s="652"/>
      <c r="M141" s="652"/>
      <c r="N141" s="652"/>
      <c r="O141" s="652"/>
      <c r="P141" s="652"/>
      <c r="Q141" s="652"/>
      <c r="R141" s="652"/>
      <c r="S141" s="652"/>
      <c r="T141" s="652"/>
      <c r="U141" s="653"/>
      <c r="V141" s="631" t="s">
        <v>1064</v>
      </c>
      <c r="W141" s="632"/>
      <c r="X141" s="633"/>
      <c r="Y141" s="634"/>
      <c r="Z141" s="634"/>
      <c r="AA141" s="634"/>
      <c r="AB141" s="634"/>
      <c r="AC141" s="634"/>
      <c r="AD141" s="634"/>
      <c r="AE141" s="634"/>
      <c r="AF141" s="634"/>
      <c r="AG141" s="634"/>
      <c r="AH141" s="634"/>
      <c r="AI141" s="634"/>
      <c r="AJ141" s="634"/>
      <c r="AK141" s="634"/>
      <c r="AL141" s="634"/>
      <c r="AM141" s="634"/>
      <c r="AN141" s="634"/>
      <c r="AO141" s="634"/>
      <c r="AP141" s="634"/>
      <c r="AQ141" s="634"/>
      <c r="AR141" s="634"/>
      <c r="AS141" s="634"/>
      <c r="AT141" s="634"/>
      <c r="AU141" s="634"/>
      <c r="AV141" s="634"/>
      <c r="AW141" s="634"/>
      <c r="AX141" s="634"/>
      <c r="AY141" s="634"/>
      <c r="AZ141" s="634"/>
      <c r="BA141" s="634"/>
      <c r="BB141" s="634"/>
    </row>
    <row r="142" spans="1:54" ht="12.75" customHeight="1">
      <c r="A142" s="638">
        <v>137</v>
      </c>
      <c r="B142" s="639"/>
      <c r="C142" s="667" t="s">
        <v>1065</v>
      </c>
      <c r="D142" s="667"/>
      <c r="E142" s="667"/>
      <c r="F142" s="667"/>
      <c r="G142" s="667"/>
      <c r="H142" s="667"/>
      <c r="I142" s="667"/>
      <c r="J142" s="667"/>
      <c r="K142" s="667"/>
      <c r="L142" s="667"/>
      <c r="M142" s="667"/>
      <c r="N142" s="667"/>
      <c r="O142" s="667"/>
      <c r="P142" s="667"/>
      <c r="Q142" s="667"/>
      <c r="R142" s="667"/>
      <c r="S142" s="667"/>
      <c r="T142" s="667"/>
      <c r="U142" s="667"/>
      <c r="V142" s="643" t="s">
        <v>1066</v>
      </c>
      <c r="W142" s="644"/>
      <c r="X142" s="645"/>
      <c r="Y142" s="646"/>
      <c r="Z142" s="646"/>
      <c r="AA142" s="646"/>
      <c r="AB142" s="647"/>
      <c r="AC142" s="647"/>
      <c r="AD142" s="647"/>
      <c r="AE142" s="646"/>
      <c r="AF142" s="646"/>
      <c r="AG142" s="646"/>
      <c r="AH142" s="647"/>
      <c r="AI142" s="647"/>
      <c r="AJ142" s="647"/>
      <c r="AK142" s="646"/>
      <c r="AL142" s="646"/>
      <c r="AM142" s="646"/>
      <c r="AN142" s="647"/>
      <c r="AO142" s="647"/>
      <c r="AP142" s="647"/>
      <c r="AQ142" s="646"/>
      <c r="AR142" s="646"/>
      <c r="AS142" s="646"/>
      <c r="AT142" s="647"/>
      <c r="AU142" s="647"/>
      <c r="AV142" s="647"/>
      <c r="AW142" s="646"/>
      <c r="AX142" s="646"/>
      <c r="AY142" s="646"/>
      <c r="AZ142" s="647"/>
      <c r="BA142" s="647"/>
      <c r="BB142" s="647"/>
    </row>
    <row r="143" spans="1:54" ht="25.5" customHeight="1">
      <c r="A143" s="626">
        <v>138</v>
      </c>
      <c r="B143" s="627"/>
      <c r="C143" s="651" t="s">
        <v>1067</v>
      </c>
      <c r="D143" s="652"/>
      <c r="E143" s="652"/>
      <c r="F143" s="652"/>
      <c r="G143" s="652"/>
      <c r="H143" s="652"/>
      <c r="I143" s="652"/>
      <c r="J143" s="652"/>
      <c r="K143" s="652"/>
      <c r="L143" s="652"/>
      <c r="M143" s="652"/>
      <c r="N143" s="652"/>
      <c r="O143" s="652"/>
      <c r="P143" s="652"/>
      <c r="Q143" s="652"/>
      <c r="R143" s="652"/>
      <c r="S143" s="652"/>
      <c r="T143" s="652"/>
      <c r="U143" s="653"/>
      <c r="V143" s="631" t="s">
        <v>1068</v>
      </c>
      <c r="W143" s="632"/>
      <c r="X143" s="633"/>
      <c r="Y143" s="634"/>
      <c r="Z143" s="634"/>
      <c r="AA143" s="634"/>
      <c r="AB143" s="634"/>
      <c r="AC143" s="634"/>
      <c r="AD143" s="634"/>
      <c r="AE143" s="634"/>
      <c r="AF143" s="634"/>
      <c r="AG143" s="634"/>
      <c r="AH143" s="634"/>
      <c r="AI143" s="634"/>
      <c r="AJ143" s="634"/>
      <c r="AK143" s="634"/>
      <c r="AL143" s="634"/>
      <c r="AM143" s="634"/>
      <c r="AN143" s="634"/>
      <c r="AO143" s="634"/>
      <c r="AP143" s="634"/>
      <c r="AQ143" s="634"/>
      <c r="AR143" s="634"/>
      <c r="AS143" s="634"/>
      <c r="AT143" s="634"/>
      <c r="AU143" s="634"/>
      <c r="AV143" s="634"/>
      <c r="AW143" s="634"/>
      <c r="AX143" s="634"/>
      <c r="AY143" s="634"/>
      <c r="AZ143" s="634"/>
      <c r="BA143" s="634"/>
      <c r="BB143" s="634"/>
    </row>
    <row r="144" spans="1:54" ht="25.5" customHeight="1">
      <c r="A144" s="626">
        <v>139</v>
      </c>
      <c r="B144" s="627"/>
      <c r="C144" s="651" t="s">
        <v>1069</v>
      </c>
      <c r="D144" s="652"/>
      <c r="E144" s="652"/>
      <c r="F144" s="652"/>
      <c r="G144" s="652"/>
      <c r="H144" s="652"/>
      <c r="I144" s="652"/>
      <c r="J144" s="652"/>
      <c r="K144" s="652"/>
      <c r="L144" s="652"/>
      <c r="M144" s="652"/>
      <c r="N144" s="652"/>
      <c r="O144" s="652"/>
      <c r="P144" s="652"/>
      <c r="Q144" s="652"/>
      <c r="R144" s="652"/>
      <c r="S144" s="652"/>
      <c r="T144" s="652"/>
      <c r="U144" s="653"/>
      <c r="V144" s="631" t="s">
        <v>1070</v>
      </c>
      <c r="W144" s="632"/>
      <c r="X144" s="633"/>
      <c r="Y144" s="646"/>
      <c r="Z144" s="646"/>
      <c r="AA144" s="646"/>
      <c r="AB144" s="647"/>
      <c r="AC144" s="647"/>
      <c r="AD144" s="647"/>
      <c r="AE144" s="646"/>
      <c r="AF144" s="646"/>
      <c r="AG144" s="646"/>
      <c r="AH144" s="647"/>
      <c r="AI144" s="647"/>
      <c r="AJ144" s="647"/>
      <c r="AK144" s="646"/>
      <c r="AL144" s="646"/>
      <c r="AM144" s="646"/>
      <c r="AN144" s="647"/>
      <c r="AO144" s="647"/>
      <c r="AP144" s="647"/>
      <c r="AQ144" s="646"/>
      <c r="AR144" s="646"/>
      <c r="AS144" s="646"/>
      <c r="AT144" s="647"/>
      <c r="AU144" s="647"/>
      <c r="AV144" s="647"/>
      <c r="AW144" s="646"/>
      <c r="AX144" s="646"/>
      <c r="AY144" s="646"/>
      <c r="AZ144" s="647"/>
      <c r="BA144" s="647"/>
      <c r="BB144" s="647"/>
    </row>
    <row r="145" spans="1:54" ht="12.75" customHeight="1">
      <c r="A145" s="626">
        <v>140</v>
      </c>
      <c r="B145" s="627"/>
      <c r="C145" s="657" t="s">
        <v>1071</v>
      </c>
      <c r="D145" s="658"/>
      <c r="E145" s="658"/>
      <c r="F145" s="658"/>
      <c r="G145" s="658"/>
      <c r="H145" s="658"/>
      <c r="I145" s="658"/>
      <c r="J145" s="658"/>
      <c r="K145" s="658"/>
      <c r="L145" s="658"/>
      <c r="M145" s="658"/>
      <c r="N145" s="658"/>
      <c r="O145" s="658"/>
      <c r="P145" s="658"/>
      <c r="Q145" s="658"/>
      <c r="R145" s="658"/>
      <c r="S145" s="658"/>
      <c r="T145" s="658"/>
      <c r="U145" s="659"/>
      <c r="V145" s="631" t="s">
        <v>1070</v>
      </c>
      <c r="W145" s="632"/>
      <c r="X145" s="633"/>
      <c r="Y145" s="634"/>
      <c r="Z145" s="634"/>
      <c r="AA145" s="634"/>
      <c r="AB145" s="634"/>
      <c r="AC145" s="634"/>
      <c r="AD145" s="634"/>
      <c r="AE145" s="634"/>
      <c r="AF145" s="634"/>
      <c r="AG145" s="634"/>
      <c r="AH145" s="634"/>
      <c r="AI145" s="634"/>
      <c r="AJ145" s="634"/>
      <c r="AK145" s="634"/>
      <c r="AL145" s="634"/>
      <c r="AM145" s="634"/>
      <c r="AN145" s="634"/>
      <c r="AO145" s="634"/>
      <c r="AP145" s="634"/>
      <c r="AQ145" s="634"/>
      <c r="AR145" s="634"/>
      <c r="AS145" s="634"/>
      <c r="AT145" s="634"/>
      <c r="AU145" s="634"/>
      <c r="AV145" s="634"/>
      <c r="AW145" s="634"/>
      <c r="AX145" s="634"/>
      <c r="AY145" s="634"/>
      <c r="AZ145" s="634"/>
      <c r="BA145" s="634"/>
      <c r="BB145" s="634"/>
    </row>
    <row r="146" spans="1:54" ht="12.75" customHeight="1">
      <c r="A146" s="626">
        <v>141</v>
      </c>
      <c r="B146" s="627"/>
      <c r="C146" s="657" t="s">
        <v>1072</v>
      </c>
      <c r="D146" s="658"/>
      <c r="E146" s="658"/>
      <c r="F146" s="658"/>
      <c r="G146" s="658"/>
      <c r="H146" s="658"/>
      <c r="I146" s="658"/>
      <c r="J146" s="658"/>
      <c r="K146" s="658"/>
      <c r="L146" s="658"/>
      <c r="M146" s="658"/>
      <c r="N146" s="658"/>
      <c r="O146" s="658"/>
      <c r="P146" s="658"/>
      <c r="Q146" s="658"/>
      <c r="R146" s="658"/>
      <c r="S146" s="658"/>
      <c r="T146" s="658"/>
      <c r="U146" s="659"/>
      <c r="V146" s="631" t="s">
        <v>1070</v>
      </c>
      <c r="W146" s="632"/>
      <c r="X146" s="633"/>
      <c r="Y146" s="634"/>
      <c r="Z146" s="634"/>
      <c r="AA146" s="634"/>
      <c r="AB146" s="634"/>
      <c r="AC146" s="634"/>
      <c r="AD146" s="634"/>
      <c r="AE146" s="634"/>
      <c r="AF146" s="634"/>
      <c r="AG146" s="634"/>
      <c r="AH146" s="634"/>
      <c r="AI146" s="634"/>
      <c r="AJ146" s="634"/>
      <c r="AK146" s="634"/>
      <c r="AL146" s="634"/>
      <c r="AM146" s="634"/>
      <c r="AN146" s="634"/>
      <c r="AO146" s="634"/>
      <c r="AP146" s="634"/>
      <c r="AQ146" s="634"/>
      <c r="AR146" s="634"/>
      <c r="AS146" s="634"/>
      <c r="AT146" s="634"/>
      <c r="AU146" s="634"/>
      <c r="AV146" s="634"/>
      <c r="AW146" s="634"/>
      <c r="AX146" s="634"/>
      <c r="AY146" s="634"/>
      <c r="AZ146" s="634"/>
      <c r="BA146" s="634"/>
      <c r="BB146" s="634"/>
    </row>
    <row r="147" spans="1:54" ht="25.5" customHeight="1">
      <c r="A147" s="626">
        <v>142</v>
      </c>
      <c r="B147" s="627"/>
      <c r="C147" s="657" t="s">
        <v>1073</v>
      </c>
      <c r="D147" s="658"/>
      <c r="E147" s="658"/>
      <c r="F147" s="658"/>
      <c r="G147" s="658"/>
      <c r="H147" s="658"/>
      <c r="I147" s="658"/>
      <c r="J147" s="658"/>
      <c r="K147" s="658"/>
      <c r="L147" s="658"/>
      <c r="M147" s="658"/>
      <c r="N147" s="658"/>
      <c r="O147" s="658"/>
      <c r="P147" s="658"/>
      <c r="Q147" s="658"/>
      <c r="R147" s="658"/>
      <c r="S147" s="658"/>
      <c r="T147" s="658"/>
      <c r="U147" s="659"/>
      <c r="V147" s="631" t="s">
        <v>1070</v>
      </c>
      <c r="W147" s="632"/>
      <c r="X147" s="633"/>
      <c r="Y147" s="634"/>
      <c r="Z147" s="634"/>
      <c r="AA147" s="634"/>
      <c r="AB147" s="634"/>
      <c r="AC147" s="634"/>
      <c r="AD147" s="634"/>
      <c r="AE147" s="634"/>
      <c r="AF147" s="634"/>
      <c r="AG147" s="634"/>
      <c r="AH147" s="634"/>
      <c r="AI147" s="634"/>
      <c r="AJ147" s="634"/>
      <c r="AK147" s="634"/>
      <c r="AL147" s="634"/>
      <c r="AM147" s="634"/>
      <c r="AN147" s="634"/>
      <c r="AO147" s="634"/>
      <c r="AP147" s="634"/>
      <c r="AQ147" s="634"/>
      <c r="AR147" s="634"/>
      <c r="AS147" s="634"/>
      <c r="AT147" s="634"/>
      <c r="AU147" s="634"/>
      <c r="AV147" s="634"/>
      <c r="AW147" s="634"/>
      <c r="AX147" s="634"/>
      <c r="AY147" s="634"/>
      <c r="AZ147" s="634"/>
      <c r="BA147" s="634"/>
      <c r="BB147" s="634"/>
    </row>
    <row r="148" spans="1:54" ht="12.75" customHeight="1">
      <c r="A148" s="626">
        <v>143</v>
      </c>
      <c r="B148" s="627"/>
      <c r="C148" s="657" t="s">
        <v>1074</v>
      </c>
      <c r="D148" s="658"/>
      <c r="E148" s="658"/>
      <c r="F148" s="658"/>
      <c r="G148" s="658"/>
      <c r="H148" s="658"/>
      <c r="I148" s="658"/>
      <c r="J148" s="658"/>
      <c r="K148" s="658"/>
      <c r="L148" s="658"/>
      <c r="M148" s="658"/>
      <c r="N148" s="658"/>
      <c r="O148" s="658"/>
      <c r="P148" s="658"/>
      <c r="Q148" s="658"/>
      <c r="R148" s="658"/>
      <c r="S148" s="658"/>
      <c r="T148" s="658"/>
      <c r="U148" s="659"/>
      <c r="V148" s="631" t="s">
        <v>1070</v>
      </c>
      <c r="W148" s="632"/>
      <c r="X148" s="633"/>
      <c r="Y148" s="634"/>
      <c r="Z148" s="634"/>
      <c r="AA148" s="634"/>
      <c r="AB148" s="634"/>
      <c r="AC148" s="634"/>
      <c r="AD148" s="634"/>
      <c r="AE148" s="634"/>
      <c r="AF148" s="634"/>
      <c r="AG148" s="634"/>
      <c r="AH148" s="634"/>
      <c r="AI148" s="634"/>
      <c r="AJ148" s="634"/>
      <c r="AK148" s="634"/>
      <c r="AL148" s="634"/>
      <c r="AM148" s="634"/>
      <c r="AN148" s="634"/>
      <c r="AO148" s="634"/>
      <c r="AP148" s="634"/>
      <c r="AQ148" s="634"/>
      <c r="AR148" s="634"/>
      <c r="AS148" s="634"/>
      <c r="AT148" s="634"/>
      <c r="AU148" s="634"/>
      <c r="AV148" s="634"/>
      <c r="AW148" s="634"/>
      <c r="AX148" s="634"/>
      <c r="AY148" s="634"/>
      <c r="AZ148" s="634"/>
      <c r="BA148" s="634"/>
      <c r="BB148" s="634"/>
    </row>
    <row r="149" spans="1:54" ht="12.75" customHeight="1">
      <c r="A149" s="626">
        <v>144</v>
      </c>
      <c r="B149" s="627"/>
      <c r="C149" s="657" t="s">
        <v>1075</v>
      </c>
      <c r="D149" s="658"/>
      <c r="E149" s="658"/>
      <c r="F149" s="658"/>
      <c r="G149" s="658"/>
      <c r="H149" s="658"/>
      <c r="I149" s="658"/>
      <c r="J149" s="658"/>
      <c r="K149" s="658"/>
      <c r="L149" s="658"/>
      <c r="M149" s="658"/>
      <c r="N149" s="658"/>
      <c r="O149" s="658"/>
      <c r="P149" s="658"/>
      <c r="Q149" s="658"/>
      <c r="R149" s="658"/>
      <c r="S149" s="658"/>
      <c r="T149" s="658"/>
      <c r="U149" s="659"/>
      <c r="V149" s="631" t="s">
        <v>1070</v>
      </c>
      <c r="W149" s="632"/>
      <c r="X149" s="633"/>
      <c r="Y149" s="634"/>
      <c r="Z149" s="634"/>
      <c r="AA149" s="634"/>
      <c r="AB149" s="634"/>
      <c r="AC149" s="634"/>
      <c r="AD149" s="634"/>
      <c r="AE149" s="634"/>
      <c r="AF149" s="634"/>
      <c r="AG149" s="634"/>
      <c r="AH149" s="634"/>
      <c r="AI149" s="634"/>
      <c r="AJ149" s="634"/>
      <c r="AK149" s="634"/>
      <c r="AL149" s="634"/>
      <c r="AM149" s="634"/>
      <c r="AN149" s="634"/>
      <c r="AO149" s="634"/>
      <c r="AP149" s="634"/>
      <c r="AQ149" s="634"/>
      <c r="AR149" s="634"/>
      <c r="AS149" s="634"/>
      <c r="AT149" s="634"/>
      <c r="AU149" s="634"/>
      <c r="AV149" s="634"/>
      <c r="AW149" s="634"/>
      <c r="AX149" s="634"/>
      <c r="AY149" s="634"/>
      <c r="AZ149" s="634"/>
      <c r="BA149" s="634"/>
      <c r="BB149" s="634"/>
    </row>
    <row r="150" spans="1:54" ht="12.75" customHeight="1">
      <c r="A150" s="626">
        <v>145</v>
      </c>
      <c r="B150" s="627"/>
      <c r="C150" s="657" t="s">
        <v>1076</v>
      </c>
      <c r="D150" s="658"/>
      <c r="E150" s="658"/>
      <c r="F150" s="658"/>
      <c r="G150" s="658"/>
      <c r="H150" s="658"/>
      <c r="I150" s="658"/>
      <c r="J150" s="658"/>
      <c r="K150" s="658"/>
      <c r="L150" s="658"/>
      <c r="M150" s="658"/>
      <c r="N150" s="658"/>
      <c r="O150" s="658"/>
      <c r="P150" s="658"/>
      <c r="Q150" s="658"/>
      <c r="R150" s="658"/>
      <c r="S150" s="658"/>
      <c r="T150" s="658"/>
      <c r="U150" s="659"/>
      <c r="V150" s="631" t="s">
        <v>1070</v>
      </c>
      <c r="W150" s="632"/>
      <c r="X150" s="633"/>
      <c r="Y150" s="634"/>
      <c r="Z150" s="634"/>
      <c r="AA150" s="634"/>
      <c r="AB150" s="634"/>
      <c r="AC150" s="634"/>
      <c r="AD150" s="634"/>
      <c r="AE150" s="634"/>
      <c r="AF150" s="634"/>
      <c r="AG150" s="634"/>
      <c r="AH150" s="634"/>
      <c r="AI150" s="634"/>
      <c r="AJ150" s="634"/>
      <c r="AK150" s="634"/>
      <c r="AL150" s="634"/>
      <c r="AM150" s="634"/>
      <c r="AN150" s="634"/>
      <c r="AO150" s="634"/>
      <c r="AP150" s="634"/>
      <c r="AQ150" s="634"/>
      <c r="AR150" s="634"/>
      <c r="AS150" s="634"/>
      <c r="AT150" s="634"/>
      <c r="AU150" s="634"/>
      <c r="AV150" s="634"/>
      <c r="AW150" s="634"/>
      <c r="AX150" s="634"/>
      <c r="AY150" s="634"/>
      <c r="AZ150" s="634"/>
      <c r="BA150" s="634"/>
      <c r="BB150" s="634"/>
    </row>
    <row r="151" spans="1:54" ht="12.75" customHeight="1">
      <c r="A151" s="626">
        <v>146</v>
      </c>
      <c r="B151" s="627"/>
      <c r="C151" s="657" t="s">
        <v>1077</v>
      </c>
      <c r="D151" s="658"/>
      <c r="E151" s="658"/>
      <c r="F151" s="658"/>
      <c r="G151" s="658"/>
      <c r="H151" s="658"/>
      <c r="I151" s="658"/>
      <c r="J151" s="658"/>
      <c r="K151" s="658"/>
      <c r="L151" s="658"/>
      <c r="M151" s="658"/>
      <c r="N151" s="658"/>
      <c r="O151" s="658"/>
      <c r="P151" s="658"/>
      <c r="Q151" s="658"/>
      <c r="R151" s="658"/>
      <c r="S151" s="658"/>
      <c r="T151" s="658"/>
      <c r="U151" s="659"/>
      <c r="V151" s="631" t="s">
        <v>1070</v>
      </c>
      <c r="W151" s="632"/>
      <c r="X151" s="633"/>
      <c r="Y151" s="634"/>
      <c r="Z151" s="634"/>
      <c r="AA151" s="634"/>
      <c r="AB151" s="634"/>
      <c r="AC151" s="634"/>
      <c r="AD151" s="634"/>
      <c r="AE151" s="634"/>
      <c r="AF151" s="634"/>
      <c r="AG151" s="634"/>
      <c r="AH151" s="634"/>
      <c r="AI151" s="634"/>
      <c r="AJ151" s="634"/>
      <c r="AK151" s="634"/>
      <c r="AL151" s="634"/>
      <c r="AM151" s="634"/>
      <c r="AN151" s="634"/>
      <c r="AO151" s="634"/>
      <c r="AP151" s="634"/>
      <c r="AQ151" s="634"/>
      <c r="AR151" s="634"/>
      <c r="AS151" s="634"/>
      <c r="AT151" s="634"/>
      <c r="AU151" s="634"/>
      <c r="AV151" s="634"/>
      <c r="AW151" s="634"/>
      <c r="AX151" s="634"/>
      <c r="AY151" s="634"/>
      <c r="AZ151" s="634"/>
      <c r="BA151" s="634"/>
      <c r="BB151" s="634"/>
    </row>
    <row r="152" spans="1:54" ht="12.75" customHeight="1">
      <c r="A152" s="626">
        <v>147</v>
      </c>
      <c r="B152" s="627"/>
      <c r="C152" s="657" t="s">
        <v>1078</v>
      </c>
      <c r="D152" s="658"/>
      <c r="E152" s="658"/>
      <c r="F152" s="658"/>
      <c r="G152" s="658"/>
      <c r="H152" s="658"/>
      <c r="I152" s="658"/>
      <c r="J152" s="658"/>
      <c r="K152" s="658"/>
      <c r="L152" s="658"/>
      <c r="M152" s="658"/>
      <c r="N152" s="658"/>
      <c r="O152" s="658"/>
      <c r="P152" s="658"/>
      <c r="Q152" s="658"/>
      <c r="R152" s="658"/>
      <c r="S152" s="658"/>
      <c r="T152" s="658"/>
      <c r="U152" s="659"/>
      <c r="V152" s="631" t="s">
        <v>1070</v>
      </c>
      <c r="W152" s="632"/>
      <c r="X152" s="633"/>
      <c r="Y152" s="634"/>
      <c r="Z152" s="634"/>
      <c r="AA152" s="634"/>
      <c r="AB152" s="634"/>
      <c r="AC152" s="634"/>
      <c r="AD152" s="634"/>
      <c r="AE152" s="634"/>
      <c r="AF152" s="634"/>
      <c r="AG152" s="634"/>
      <c r="AH152" s="634"/>
      <c r="AI152" s="634"/>
      <c r="AJ152" s="634"/>
      <c r="AK152" s="634"/>
      <c r="AL152" s="634"/>
      <c r="AM152" s="634"/>
      <c r="AN152" s="634"/>
      <c r="AO152" s="634"/>
      <c r="AP152" s="634"/>
      <c r="AQ152" s="634"/>
      <c r="AR152" s="634"/>
      <c r="AS152" s="634"/>
      <c r="AT152" s="634"/>
      <c r="AU152" s="634"/>
      <c r="AV152" s="634"/>
      <c r="AW152" s="634"/>
      <c r="AX152" s="634"/>
      <c r="AY152" s="634"/>
      <c r="AZ152" s="634"/>
      <c r="BA152" s="634"/>
      <c r="BB152" s="634"/>
    </row>
    <row r="153" spans="1:54" ht="25.5" customHeight="1">
      <c r="A153" s="626">
        <v>148</v>
      </c>
      <c r="B153" s="627"/>
      <c r="C153" s="657" t="s">
        <v>1079</v>
      </c>
      <c r="D153" s="658"/>
      <c r="E153" s="658"/>
      <c r="F153" s="658"/>
      <c r="G153" s="658"/>
      <c r="H153" s="658"/>
      <c r="I153" s="658"/>
      <c r="J153" s="658"/>
      <c r="K153" s="658"/>
      <c r="L153" s="658"/>
      <c r="M153" s="658"/>
      <c r="N153" s="658"/>
      <c r="O153" s="658"/>
      <c r="P153" s="658"/>
      <c r="Q153" s="658"/>
      <c r="R153" s="658"/>
      <c r="S153" s="658"/>
      <c r="T153" s="658"/>
      <c r="U153" s="659"/>
      <c r="V153" s="631" t="s">
        <v>1070</v>
      </c>
      <c r="W153" s="632"/>
      <c r="X153" s="633"/>
      <c r="Y153" s="634"/>
      <c r="Z153" s="634"/>
      <c r="AA153" s="634"/>
      <c r="AB153" s="634"/>
      <c r="AC153" s="634"/>
      <c r="AD153" s="634"/>
      <c r="AE153" s="634"/>
      <c r="AF153" s="634"/>
      <c r="AG153" s="634"/>
      <c r="AH153" s="634"/>
      <c r="AI153" s="634"/>
      <c r="AJ153" s="634"/>
      <c r="AK153" s="634"/>
      <c r="AL153" s="634"/>
      <c r="AM153" s="634"/>
      <c r="AN153" s="634"/>
      <c r="AO153" s="634"/>
      <c r="AP153" s="634"/>
      <c r="AQ153" s="634"/>
      <c r="AR153" s="634"/>
      <c r="AS153" s="634"/>
      <c r="AT153" s="634"/>
      <c r="AU153" s="634"/>
      <c r="AV153" s="634"/>
      <c r="AW153" s="634"/>
      <c r="AX153" s="634"/>
      <c r="AY153" s="634"/>
      <c r="AZ153" s="634"/>
      <c r="BA153" s="634"/>
      <c r="BB153" s="634"/>
    </row>
    <row r="154" spans="1:54" ht="25.5" customHeight="1">
      <c r="A154" s="626">
        <v>149</v>
      </c>
      <c r="B154" s="627"/>
      <c r="C154" s="657" t="s">
        <v>1080</v>
      </c>
      <c r="D154" s="658"/>
      <c r="E154" s="658"/>
      <c r="F154" s="658"/>
      <c r="G154" s="658"/>
      <c r="H154" s="658"/>
      <c r="I154" s="658"/>
      <c r="J154" s="658"/>
      <c r="K154" s="658"/>
      <c r="L154" s="658"/>
      <c r="M154" s="658"/>
      <c r="N154" s="658"/>
      <c r="O154" s="658"/>
      <c r="P154" s="658"/>
      <c r="Q154" s="658"/>
      <c r="R154" s="658"/>
      <c r="S154" s="658"/>
      <c r="T154" s="658"/>
      <c r="U154" s="659"/>
      <c r="V154" s="631" t="s">
        <v>1070</v>
      </c>
      <c r="W154" s="632"/>
      <c r="X154" s="633"/>
      <c r="Y154" s="634"/>
      <c r="Z154" s="634"/>
      <c r="AA154" s="634"/>
      <c r="AB154" s="634"/>
      <c r="AC154" s="634"/>
      <c r="AD154" s="634"/>
      <c r="AE154" s="634"/>
      <c r="AF154" s="634"/>
      <c r="AG154" s="634"/>
      <c r="AH154" s="634"/>
      <c r="AI154" s="634"/>
      <c r="AJ154" s="634"/>
      <c r="AK154" s="634"/>
      <c r="AL154" s="634"/>
      <c r="AM154" s="634"/>
      <c r="AN154" s="634"/>
      <c r="AO154" s="634"/>
      <c r="AP154" s="634"/>
      <c r="AQ154" s="634"/>
      <c r="AR154" s="634"/>
      <c r="AS154" s="634"/>
      <c r="AT154" s="634"/>
      <c r="AU154" s="634"/>
      <c r="AV154" s="634"/>
      <c r="AW154" s="634"/>
      <c r="AX154" s="634"/>
      <c r="AY154" s="634"/>
      <c r="AZ154" s="634"/>
      <c r="BA154" s="634"/>
      <c r="BB154" s="634"/>
    </row>
    <row r="155" spans="1:54" ht="25.5" customHeight="1">
      <c r="A155" s="626">
        <v>150</v>
      </c>
      <c r="B155" s="627"/>
      <c r="C155" s="651" t="s">
        <v>1081</v>
      </c>
      <c r="D155" s="652"/>
      <c r="E155" s="652"/>
      <c r="F155" s="652"/>
      <c r="G155" s="652"/>
      <c r="H155" s="652"/>
      <c r="I155" s="652"/>
      <c r="J155" s="652"/>
      <c r="K155" s="652"/>
      <c r="L155" s="652"/>
      <c r="M155" s="652"/>
      <c r="N155" s="652"/>
      <c r="O155" s="652"/>
      <c r="P155" s="652"/>
      <c r="Q155" s="652"/>
      <c r="R155" s="652"/>
      <c r="S155" s="652"/>
      <c r="T155" s="652"/>
      <c r="U155" s="653"/>
      <c r="V155" s="631" t="s">
        <v>1082</v>
      </c>
      <c r="W155" s="632"/>
      <c r="X155" s="633"/>
      <c r="Y155" s="646"/>
      <c r="Z155" s="646"/>
      <c r="AA155" s="646"/>
      <c r="AB155" s="647"/>
      <c r="AC155" s="647"/>
      <c r="AD155" s="647"/>
      <c r="AE155" s="646"/>
      <c r="AF155" s="646"/>
      <c r="AG155" s="646"/>
      <c r="AH155" s="647"/>
      <c r="AI155" s="647"/>
      <c r="AJ155" s="647"/>
      <c r="AK155" s="646"/>
      <c r="AL155" s="646"/>
      <c r="AM155" s="646"/>
      <c r="AN155" s="647"/>
      <c r="AO155" s="647"/>
      <c r="AP155" s="647"/>
      <c r="AQ155" s="646"/>
      <c r="AR155" s="646"/>
      <c r="AS155" s="646"/>
      <c r="AT155" s="647"/>
      <c r="AU155" s="647"/>
      <c r="AV155" s="647"/>
      <c r="AW155" s="646"/>
      <c r="AX155" s="646"/>
      <c r="AY155" s="646"/>
      <c r="AZ155" s="647"/>
      <c r="BA155" s="647"/>
      <c r="BB155" s="647"/>
    </row>
    <row r="156" spans="1:54" ht="12.75" customHeight="1">
      <c r="A156" s="626">
        <v>151</v>
      </c>
      <c r="B156" s="627"/>
      <c r="C156" s="657" t="s">
        <v>1071</v>
      </c>
      <c r="D156" s="658"/>
      <c r="E156" s="658"/>
      <c r="F156" s="658"/>
      <c r="G156" s="658"/>
      <c r="H156" s="658"/>
      <c r="I156" s="658"/>
      <c r="J156" s="658"/>
      <c r="K156" s="658"/>
      <c r="L156" s="658"/>
      <c r="M156" s="658"/>
      <c r="N156" s="658"/>
      <c r="O156" s="658"/>
      <c r="P156" s="658"/>
      <c r="Q156" s="658"/>
      <c r="R156" s="658"/>
      <c r="S156" s="658"/>
      <c r="T156" s="658"/>
      <c r="U156" s="659"/>
      <c r="V156" s="631" t="s">
        <v>1082</v>
      </c>
      <c r="W156" s="632"/>
      <c r="X156" s="633"/>
      <c r="Y156" s="634"/>
      <c r="Z156" s="634"/>
      <c r="AA156" s="634"/>
      <c r="AB156" s="634"/>
      <c r="AC156" s="634"/>
      <c r="AD156" s="634"/>
      <c r="AE156" s="634"/>
      <c r="AF156" s="634"/>
      <c r="AG156" s="634"/>
      <c r="AH156" s="634"/>
      <c r="AI156" s="634"/>
      <c r="AJ156" s="634"/>
      <c r="AK156" s="634"/>
      <c r="AL156" s="634"/>
      <c r="AM156" s="634"/>
      <c r="AN156" s="634"/>
      <c r="AO156" s="634"/>
      <c r="AP156" s="634"/>
      <c r="AQ156" s="634"/>
      <c r="AR156" s="634"/>
      <c r="AS156" s="634"/>
      <c r="AT156" s="634"/>
      <c r="AU156" s="634"/>
      <c r="AV156" s="634"/>
      <c r="AW156" s="634"/>
      <c r="AX156" s="634"/>
      <c r="AY156" s="634"/>
      <c r="AZ156" s="634"/>
      <c r="BA156" s="634"/>
      <c r="BB156" s="634"/>
    </row>
    <row r="157" spans="1:54" ht="12.75" customHeight="1">
      <c r="A157" s="626">
        <v>152</v>
      </c>
      <c r="B157" s="627"/>
      <c r="C157" s="657" t="s">
        <v>1072</v>
      </c>
      <c r="D157" s="658"/>
      <c r="E157" s="658"/>
      <c r="F157" s="658"/>
      <c r="G157" s="658"/>
      <c r="H157" s="658"/>
      <c r="I157" s="658"/>
      <c r="J157" s="658"/>
      <c r="K157" s="658"/>
      <c r="L157" s="658"/>
      <c r="M157" s="658"/>
      <c r="N157" s="658"/>
      <c r="O157" s="658"/>
      <c r="P157" s="658"/>
      <c r="Q157" s="658"/>
      <c r="R157" s="658"/>
      <c r="S157" s="658"/>
      <c r="T157" s="658"/>
      <c r="U157" s="659"/>
      <c r="V157" s="631" t="s">
        <v>1082</v>
      </c>
      <c r="W157" s="632"/>
      <c r="X157" s="633"/>
      <c r="Y157" s="634"/>
      <c r="Z157" s="634"/>
      <c r="AA157" s="634"/>
      <c r="AB157" s="634"/>
      <c r="AC157" s="634"/>
      <c r="AD157" s="634"/>
      <c r="AE157" s="634"/>
      <c r="AF157" s="634"/>
      <c r="AG157" s="634"/>
      <c r="AH157" s="634"/>
      <c r="AI157" s="634"/>
      <c r="AJ157" s="634"/>
      <c r="AK157" s="634"/>
      <c r="AL157" s="634"/>
      <c r="AM157" s="634"/>
      <c r="AN157" s="634"/>
      <c r="AO157" s="634"/>
      <c r="AP157" s="634"/>
      <c r="AQ157" s="634"/>
      <c r="AR157" s="634"/>
      <c r="AS157" s="634"/>
      <c r="AT157" s="634"/>
      <c r="AU157" s="634"/>
      <c r="AV157" s="634"/>
      <c r="AW157" s="634"/>
      <c r="AX157" s="634"/>
      <c r="AY157" s="634"/>
      <c r="AZ157" s="634"/>
      <c r="BA157" s="634"/>
      <c r="BB157" s="634"/>
    </row>
    <row r="158" spans="1:54" ht="25.5" customHeight="1">
      <c r="A158" s="626">
        <v>153</v>
      </c>
      <c r="B158" s="627"/>
      <c r="C158" s="657" t="s">
        <v>1073</v>
      </c>
      <c r="D158" s="658"/>
      <c r="E158" s="658"/>
      <c r="F158" s="658"/>
      <c r="G158" s="658"/>
      <c r="H158" s="658"/>
      <c r="I158" s="658"/>
      <c r="J158" s="658"/>
      <c r="K158" s="658"/>
      <c r="L158" s="658"/>
      <c r="M158" s="658"/>
      <c r="N158" s="658"/>
      <c r="O158" s="658"/>
      <c r="P158" s="658"/>
      <c r="Q158" s="658"/>
      <c r="R158" s="658"/>
      <c r="S158" s="658"/>
      <c r="T158" s="658"/>
      <c r="U158" s="659"/>
      <c r="V158" s="631" t="s">
        <v>1082</v>
      </c>
      <c r="W158" s="632"/>
      <c r="X158" s="633"/>
      <c r="Y158" s="634"/>
      <c r="Z158" s="634"/>
      <c r="AA158" s="634"/>
      <c r="AB158" s="634"/>
      <c r="AC158" s="634"/>
      <c r="AD158" s="634"/>
      <c r="AE158" s="634"/>
      <c r="AF158" s="634"/>
      <c r="AG158" s="634"/>
      <c r="AH158" s="634"/>
      <c r="AI158" s="634"/>
      <c r="AJ158" s="634"/>
      <c r="AK158" s="634"/>
      <c r="AL158" s="634"/>
      <c r="AM158" s="634"/>
      <c r="AN158" s="634"/>
      <c r="AO158" s="634"/>
      <c r="AP158" s="634"/>
      <c r="AQ158" s="634"/>
      <c r="AR158" s="634"/>
      <c r="AS158" s="634"/>
      <c r="AT158" s="634"/>
      <c r="AU158" s="634"/>
      <c r="AV158" s="634"/>
      <c r="AW158" s="634"/>
      <c r="AX158" s="634"/>
      <c r="AY158" s="634"/>
      <c r="AZ158" s="634"/>
      <c r="BA158" s="634"/>
      <c r="BB158" s="634"/>
    </row>
    <row r="159" spans="1:54" ht="12.75" customHeight="1">
      <c r="A159" s="626">
        <v>154</v>
      </c>
      <c r="B159" s="627"/>
      <c r="C159" s="657" t="s">
        <v>1074</v>
      </c>
      <c r="D159" s="658"/>
      <c r="E159" s="658"/>
      <c r="F159" s="658"/>
      <c r="G159" s="658"/>
      <c r="H159" s="658"/>
      <c r="I159" s="658"/>
      <c r="J159" s="658"/>
      <c r="K159" s="658"/>
      <c r="L159" s="658"/>
      <c r="M159" s="658"/>
      <c r="N159" s="658"/>
      <c r="O159" s="658"/>
      <c r="P159" s="658"/>
      <c r="Q159" s="658"/>
      <c r="R159" s="658"/>
      <c r="S159" s="658"/>
      <c r="T159" s="658"/>
      <c r="U159" s="659"/>
      <c r="V159" s="631" t="s">
        <v>1082</v>
      </c>
      <c r="W159" s="632"/>
      <c r="X159" s="633"/>
      <c r="Y159" s="634"/>
      <c r="Z159" s="634"/>
      <c r="AA159" s="634"/>
      <c r="AB159" s="634"/>
      <c r="AC159" s="634"/>
      <c r="AD159" s="634"/>
      <c r="AE159" s="634"/>
      <c r="AF159" s="634"/>
      <c r="AG159" s="634"/>
      <c r="AH159" s="634"/>
      <c r="AI159" s="634"/>
      <c r="AJ159" s="634"/>
      <c r="AK159" s="634"/>
      <c r="AL159" s="634"/>
      <c r="AM159" s="634"/>
      <c r="AN159" s="634"/>
      <c r="AO159" s="634"/>
      <c r="AP159" s="634"/>
      <c r="AQ159" s="634"/>
      <c r="AR159" s="634"/>
      <c r="AS159" s="634"/>
      <c r="AT159" s="634"/>
      <c r="AU159" s="634"/>
      <c r="AV159" s="634"/>
      <c r="AW159" s="634"/>
      <c r="AX159" s="634"/>
      <c r="AY159" s="634"/>
      <c r="AZ159" s="634"/>
      <c r="BA159" s="634"/>
      <c r="BB159" s="634"/>
    </row>
    <row r="160" spans="1:54" ht="12.75" customHeight="1">
      <c r="A160" s="626">
        <v>155</v>
      </c>
      <c r="B160" s="627"/>
      <c r="C160" s="657" t="s">
        <v>1075</v>
      </c>
      <c r="D160" s="658"/>
      <c r="E160" s="658"/>
      <c r="F160" s="658"/>
      <c r="G160" s="658"/>
      <c r="H160" s="658"/>
      <c r="I160" s="658"/>
      <c r="J160" s="658"/>
      <c r="K160" s="658"/>
      <c r="L160" s="658"/>
      <c r="M160" s="658"/>
      <c r="N160" s="658"/>
      <c r="O160" s="658"/>
      <c r="P160" s="658"/>
      <c r="Q160" s="658"/>
      <c r="R160" s="658"/>
      <c r="S160" s="658"/>
      <c r="T160" s="658"/>
      <c r="U160" s="659"/>
      <c r="V160" s="631" t="s">
        <v>1082</v>
      </c>
      <c r="W160" s="632"/>
      <c r="X160" s="633"/>
      <c r="Y160" s="634"/>
      <c r="Z160" s="634"/>
      <c r="AA160" s="634"/>
      <c r="AB160" s="634"/>
      <c r="AC160" s="634"/>
      <c r="AD160" s="634"/>
      <c r="AE160" s="634"/>
      <c r="AF160" s="634"/>
      <c r="AG160" s="634"/>
      <c r="AH160" s="634"/>
      <c r="AI160" s="634"/>
      <c r="AJ160" s="634"/>
      <c r="AK160" s="634"/>
      <c r="AL160" s="634"/>
      <c r="AM160" s="634"/>
      <c r="AN160" s="634"/>
      <c r="AO160" s="634"/>
      <c r="AP160" s="634"/>
      <c r="AQ160" s="634"/>
      <c r="AR160" s="634"/>
      <c r="AS160" s="634"/>
      <c r="AT160" s="634"/>
      <c r="AU160" s="634"/>
      <c r="AV160" s="634"/>
      <c r="AW160" s="634"/>
      <c r="AX160" s="634"/>
      <c r="AY160" s="634"/>
      <c r="AZ160" s="634"/>
      <c r="BA160" s="634"/>
      <c r="BB160" s="634"/>
    </row>
    <row r="161" spans="1:54" ht="12.75" customHeight="1">
      <c r="A161" s="626">
        <v>156</v>
      </c>
      <c r="B161" s="627"/>
      <c r="C161" s="657" t="s">
        <v>1076</v>
      </c>
      <c r="D161" s="658"/>
      <c r="E161" s="658"/>
      <c r="F161" s="658"/>
      <c r="G161" s="658"/>
      <c r="H161" s="658"/>
      <c r="I161" s="658"/>
      <c r="J161" s="658"/>
      <c r="K161" s="658"/>
      <c r="L161" s="658"/>
      <c r="M161" s="658"/>
      <c r="N161" s="658"/>
      <c r="O161" s="658"/>
      <c r="P161" s="658"/>
      <c r="Q161" s="658"/>
      <c r="R161" s="658"/>
      <c r="S161" s="658"/>
      <c r="T161" s="658"/>
      <c r="U161" s="659"/>
      <c r="V161" s="631" t="s">
        <v>1082</v>
      </c>
      <c r="W161" s="632"/>
      <c r="X161" s="633"/>
      <c r="Y161" s="634"/>
      <c r="Z161" s="634"/>
      <c r="AA161" s="634"/>
      <c r="AB161" s="634"/>
      <c r="AC161" s="634"/>
      <c r="AD161" s="634"/>
      <c r="AE161" s="634"/>
      <c r="AF161" s="634"/>
      <c r="AG161" s="634"/>
      <c r="AH161" s="634"/>
      <c r="AI161" s="634"/>
      <c r="AJ161" s="634"/>
      <c r="AK161" s="634"/>
      <c r="AL161" s="634"/>
      <c r="AM161" s="634"/>
      <c r="AN161" s="634"/>
      <c r="AO161" s="634"/>
      <c r="AP161" s="634"/>
      <c r="AQ161" s="634"/>
      <c r="AR161" s="634"/>
      <c r="AS161" s="634"/>
      <c r="AT161" s="634"/>
      <c r="AU161" s="634"/>
      <c r="AV161" s="634"/>
      <c r="AW161" s="634"/>
      <c r="AX161" s="634"/>
      <c r="AY161" s="634"/>
      <c r="AZ161" s="634"/>
      <c r="BA161" s="634"/>
      <c r="BB161" s="634"/>
    </row>
    <row r="162" spans="1:54" ht="12.75" customHeight="1">
      <c r="A162" s="626">
        <v>157</v>
      </c>
      <c r="B162" s="627"/>
      <c r="C162" s="657" t="s">
        <v>1077</v>
      </c>
      <c r="D162" s="658"/>
      <c r="E162" s="658"/>
      <c r="F162" s="658"/>
      <c r="G162" s="658"/>
      <c r="H162" s="658"/>
      <c r="I162" s="658"/>
      <c r="J162" s="658"/>
      <c r="K162" s="658"/>
      <c r="L162" s="658"/>
      <c r="M162" s="658"/>
      <c r="N162" s="658"/>
      <c r="O162" s="658"/>
      <c r="P162" s="658"/>
      <c r="Q162" s="658"/>
      <c r="R162" s="658"/>
      <c r="S162" s="658"/>
      <c r="T162" s="658"/>
      <c r="U162" s="659"/>
      <c r="V162" s="631" t="s">
        <v>1082</v>
      </c>
      <c r="W162" s="632"/>
      <c r="X162" s="633"/>
      <c r="Y162" s="634"/>
      <c r="Z162" s="634"/>
      <c r="AA162" s="634"/>
      <c r="AB162" s="634"/>
      <c r="AC162" s="634"/>
      <c r="AD162" s="634"/>
      <c r="AE162" s="634"/>
      <c r="AF162" s="634"/>
      <c r="AG162" s="634"/>
      <c r="AH162" s="634"/>
      <c r="AI162" s="634"/>
      <c r="AJ162" s="634"/>
      <c r="AK162" s="634"/>
      <c r="AL162" s="634"/>
      <c r="AM162" s="634"/>
      <c r="AN162" s="634"/>
      <c r="AO162" s="634"/>
      <c r="AP162" s="634"/>
      <c r="AQ162" s="634"/>
      <c r="AR162" s="634"/>
      <c r="AS162" s="634"/>
      <c r="AT162" s="634"/>
      <c r="AU162" s="634"/>
      <c r="AV162" s="634"/>
      <c r="AW162" s="634"/>
      <c r="AX162" s="634"/>
      <c r="AY162" s="634"/>
      <c r="AZ162" s="634"/>
      <c r="BA162" s="634"/>
      <c r="BB162" s="634"/>
    </row>
    <row r="163" spans="1:54" ht="12.75" customHeight="1">
      <c r="A163" s="626">
        <v>158</v>
      </c>
      <c r="B163" s="627"/>
      <c r="C163" s="657" t="s">
        <v>1078</v>
      </c>
      <c r="D163" s="658"/>
      <c r="E163" s="658"/>
      <c r="F163" s="658"/>
      <c r="G163" s="658"/>
      <c r="H163" s="658"/>
      <c r="I163" s="658"/>
      <c r="J163" s="658"/>
      <c r="K163" s="658"/>
      <c r="L163" s="658"/>
      <c r="M163" s="658"/>
      <c r="N163" s="658"/>
      <c r="O163" s="658"/>
      <c r="P163" s="658"/>
      <c r="Q163" s="658"/>
      <c r="R163" s="658"/>
      <c r="S163" s="658"/>
      <c r="T163" s="658"/>
      <c r="U163" s="659"/>
      <c r="V163" s="631" t="s">
        <v>1082</v>
      </c>
      <c r="W163" s="632"/>
      <c r="X163" s="633"/>
      <c r="Y163" s="634"/>
      <c r="Z163" s="634"/>
      <c r="AA163" s="634"/>
      <c r="AB163" s="634"/>
      <c r="AC163" s="634"/>
      <c r="AD163" s="634"/>
      <c r="AE163" s="634"/>
      <c r="AF163" s="634"/>
      <c r="AG163" s="634"/>
      <c r="AH163" s="634"/>
      <c r="AI163" s="634"/>
      <c r="AJ163" s="634"/>
      <c r="AK163" s="634"/>
      <c r="AL163" s="634"/>
      <c r="AM163" s="634"/>
      <c r="AN163" s="634"/>
      <c r="AO163" s="634"/>
      <c r="AP163" s="634"/>
      <c r="AQ163" s="634"/>
      <c r="AR163" s="634"/>
      <c r="AS163" s="634"/>
      <c r="AT163" s="634"/>
      <c r="AU163" s="634"/>
      <c r="AV163" s="634"/>
      <c r="AW163" s="634"/>
      <c r="AX163" s="634"/>
      <c r="AY163" s="634"/>
      <c r="AZ163" s="634"/>
      <c r="BA163" s="634"/>
      <c r="BB163" s="634"/>
    </row>
    <row r="164" spans="1:54" ht="25.5" customHeight="1">
      <c r="A164" s="626">
        <v>159</v>
      </c>
      <c r="B164" s="627"/>
      <c r="C164" s="657" t="s">
        <v>1079</v>
      </c>
      <c r="D164" s="658"/>
      <c r="E164" s="658"/>
      <c r="F164" s="658"/>
      <c r="G164" s="658"/>
      <c r="H164" s="658"/>
      <c r="I164" s="658"/>
      <c r="J164" s="658"/>
      <c r="K164" s="658"/>
      <c r="L164" s="658"/>
      <c r="M164" s="658"/>
      <c r="N164" s="658"/>
      <c r="O164" s="658"/>
      <c r="P164" s="658"/>
      <c r="Q164" s="658"/>
      <c r="R164" s="658"/>
      <c r="S164" s="658"/>
      <c r="T164" s="658"/>
      <c r="U164" s="659"/>
      <c r="V164" s="631" t="s">
        <v>1082</v>
      </c>
      <c r="W164" s="632"/>
      <c r="X164" s="633"/>
      <c r="Y164" s="634"/>
      <c r="Z164" s="634"/>
      <c r="AA164" s="634"/>
      <c r="AB164" s="634"/>
      <c r="AC164" s="634"/>
      <c r="AD164" s="634"/>
      <c r="AE164" s="634"/>
      <c r="AF164" s="634"/>
      <c r="AG164" s="634"/>
      <c r="AH164" s="634"/>
      <c r="AI164" s="634"/>
      <c r="AJ164" s="634"/>
      <c r="AK164" s="634"/>
      <c r="AL164" s="634"/>
      <c r="AM164" s="634"/>
      <c r="AN164" s="634"/>
      <c r="AO164" s="634"/>
      <c r="AP164" s="634"/>
      <c r="AQ164" s="634"/>
      <c r="AR164" s="634"/>
      <c r="AS164" s="634"/>
      <c r="AT164" s="634"/>
      <c r="AU164" s="634"/>
      <c r="AV164" s="634"/>
      <c r="AW164" s="634"/>
      <c r="AX164" s="634"/>
      <c r="AY164" s="634"/>
      <c r="AZ164" s="634"/>
      <c r="BA164" s="634"/>
      <c r="BB164" s="634"/>
    </row>
    <row r="165" spans="1:54" ht="25.5" customHeight="1">
      <c r="A165" s="626">
        <v>160</v>
      </c>
      <c r="B165" s="627"/>
      <c r="C165" s="657" t="s">
        <v>1080</v>
      </c>
      <c r="D165" s="658"/>
      <c r="E165" s="658"/>
      <c r="F165" s="658"/>
      <c r="G165" s="658"/>
      <c r="H165" s="658"/>
      <c r="I165" s="658"/>
      <c r="J165" s="658"/>
      <c r="K165" s="658"/>
      <c r="L165" s="658"/>
      <c r="M165" s="658"/>
      <c r="N165" s="658"/>
      <c r="O165" s="658"/>
      <c r="P165" s="658"/>
      <c r="Q165" s="658"/>
      <c r="R165" s="658"/>
      <c r="S165" s="658"/>
      <c r="T165" s="658"/>
      <c r="U165" s="659"/>
      <c r="V165" s="631" t="s">
        <v>1082</v>
      </c>
      <c r="W165" s="632"/>
      <c r="X165" s="633"/>
      <c r="Y165" s="634"/>
      <c r="Z165" s="634"/>
      <c r="AA165" s="634"/>
      <c r="AB165" s="634"/>
      <c r="AC165" s="634"/>
      <c r="AD165" s="634"/>
      <c r="AE165" s="634"/>
      <c r="AF165" s="634"/>
      <c r="AG165" s="634"/>
      <c r="AH165" s="634"/>
      <c r="AI165" s="634"/>
      <c r="AJ165" s="634"/>
      <c r="AK165" s="634"/>
      <c r="AL165" s="634"/>
      <c r="AM165" s="634"/>
      <c r="AN165" s="634"/>
      <c r="AO165" s="634"/>
      <c r="AP165" s="634"/>
      <c r="AQ165" s="634"/>
      <c r="AR165" s="634"/>
      <c r="AS165" s="634"/>
      <c r="AT165" s="634"/>
      <c r="AU165" s="634"/>
      <c r="AV165" s="634"/>
      <c r="AW165" s="634"/>
      <c r="AX165" s="634"/>
      <c r="AY165" s="634"/>
      <c r="AZ165" s="634"/>
      <c r="BA165" s="634"/>
      <c r="BB165" s="634"/>
    </row>
    <row r="166" spans="1:54" ht="25.5" customHeight="1">
      <c r="A166" s="626">
        <v>161</v>
      </c>
      <c r="B166" s="627"/>
      <c r="C166" s="651" t="s">
        <v>1083</v>
      </c>
      <c r="D166" s="652"/>
      <c r="E166" s="652"/>
      <c r="F166" s="652"/>
      <c r="G166" s="652"/>
      <c r="H166" s="652"/>
      <c r="I166" s="652"/>
      <c r="J166" s="652"/>
      <c r="K166" s="652"/>
      <c r="L166" s="652"/>
      <c r="M166" s="652"/>
      <c r="N166" s="652"/>
      <c r="O166" s="652"/>
      <c r="P166" s="652"/>
      <c r="Q166" s="652"/>
      <c r="R166" s="652"/>
      <c r="S166" s="652"/>
      <c r="T166" s="652"/>
      <c r="U166" s="653"/>
      <c r="V166" s="631" t="s">
        <v>1084</v>
      </c>
      <c r="W166" s="632"/>
      <c r="X166" s="633"/>
      <c r="Y166" s="646"/>
      <c r="Z166" s="646"/>
      <c r="AA166" s="646"/>
      <c r="AB166" s="647"/>
      <c r="AC166" s="647"/>
      <c r="AD166" s="647"/>
      <c r="AE166" s="646"/>
      <c r="AF166" s="646"/>
      <c r="AG166" s="646"/>
      <c r="AH166" s="647"/>
      <c r="AI166" s="647"/>
      <c r="AJ166" s="647"/>
      <c r="AK166" s="646"/>
      <c r="AL166" s="646"/>
      <c r="AM166" s="646"/>
      <c r="AN166" s="647"/>
      <c r="AO166" s="647"/>
      <c r="AP166" s="647"/>
      <c r="AQ166" s="646"/>
      <c r="AR166" s="646"/>
      <c r="AS166" s="646"/>
      <c r="AT166" s="647"/>
      <c r="AU166" s="647"/>
      <c r="AV166" s="647"/>
      <c r="AW166" s="646"/>
      <c r="AX166" s="646"/>
      <c r="AY166" s="646"/>
      <c r="AZ166" s="647"/>
      <c r="BA166" s="647"/>
      <c r="BB166" s="647"/>
    </row>
    <row r="167" spans="1:54" ht="12.75" customHeight="1">
      <c r="A167" s="626">
        <v>162</v>
      </c>
      <c r="B167" s="627"/>
      <c r="C167" s="657" t="s">
        <v>1071</v>
      </c>
      <c r="D167" s="658"/>
      <c r="E167" s="658"/>
      <c r="F167" s="658"/>
      <c r="G167" s="658"/>
      <c r="H167" s="658"/>
      <c r="I167" s="658"/>
      <c r="J167" s="658"/>
      <c r="K167" s="658"/>
      <c r="L167" s="658"/>
      <c r="M167" s="658"/>
      <c r="N167" s="658"/>
      <c r="O167" s="658"/>
      <c r="P167" s="658"/>
      <c r="Q167" s="658"/>
      <c r="R167" s="658"/>
      <c r="S167" s="658"/>
      <c r="T167" s="658"/>
      <c r="U167" s="659"/>
      <c r="V167" s="631" t="s">
        <v>1084</v>
      </c>
      <c r="W167" s="632"/>
      <c r="X167" s="633"/>
      <c r="Y167" s="634"/>
      <c r="Z167" s="634"/>
      <c r="AA167" s="634"/>
      <c r="AB167" s="634"/>
      <c r="AC167" s="634"/>
      <c r="AD167" s="634"/>
      <c r="AE167" s="634"/>
      <c r="AF167" s="634"/>
      <c r="AG167" s="634"/>
      <c r="AH167" s="634"/>
      <c r="AI167" s="634"/>
      <c r="AJ167" s="634"/>
      <c r="AK167" s="634"/>
      <c r="AL167" s="634"/>
      <c r="AM167" s="634"/>
      <c r="AN167" s="634"/>
      <c r="AO167" s="634"/>
      <c r="AP167" s="634"/>
      <c r="AQ167" s="634"/>
      <c r="AR167" s="634"/>
      <c r="AS167" s="634"/>
      <c r="AT167" s="634"/>
      <c r="AU167" s="634"/>
      <c r="AV167" s="634"/>
      <c r="AW167" s="634"/>
      <c r="AX167" s="634"/>
      <c r="AY167" s="634"/>
      <c r="AZ167" s="634"/>
      <c r="BA167" s="634"/>
      <c r="BB167" s="634"/>
    </row>
    <row r="168" spans="1:54" ht="12.75" customHeight="1">
      <c r="A168" s="626">
        <v>163</v>
      </c>
      <c r="B168" s="627"/>
      <c r="C168" s="657" t="s">
        <v>1072</v>
      </c>
      <c r="D168" s="658"/>
      <c r="E168" s="658"/>
      <c r="F168" s="658"/>
      <c r="G168" s="658"/>
      <c r="H168" s="658"/>
      <c r="I168" s="658"/>
      <c r="J168" s="658"/>
      <c r="K168" s="658"/>
      <c r="L168" s="658"/>
      <c r="M168" s="658"/>
      <c r="N168" s="658"/>
      <c r="O168" s="658"/>
      <c r="P168" s="658"/>
      <c r="Q168" s="658"/>
      <c r="R168" s="658"/>
      <c r="S168" s="658"/>
      <c r="T168" s="658"/>
      <c r="U168" s="659"/>
      <c r="V168" s="631" t="s">
        <v>1084</v>
      </c>
      <c r="W168" s="632"/>
      <c r="X168" s="633"/>
      <c r="Y168" s="634"/>
      <c r="Z168" s="634"/>
      <c r="AA168" s="634"/>
      <c r="AB168" s="634"/>
      <c r="AC168" s="634"/>
      <c r="AD168" s="634"/>
      <c r="AE168" s="634"/>
      <c r="AF168" s="634"/>
      <c r="AG168" s="634"/>
      <c r="AH168" s="634"/>
      <c r="AI168" s="634"/>
      <c r="AJ168" s="634"/>
      <c r="AK168" s="634"/>
      <c r="AL168" s="634"/>
      <c r="AM168" s="634"/>
      <c r="AN168" s="634"/>
      <c r="AO168" s="634"/>
      <c r="AP168" s="634"/>
      <c r="AQ168" s="634"/>
      <c r="AR168" s="634"/>
      <c r="AS168" s="634"/>
      <c r="AT168" s="634"/>
      <c r="AU168" s="634"/>
      <c r="AV168" s="634"/>
      <c r="AW168" s="634"/>
      <c r="AX168" s="634"/>
      <c r="AY168" s="634"/>
      <c r="AZ168" s="634"/>
      <c r="BA168" s="634"/>
      <c r="BB168" s="634"/>
    </row>
    <row r="169" spans="1:54" ht="25.5" customHeight="1">
      <c r="A169" s="626">
        <v>164</v>
      </c>
      <c r="B169" s="627"/>
      <c r="C169" s="657" t="s">
        <v>1073</v>
      </c>
      <c r="D169" s="658"/>
      <c r="E169" s="658"/>
      <c r="F169" s="658"/>
      <c r="G169" s="658"/>
      <c r="H169" s="658"/>
      <c r="I169" s="658"/>
      <c r="J169" s="658"/>
      <c r="K169" s="658"/>
      <c r="L169" s="658"/>
      <c r="M169" s="658"/>
      <c r="N169" s="658"/>
      <c r="O169" s="658"/>
      <c r="P169" s="658"/>
      <c r="Q169" s="658"/>
      <c r="R169" s="658"/>
      <c r="S169" s="658"/>
      <c r="T169" s="658"/>
      <c r="U169" s="659"/>
      <c r="V169" s="631" t="s">
        <v>1084</v>
      </c>
      <c r="W169" s="632"/>
      <c r="X169" s="633"/>
      <c r="Y169" s="634"/>
      <c r="Z169" s="634"/>
      <c r="AA169" s="634"/>
      <c r="AB169" s="634"/>
      <c r="AC169" s="634"/>
      <c r="AD169" s="634"/>
      <c r="AE169" s="634"/>
      <c r="AF169" s="634"/>
      <c r="AG169" s="634"/>
      <c r="AH169" s="634"/>
      <c r="AI169" s="634"/>
      <c r="AJ169" s="634"/>
      <c r="AK169" s="634"/>
      <c r="AL169" s="634"/>
      <c r="AM169" s="634"/>
      <c r="AN169" s="634"/>
      <c r="AO169" s="634"/>
      <c r="AP169" s="634"/>
      <c r="AQ169" s="634"/>
      <c r="AR169" s="634"/>
      <c r="AS169" s="634"/>
      <c r="AT169" s="634"/>
      <c r="AU169" s="634"/>
      <c r="AV169" s="634"/>
      <c r="AW169" s="634"/>
      <c r="AX169" s="634"/>
      <c r="AY169" s="634"/>
      <c r="AZ169" s="634"/>
      <c r="BA169" s="634"/>
      <c r="BB169" s="634"/>
    </row>
    <row r="170" spans="1:54" ht="12.75" customHeight="1">
      <c r="A170" s="626">
        <v>165</v>
      </c>
      <c r="B170" s="627"/>
      <c r="C170" s="657" t="s">
        <v>1074</v>
      </c>
      <c r="D170" s="658"/>
      <c r="E170" s="658"/>
      <c r="F170" s="658"/>
      <c r="G170" s="658"/>
      <c r="H170" s="658"/>
      <c r="I170" s="658"/>
      <c r="J170" s="658"/>
      <c r="K170" s="658"/>
      <c r="L170" s="658"/>
      <c r="M170" s="658"/>
      <c r="N170" s="658"/>
      <c r="O170" s="658"/>
      <c r="P170" s="658"/>
      <c r="Q170" s="658"/>
      <c r="R170" s="658"/>
      <c r="S170" s="658"/>
      <c r="T170" s="658"/>
      <c r="U170" s="659"/>
      <c r="V170" s="631" t="s">
        <v>1084</v>
      </c>
      <c r="W170" s="632"/>
      <c r="X170" s="633"/>
      <c r="Y170" s="634"/>
      <c r="Z170" s="634"/>
      <c r="AA170" s="634"/>
      <c r="AB170" s="634"/>
      <c r="AC170" s="634"/>
      <c r="AD170" s="634"/>
      <c r="AE170" s="634"/>
      <c r="AF170" s="634"/>
      <c r="AG170" s="634"/>
      <c r="AH170" s="634"/>
      <c r="AI170" s="634"/>
      <c r="AJ170" s="634"/>
      <c r="AK170" s="634"/>
      <c r="AL170" s="634"/>
      <c r="AM170" s="634"/>
      <c r="AN170" s="634"/>
      <c r="AO170" s="634"/>
      <c r="AP170" s="634"/>
      <c r="AQ170" s="634"/>
      <c r="AR170" s="634"/>
      <c r="AS170" s="634"/>
      <c r="AT170" s="634"/>
      <c r="AU170" s="634"/>
      <c r="AV170" s="634"/>
      <c r="AW170" s="634"/>
      <c r="AX170" s="634"/>
      <c r="AY170" s="634"/>
      <c r="AZ170" s="634"/>
      <c r="BA170" s="634"/>
      <c r="BB170" s="634"/>
    </row>
    <row r="171" spans="1:54" ht="12.75" customHeight="1">
      <c r="A171" s="626">
        <v>166</v>
      </c>
      <c r="B171" s="627"/>
      <c r="C171" s="657" t="s">
        <v>1075</v>
      </c>
      <c r="D171" s="658"/>
      <c r="E171" s="658"/>
      <c r="F171" s="658"/>
      <c r="G171" s="658"/>
      <c r="H171" s="658"/>
      <c r="I171" s="658"/>
      <c r="J171" s="658"/>
      <c r="K171" s="658"/>
      <c r="L171" s="658"/>
      <c r="M171" s="658"/>
      <c r="N171" s="658"/>
      <c r="O171" s="658"/>
      <c r="P171" s="658"/>
      <c r="Q171" s="658"/>
      <c r="R171" s="658"/>
      <c r="S171" s="658"/>
      <c r="T171" s="658"/>
      <c r="U171" s="659"/>
      <c r="V171" s="631" t="s">
        <v>1084</v>
      </c>
      <c r="W171" s="632"/>
      <c r="X171" s="633"/>
      <c r="Y171" s="634"/>
      <c r="Z171" s="634"/>
      <c r="AA171" s="634"/>
      <c r="AB171" s="634"/>
      <c r="AC171" s="634"/>
      <c r="AD171" s="634"/>
      <c r="AE171" s="634"/>
      <c r="AF171" s="634"/>
      <c r="AG171" s="634"/>
      <c r="AH171" s="634"/>
      <c r="AI171" s="634"/>
      <c r="AJ171" s="634"/>
      <c r="AK171" s="634"/>
      <c r="AL171" s="634"/>
      <c r="AM171" s="634"/>
      <c r="AN171" s="634"/>
      <c r="AO171" s="634"/>
      <c r="AP171" s="634"/>
      <c r="AQ171" s="634"/>
      <c r="AR171" s="634"/>
      <c r="AS171" s="634"/>
      <c r="AT171" s="634"/>
      <c r="AU171" s="634"/>
      <c r="AV171" s="634"/>
      <c r="AW171" s="634"/>
      <c r="AX171" s="634"/>
      <c r="AY171" s="634"/>
      <c r="AZ171" s="634"/>
      <c r="BA171" s="634"/>
      <c r="BB171" s="634"/>
    </row>
    <row r="172" spans="1:54" ht="12.75" customHeight="1">
      <c r="A172" s="626">
        <v>167</v>
      </c>
      <c r="B172" s="627"/>
      <c r="C172" s="657" t="s">
        <v>1076</v>
      </c>
      <c r="D172" s="658"/>
      <c r="E172" s="658"/>
      <c r="F172" s="658"/>
      <c r="G172" s="658"/>
      <c r="H172" s="658"/>
      <c r="I172" s="658"/>
      <c r="J172" s="658"/>
      <c r="K172" s="658"/>
      <c r="L172" s="658"/>
      <c r="M172" s="658"/>
      <c r="N172" s="658"/>
      <c r="O172" s="658"/>
      <c r="P172" s="658"/>
      <c r="Q172" s="658"/>
      <c r="R172" s="658"/>
      <c r="S172" s="658"/>
      <c r="T172" s="658"/>
      <c r="U172" s="659"/>
      <c r="V172" s="631" t="s">
        <v>1084</v>
      </c>
      <c r="W172" s="632"/>
      <c r="X172" s="633"/>
      <c r="Y172" s="634"/>
      <c r="Z172" s="634"/>
      <c r="AA172" s="634"/>
      <c r="AB172" s="634"/>
      <c r="AC172" s="634"/>
      <c r="AD172" s="634"/>
      <c r="AE172" s="634"/>
      <c r="AF172" s="634"/>
      <c r="AG172" s="634"/>
      <c r="AH172" s="634"/>
      <c r="AI172" s="634"/>
      <c r="AJ172" s="634"/>
      <c r="AK172" s="634"/>
      <c r="AL172" s="634"/>
      <c r="AM172" s="634"/>
      <c r="AN172" s="634"/>
      <c r="AO172" s="634"/>
      <c r="AP172" s="634"/>
      <c r="AQ172" s="634"/>
      <c r="AR172" s="634"/>
      <c r="AS172" s="634"/>
      <c r="AT172" s="634"/>
      <c r="AU172" s="634"/>
      <c r="AV172" s="634"/>
      <c r="AW172" s="634"/>
      <c r="AX172" s="634"/>
      <c r="AY172" s="634"/>
      <c r="AZ172" s="634"/>
      <c r="BA172" s="634"/>
      <c r="BB172" s="634"/>
    </row>
    <row r="173" spans="1:54" ht="12.75" customHeight="1">
      <c r="A173" s="626">
        <v>168</v>
      </c>
      <c r="B173" s="627"/>
      <c r="C173" s="657" t="s">
        <v>1077</v>
      </c>
      <c r="D173" s="658"/>
      <c r="E173" s="658"/>
      <c r="F173" s="658"/>
      <c r="G173" s="658"/>
      <c r="H173" s="658"/>
      <c r="I173" s="658"/>
      <c r="J173" s="658"/>
      <c r="K173" s="658"/>
      <c r="L173" s="658"/>
      <c r="M173" s="658"/>
      <c r="N173" s="658"/>
      <c r="O173" s="658"/>
      <c r="P173" s="658"/>
      <c r="Q173" s="658"/>
      <c r="R173" s="658"/>
      <c r="S173" s="658"/>
      <c r="T173" s="658"/>
      <c r="U173" s="659"/>
      <c r="V173" s="631" t="s">
        <v>1084</v>
      </c>
      <c r="W173" s="632"/>
      <c r="X173" s="633"/>
      <c r="Y173" s="634"/>
      <c r="Z173" s="634"/>
      <c r="AA173" s="634"/>
      <c r="AB173" s="634"/>
      <c r="AC173" s="634"/>
      <c r="AD173" s="634"/>
      <c r="AE173" s="634"/>
      <c r="AF173" s="634"/>
      <c r="AG173" s="634"/>
      <c r="AH173" s="634"/>
      <c r="AI173" s="634"/>
      <c r="AJ173" s="634"/>
      <c r="AK173" s="634"/>
      <c r="AL173" s="634"/>
      <c r="AM173" s="634"/>
      <c r="AN173" s="634"/>
      <c r="AO173" s="634"/>
      <c r="AP173" s="634"/>
      <c r="AQ173" s="634"/>
      <c r="AR173" s="634"/>
      <c r="AS173" s="634"/>
      <c r="AT173" s="634"/>
      <c r="AU173" s="634"/>
      <c r="AV173" s="634"/>
      <c r="AW173" s="634"/>
      <c r="AX173" s="634"/>
      <c r="AY173" s="634"/>
      <c r="AZ173" s="634"/>
      <c r="BA173" s="634"/>
      <c r="BB173" s="634"/>
    </row>
    <row r="174" spans="1:54" ht="12.75" customHeight="1">
      <c r="A174" s="626">
        <v>169</v>
      </c>
      <c r="B174" s="627"/>
      <c r="C174" s="657" t="s">
        <v>1078</v>
      </c>
      <c r="D174" s="658"/>
      <c r="E174" s="658"/>
      <c r="F174" s="658"/>
      <c r="G174" s="658"/>
      <c r="H174" s="658"/>
      <c r="I174" s="658"/>
      <c r="J174" s="658"/>
      <c r="K174" s="658"/>
      <c r="L174" s="658"/>
      <c r="M174" s="658"/>
      <c r="N174" s="658"/>
      <c r="O174" s="658"/>
      <c r="P174" s="658"/>
      <c r="Q174" s="658"/>
      <c r="R174" s="658"/>
      <c r="S174" s="658"/>
      <c r="T174" s="658"/>
      <c r="U174" s="659"/>
      <c r="V174" s="631" t="s">
        <v>1084</v>
      </c>
      <c r="W174" s="632"/>
      <c r="X174" s="633"/>
      <c r="Y174" s="634"/>
      <c r="Z174" s="634"/>
      <c r="AA174" s="634"/>
      <c r="AB174" s="634"/>
      <c r="AC174" s="634"/>
      <c r="AD174" s="634"/>
      <c r="AE174" s="634"/>
      <c r="AF174" s="634"/>
      <c r="AG174" s="634"/>
      <c r="AH174" s="634"/>
      <c r="AI174" s="634"/>
      <c r="AJ174" s="634"/>
      <c r="AK174" s="634"/>
      <c r="AL174" s="634"/>
      <c r="AM174" s="634"/>
      <c r="AN174" s="634"/>
      <c r="AO174" s="634"/>
      <c r="AP174" s="634"/>
      <c r="AQ174" s="634"/>
      <c r="AR174" s="634"/>
      <c r="AS174" s="634"/>
      <c r="AT174" s="634"/>
      <c r="AU174" s="634"/>
      <c r="AV174" s="634"/>
      <c r="AW174" s="634"/>
      <c r="AX174" s="634"/>
      <c r="AY174" s="634"/>
      <c r="AZ174" s="634"/>
      <c r="BA174" s="634"/>
      <c r="BB174" s="634"/>
    </row>
    <row r="175" spans="1:54" ht="25.5" customHeight="1">
      <c r="A175" s="626">
        <v>170</v>
      </c>
      <c r="B175" s="627"/>
      <c r="C175" s="657" t="s">
        <v>1079</v>
      </c>
      <c r="D175" s="658"/>
      <c r="E175" s="658"/>
      <c r="F175" s="658"/>
      <c r="G175" s="658"/>
      <c r="H175" s="658"/>
      <c r="I175" s="658"/>
      <c r="J175" s="658"/>
      <c r="K175" s="658"/>
      <c r="L175" s="658"/>
      <c r="M175" s="658"/>
      <c r="N175" s="658"/>
      <c r="O175" s="658"/>
      <c r="P175" s="658"/>
      <c r="Q175" s="658"/>
      <c r="R175" s="658"/>
      <c r="S175" s="658"/>
      <c r="T175" s="658"/>
      <c r="U175" s="659"/>
      <c r="V175" s="631" t="s">
        <v>1084</v>
      </c>
      <c r="W175" s="632"/>
      <c r="X175" s="633"/>
      <c r="Y175" s="634"/>
      <c r="Z175" s="634"/>
      <c r="AA175" s="634"/>
      <c r="AB175" s="634"/>
      <c r="AC175" s="634"/>
      <c r="AD175" s="634"/>
      <c r="AE175" s="634"/>
      <c r="AF175" s="634"/>
      <c r="AG175" s="634"/>
      <c r="AH175" s="634"/>
      <c r="AI175" s="634"/>
      <c r="AJ175" s="634"/>
      <c r="AK175" s="634"/>
      <c r="AL175" s="634"/>
      <c r="AM175" s="634"/>
      <c r="AN175" s="634"/>
      <c r="AO175" s="634"/>
      <c r="AP175" s="634"/>
      <c r="AQ175" s="634"/>
      <c r="AR175" s="634"/>
      <c r="AS175" s="634"/>
      <c r="AT175" s="634"/>
      <c r="AU175" s="634"/>
      <c r="AV175" s="634"/>
      <c r="AW175" s="634"/>
      <c r="AX175" s="634"/>
      <c r="AY175" s="634"/>
      <c r="AZ175" s="634"/>
      <c r="BA175" s="634"/>
      <c r="BB175" s="634"/>
    </row>
    <row r="176" spans="1:54" ht="25.5" customHeight="1">
      <c r="A176" s="626">
        <v>171</v>
      </c>
      <c r="B176" s="627"/>
      <c r="C176" s="657" t="s">
        <v>1080</v>
      </c>
      <c r="D176" s="658"/>
      <c r="E176" s="658"/>
      <c r="F176" s="658"/>
      <c r="G176" s="658"/>
      <c r="H176" s="658"/>
      <c r="I176" s="658"/>
      <c r="J176" s="658"/>
      <c r="K176" s="658"/>
      <c r="L176" s="658"/>
      <c r="M176" s="658"/>
      <c r="N176" s="658"/>
      <c r="O176" s="658"/>
      <c r="P176" s="658"/>
      <c r="Q176" s="658"/>
      <c r="R176" s="658"/>
      <c r="S176" s="658"/>
      <c r="T176" s="658"/>
      <c r="U176" s="659"/>
      <c r="V176" s="631" t="s">
        <v>1084</v>
      </c>
      <c r="W176" s="632"/>
      <c r="X176" s="633"/>
      <c r="Y176" s="634"/>
      <c r="Z176" s="634"/>
      <c r="AA176" s="634"/>
      <c r="AB176" s="634"/>
      <c r="AC176" s="634"/>
      <c r="AD176" s="634"/>
      <c r="AE176" s="634"/>
      <c r="AF176" s="634"/>
      <c r="AG176" s="634"/>
      <c r="AH176" s="634"/>
      <c r="AI176" s="634"/>
      <c r="AJ176" s="634"/>
      <c r="AK176" s="634"/>
      <c r="AL176" s="634"/>
      <c r="AM176" s="634"/>
      <c r="AN176" s="634"/>
      <c r="AO176" s="634"/>
      <c r="AP176" s="634"/>
      <c r="AQ176" s="634"/>
      <c r="AR176" s="634"/>
      <c r="AS176" s="634"/>
      <c r="AT176" s="634"/>
      <c r="AU176" s="634"/>
      <c r="AV176" s="634"/>
      <c r="AW176" s="634"/>
      <c r="AX176" s="634"/>
      <c r="AY176" s="634"/>
      <c r="AZ176" s="634"/>
      <c r="BA176" s="634"/>
      <c r="BB176" s="634"/>
    </row>
    <row r="177" spans="1:54" ht="25.5" customHeight="1">
      <c r="A177" s="626">
        <v>172</v>
      </c>
      <c r="B177" s="627"/>
      <c r="C177" s="651" t="s">
        <v>1085</v>
      </c>
      <c r="D177" s="652"/>
      <c r="E177" s="652"/>
      <c r="F177" s="652"/>
      <c r="G177" s="652"/>
      <c r="H177" s="652"/>
      <c r="I177" s="652"/>
      <c r="J177" s="652"/>
      <c r="K177" s="652"/>
      <c r="L177" s="652"/>
      <c r="M177" s="652"/>
      <c r="N177" s="652"/>
      <c r="O177" s="652"/>
      <c r="P177" s="652"/>
      <c r="Q177" s="652"/>
      <c r="R177" s="652"/>
      <c r="S177" s="652"/>
      <c r="T177" s="652"/>
      <c r="U177" s="653"/>
      <c r="V177" s="631" t="s">
        <v>1086</v>
      </c>
      <c r="W177" s="632"/>
      <c r="X177" s="633"/>
      <c r="Y177" s="634"/>
      <c r="Z177" s="634"/>
      <c r="AA177" s="634"/>
      <c r="AB177" s="634"/>
      <c r="AC177" s="634"/>
      <c r="AD177" s="634"/>
      <c r="AE177" s="634"/>
      <c r="AF177" s="634"/>
      <c r="AG177" s="634"/>
      <c r="AH177" s="634"/>
      <c r="AI177" s="634"/>
      <c r="AJ177" s="634"/>
      <c r="AK177" s="634"/>
      <c r="AL177" s="634"/>
      <c r="AM177" s="634"/>
      <c r="AN177" s="634"/>
      <c r="AO177" s="634"/>
      <c r="AP177" s="634"/>
      <c r="AQ177" s="634"/>
      <c r="AR177" s="634"/>
      <c r="AS177" s="634"/>
      <c r="AT177" s="634"/>
      <c r="AU177" s="634"/>
      <c r="AV177" s="634"/>
      <c r="AW177" s="634"/>
      <c r="AX177" s="634"/>
      <c r="AY177" s="634"/>
      <c r="AZ177" s="634"/>
      <c r="BA177" s="634"/>
      <c r="BB177" s="634"/>
    </row>
    <row r="178" spans="1:54" ht="25.5" customHeight="1">
      <c r="A178" s="626">
        <v>173</v>
      </c>
      <c r="B178" s="627"/>
      <c r="C178" s="651" t="s">
        <v>1087</v>
      </c>
      <c r="D178" s="652"/>
      <c r="E178" s="652"/>
      <c r="F178" s="652"/>
      <c r="G178" s="652"/>
      <c r="H178" s="652"/>
      <c r="I178" s="652"/>
      <c r="J178" s="652"/>
      <c r="K178" s="652"/>
      <c r="L178" s="652"/>
      <c r="M178" s="652"/>
      <c r="N178" s="652"/>
      <c r="O178" s="652"/>
      <c r="P178" s="652"/>
      <c r="Q178" s="652"/>
      <c r="R178" s="652"/>
      <c r="S178" s="652"/>
      <c r="T178" s="652"/>
      <c r="U178" s="653"/>
      <c r="V178" s="631" t="s">
        <v>1086</v>
      </c>
      <c r="W178" s="632"/>
      <c r="X178" s="633"/>
      <c r="Y178" s="634"/>
      <c r="Z178" s="634"/>
      <c r="AA178" s="634"/>
      <c r="AB178" s="634"/>
      <c r="AC178" s="634"/>
      <c r="AD178" s="634"/>
      <c r="AE178" s="634"/>
      <c r="AF178" s="634"/>
      <c r="AG178" s="634"/>
      <c r="AH178" s="634"/>
      <c r="AI178" s="634"/>
      <c r="AJ178" s="634"/>
      <c r="AK178" s="634"/>
      <c r="AL178" s="634"/>
      <c r="AM178" s="634"/>
      <c r="AN178" s="634"/>
      <c r="AO178" s="634"/>
      <c r="AP178" s="634"/>
      <c r="AQ178" s="634"/>
      <c r="AR178" s="634"/>
      <c r="AS178" s="634"/>
      <c r="AT178" s="634"/>
      <c r="AU178" s="634"/>
      <c r="AV178" s="634"/>
      <c r="AW178" s="634"/>
      <c r="AX178" s="634"/>
      <c r="AY178" s="634"/>
      <c r="AZ178" s="634"/>
      <c r="BA178" s="634"/>
      <c r="BB178" s="634"/>
    </row>
    <row r="179" spans="1:54" ht="25.5" customHeight="1">
      <c r="A179" s="626">
        <v>174</v>
      </c>
      <c r="B179" s="627"/>
      <c r="C179" s="668" t="s">
        <v>1088</v>
      </c>
      <c r="D179" s="669"/>
      <c r="E179" s="669"/>
      <c r="F179" s="669"/>
      <c r="G179" s="669"/>
      <c r="H179" s="669"/>
      <c r="I179" s="669"/>
      <c r="J179" s="669"/>
      <c r="K179" s="669"/>
      <c r="L179" s="669"/>
      <c r="M179" s="669"/>
      <c r="N179" s="669"/>
      <c r="O179" s="669"/>
      <c r="P179" s="669"/>
      <c r="Q179" s="669"/>
      <c r="R179" s="669"/>
      <c r="S179" s="669"/>
      <c r="T179" s="669"/>
      <c r="U179" s="670"/>
      <c r="V179" s="631" t="s">
        <v>1089</v>
      </c>
      <c r="W179" s="632"/>
      <c r="X179" s="633"/>
      <c r="Y179" s="646"/>
      <c r="Z179" s="646"/>
      <c r="AA179" s="646"/>
      <c r="AB179" s="647"/>
      <c r="AC179" s="647"/>
      <c r="AD179" s="647"/>
      <c r="AE179" s="646"/>
      <c r="AF179" s="646"/>
      <c r="AG179" s="646"/>
      <c r="AH179" s="647"/>
      <c r="AI179" s="647"/>
      <c r="AJ179" s="647"/>
      <c r="AK179" s="646"/>
      <c r="AL179" s="646"/>
      <c r="AM179" s="646"/>
      <c r="AN179" s="647"/>
      <c r="AO179" s="647"/>
      <c r="AP179" s="647"/>
      <c r="AQ179" s="646"/>
      <c r="AR179" s="646"/>
      <c r="AS179" s="646"/>
      <c r="AT179" s="647"/>
      <c r="AU179" s="647"/>
      <c r="AV179" s="647"/>
      <c r="AW179" s="646"/>
      <c r="AX179" s="646"/>
      <c r="AY179" s="646"/>
      <c r="AZ179" s="647"/>
      <c r="BA179" s="647"/>
      <c r="BB179" s="647"/>
    </row>
    <row r="180" spans="1:54" ht="12.75" customHeight="1">
      <c r="A180" s="626">
        <v>175</v>
      </c>
      <c r="B180" s="627"/>
      <c r="C180" s="628" t="s">
        <v>1090</v>
      </c>
      <c r="D180" s="629"/>
      <c r="E180" s="629"/>
      <c r="F180" s="629"/>
      <c r="G180" s="629"/>
      <c r="H180" s="629"/>
      <c r="I180" s="629"/>
      <c r="J180" s="629"/>
      <c r="K180" s="629"/>
      <c r="L180" s="629"/>
      <c r="M180" s="629"/>
      <c r="N180" s="629"/>
      <c r="O180" s="629"/>
      <c r="P180" s="629"/>
      <c r="Q180" s="629"/>
      <c r="R180" s="629"/>
      <c r="S180" s="629"/>
      <c r="T180" s="629"/>
      <c r="U180" s="630"/>
      <c r="V180" s="628" t="s">
        <v>1089</v>
      </c>
      <c r="W180" s="629"/>
      <c r="X180" s="630"/>
      <c r="Y180" s="634"/>
      <c r="Z180" s="634"/>
      <c r="AA180" s="634"/>
      <c r="AB180" s="634"/>
      <c r="AC180" s="634"/>
      <c r="AD180" s="634"/>
      <c r="AE180" s="634"/>
      <c r="AF180" s="634"/>
      <c r="AG180" s="634"/>
      <c r="AH180" s="634"/>
      <c r="AI180" s="634"/>
      <c r="AJ180" s="634"/>
      <c r="AK180" s="634"/>
      <c r="AL180" s="634"/>
      <c r="AM180" s="634"/>
      <c r="AN180" s="634"/>
      <c r="AO180" s="634"/>
      <c r="AP180" s="634"/>
      <c r="AQ180" s="634"/>
      <c r="AR180" s="634"/>
      <c r="AS180" s="634"/>
      <c r="AT180" s="634"/>
      <c r="AU180" s="634"/>
      <c r="AV180" s="634"/>
      <c r="AW180" s="634"/>
      <c r="AX180" s="634"/>
      <c r="AY180" s="634"/>
      <c r="AZ180" s="634"/>
      <c r="BA180" s="634"/>
      <c r="BB180" s="634"/>
    </row>
    <row r="181" spans="1:54" ht="12.75" customHeight="1">
      <c r="A181" s="626">
        <v>176</v>
      </c>
      <c r="B181" s="627"/>
      <c r="C181" s="628" t="s">
        <v>1091</v>
      </c>
      <c r="D181" s="629"/>
      <c r="E181" s="629"/>
      <c r="F181" s="629"/>
      <c r="G181" s="629"/>
      <c r="H181" s="629"/>
      <c r="I181" s="629"/>
      <c r="J181" s="629"/>
      <c r="K181" s="629"/>
      <c r="L181" s="629"/>
      <c r="M181" s="629"/>
      <c r="N181" s="629"/>
      <c r="O181" s="629"/>
      <c r="P181" s="629"/>
      <c r="Q181" s="629"/>
      <c r="R181" s="629"/>
      <c r="S181" s="629"/>
      <c r="T181" s="629"/>
      <c r="U181" s="630"/>
      <c r="V181" s="628" t="s">
        <v>1089</v>
      </c>
      <c r="W181" s="629"/>
      <c r="X181" s="630"/>
      <c r="Y181" s="634"/>
      <c r="Z181" s="634"/>
      <c r="AA181" s="634"/>
      <c r="AB181" s="634"/>
      <c r="AC181" s="634"/>
      <c r="AD181" s="634"/>
      <c r="AE181" s="634"/>
      <c r="AF181" s="634"/>
      <c r="AG181" s="634"/>
      <c r="AH181" s="634"/>
      <c r="AI181" s="634"/>
      <c r="AJ181" s="634"/>
      <c r="AK181" s="634"/>
      <c r="AL181" s="634"/>
      <c r="AM181" s="634"/>
      <c r="AN181" s="634"/>
      <c r="AO181" s="634"/>
      <c r="AP181" s="634"/>
      <c r="AQ181" s="634"/>
      <c r="AR181" s="634"/>
      <c r="AS181" s="634"/>
      <c r="AT181" s="634"/>
      <c r="AU181" s="634"/>
      <c r="AV181" s="634"/>
      <c r="AW181" s="634"/>
      <c r="AX181" s="634"/>
      <c r="AY181" s="634"/>
      <c r="AZ181" s="634"/>
      <c r="BA181" s="634"/>
      <c r="BB181" s="634"/>
    </row>
    <row r="182" spans="1:54" ht="12.75" customHeight="1">
      <c r="A182" s="626">
        <v>177</v>
      </c>
      <c r="B182" s="627"/>
      <c r="C182" s="628" t="s">
        <v>1092</v>
      </c>
      <c r="D182" s="629"/>
      <c r="E182" s="629"/>
      <c r="F182" s="629"/>
      <c r="G182" s="629"/>
      <c r="H182" s="629"/>
      <c r="I182" s="629"/>
      <c r="J182" s="629"/>
      <c r="K182" s="629"/>
      <c r="L182" s="629"/>
      <c r="M182" s="629"/>
      <c r="N182" s="629"/>
      <c r="O182" s="629"/>
      <c r="P182" s="629"/>
      <c r="Q182" s="629"/>
      <c r="R182" s="629"/>
      <c r="S182" s="629"/>
      <c r="T182" s="629"/>
      <c r="U182" s="630"/>
      <c r="V182" s="628" t="s">
        <v>1089</v>
      </c>
      <c r="W182" s="629"/>
      <c r="X182" s="630"/>
      <c r="Y182" s="634"/>
      <c r="Z182" s="634"/>
      <c r="AA182" s="634"/>
      <c r="AB182" s="634"/>
      <c r="AC182" s="634"/>
      <c r="AD182" s="634"/>
      <c r="AE182" s="634"/>
      <c r="AF182" s="634"/>
      <c r="AG182" s="634"/>
      <c r="AH182" s="634"/>
      <c r="AI182" s="634"/>
      <c r="AJ182" s="634"/>
      <c r="AK182" s="634"/>
      <c r="AL182" s="634"/>
      <c r="AM182" s="634"/>
      <c r="AN182" s="634"/>
      <c r="AO182" s="634"/>
      <c r="AP182" s="634"/>
      <c r="AQ182" s="634"/>
      <c r="AR182" s="634"/>
      <c r="AS182" s="634"/>
      <c r="AT182" s="634"/>
      <c r="AU182" s="634"/>
      <c r="AV182" s="634"/>
      <c r="AW182" s="634"/>
      <c r="AX182" s="634"/>
      <c r="AY182" s="634"/>
      <c r="AZ182" s="634"/>
      <c r="BA182" s="634"/>
      <c r="BB182" s="634"/>
    </row>
    <row r="183" spans="1:54" ht="12.75" customHeight="1">
      <c r="A183" s="626">
        <v>178</v>
      </c>
      <c r="B183" s="627"/>
      <c r="C183" s="628" t="s">
        <v>1093</v>
      </c>
      <c r="D183" s="629"/>
      <c r="E183" s="629"/>
      <c r="F183" s="629"/>
      <c r="G183" s="629"/>
      <c r="H183" s="629"/>
      <c r="I183" s="629"/>
      <c r="J183" s="629"/>
      <c r="K183" s="629"/>
      <c r="L183" s="629"/>
      <c r="M183" s="629"/>
      <c r="N183" s="629"/>
      <c r="O183" s="629"/>
      <c r="P183" s="629"/>
      <c r="Q183" s="629"/>
      <c r="R183" s="629"/>
      <c r="S183" s="629"/>
      <c r="T183" s="629"/>
      <c r="U183" s="630"/>
      <c r="V183" s="628" t="s">
        <v>1089</v>
      </c>
      <c r="W183" s="629"/>
      <c r="X183" s="630"/>
      <c r="Y183" s="634"/>
      <c r="Z183" s="634"/>
      <c r="AA183" s="634"/>
      <c r="AB183" s="634"/>
      <c r="AC183" s="634"/>
      <c r="AD183" s="634"/>
      <c r="AE183" s="634"/>
      <c r="AF183" s="634"/>
      <c r="AG183" s="634"/>
      <c r="AH183" s="634"/>
      <c r="AI183" s="634"/>
      <c r="AJ183" s="634"/>
      <c r="AK183" s="634"/>
      <c r="AL183" s="634"/>
      <c r="AM183" s="634"/>
      <c r="AN183" s="634"/>
      <c r="AO183" s="634"/>
      <c r="AP183" s="634"/>
      <c r="AQ183" s="634"/>
      <c r="AR183" s="634"/>
      <c r="AS183" s="634"/>
      <c r="AT183" s="634"/>
      <c r="AU183" s="634"/>
      <c r="AV183" s="634"/>
      <c r="AW183" s="634"/>
      <c r="AX183" s="634"/>
      <c r="AY183" s="634"/>
      <c r="AZ183" s="634"/>
      <c r="BA183" s="634"/>
      <c r="BB183" s="634"/>
    </row>
    <row r="184" spans="1:54" ht="12.75" customHeight="1">
      <c r="A184" s="626">
        <v>179</v>
      </c>
      <c r="B184" s="627"/>
      <c r="C184" s="628" t="s">
        <v>1094</v>
      </c>
      <c r="D184" s="629"/>
      <c r="E184" s="629"/>
      <c r="F184" s="629"/>
      <c r="G184" s="629"/>
      <c r="H184" s="629"/>
      <c r="I184" s="629"/>
      <c r="J184" s="629"/>
      <c r="K184" s="629"/>
      <c r="L184" s="629"/>
      <c r="M184" s="629"/>
      <c r="N184" s="629"/>
      <c r="O184" s="629"/>
      <c r="P184" s="629"/>
      <c r="Q184" s="629"/>
      <c r="R184" s="629"/>
      <c r="S184" s="629"/>
      <c r="T184" s="629"/>
      <c r="U184" s="630"/>
      <c r="V184" s="628" t="s">
        <v>1089</v>
      </c>
      <c r="W184" s="629"/>
      <c r="X184" s="630"/>
      <c r="Y184" s="634"/>
      <c r="Z184" s="634"/>
      <c r="AA184" s="634"/>
      <c r="AB184" s="634"/>
      <c r="AC184" s="634"/>
      <c r="AD184" s="634"/>
      <c r="AE184" s="634"/>
      <c r="AF184" s="634"/>
      <c r="AG184" s="634"/>
      <c r="AH184" s="634"/>
      <c r="AI184" s="634"/>
      <c r="AJ184" s="634"/>
      <c r="AK184" s="634"/>
      <c r="AL184" s="634"/>
      <c r="AM184" s="634"/>
      <c r="AN184" s="634"/>
      <c r="AO184" s="634"/>
      <c r="AP184" s="634"/>
      <c r="AQ184" s="634"/>
      <c r="AR184" s="634"/>
      <c r="AS184" s="634"/>
      <c r="AT184" s="634"/>
      <c r="AU184" s="634"/>
      <c r="AV184" s="634"/>
      <c r="AW184" s="634"/>
      <c r="AX184" s="634"/>
      <c r="AY184" s="634"/>
      <c r="AZ184" s="634"/>
      <c r="BA184" s="634"/>
      <c r="BB184" s="634"/>
    </row>
    <row r="185" spans="1:54" ht="12.75" customHeight="1">
      <c r="A185" s="626">
        <v>180</v>
      </c>
      <c r="B185" s="627"/>
      <c r="C185" s="628" t="s">
        <v>1095</v>
      </c>
      <c r="D185" s="629"/>
      <c r="E185" s="629"/>
      <c r="F185" s="629"/>
      <c r="G185" s="629"/>
      <c r="H185" s="629"/>
      <c r="I185" s="629"/>
      <c r="J185" s="629"/>
      <c r="K185" s="629"/>
      <c r="L185" s="629"/>
      <c r="M185" s="629"/>
      <c r="N185" s="629"/>
      <c r="O185" s="629"/>
      <c r="P185" s="629"/>
      <c r="Q185" s="629"/>
      <c r="R185" s="629"/>
      <c r="S185" s="629"/>
      <c r="T185" s="629"/>
      <c r="U185" s="630"/>
      <c r="V185" s="628" t="s">
        <v>1089</v>
      </c>
      <c r="W185" s="629"/>
      <c r="X185" s="630"/>
      <c r="Y185" s="634"/>
      <c r="Z185" s="634"/>
      <c r="AA185" s="634"/>
      <c r="AB185" s="634"/>
      <c r="AC185" s="634"/>
      <c r="AD185" s="634"/>
      <c r="AE185" s="634"/>
      <c r="AF185" s="634"/>
      <c r="AG185" s="634"/>
      <c r="AH185" s="634"/>
      <c r="AI185" s="634"/>
      <c r="AJ185" s="634"/>
      <c r="AK185" s="634"/>
      <c r="AL185" s="634"/>
      <c r="AM185" s="634"/>
      <c r="AN185" s="634"/>
      <c r="AO185" s="634"/>
      <c r="AP185" s="634"/>
      <c r="AQ185" s="634"/>
      <c r="AR185" s="634"/>
      <c r="AS185" s="634"/>
      <c r="AT185" s="634"/>
      <c r="AU185" s="634"/>
      <c r="AV185" s="634"/>
      <c r="AW185" s="634"/>
      <c r="AX185" s="634"/>
      <c r="AY185" s="634"/>
      <c r="AZ185" s="634"/>
      <c r="BA185" s="634"/>
      <c r="BB185" s="634"/>
    </row>
    <row r="186" spans="1:54" ht="25.5" customHeight="1">
      <c r="A186" s="626">
        <v>181</v>
      </c>
      <c r="B186" s="627"/>
      <c r="C186" s="628" t="s">
        <v>1096</v>
      </c>
      <c r="D186" s="629"/>
      <c r="E186" s="629"/>
      <c r="F186" s="629"/>
      <c r="G186" s="629"/>
      <c r="H186" s="629"/>
      <c r="I186" s="629"/>
      <c r="J186" s="629"/>
      <c r="K186" s="629"/>
      <c r="L186" s="629"/>
      <c r="M186" s="629"/>
      <c r="N186" s="629"/>
      <c r="O186" s="629"/>
      <c r="P186" s="629"/>
      <c r="Q186" s="629"/>
      <c r="R186" s="629"/>
      <c r="S186" s="629"/>
      <c r="T186" s="629"/>
      <c r="U186" s="630"/>
      <c r="V186" s="628" t="s">
        <v>1089</v>
      </c>
      <c r="W186" s="629"/>
      <c r="X186" s="630"/>
      <c r="Y186" s="634"/>
      <c r="Z186" s="634"/>
      <c r="AA186" s="634"/>
      <c r="AB186" s="634"/>
      <c r="AC186" s="634"/>
      <c r="AD186" s="634"/>
      <c r="AE186" s="634"/>
      <c r="AF186" s="634"/>
      <c r="AG186" s="634"/>
      <c r="AH186" s="634"/>
      <c r="AI186" s="634"/>
      <c r="AJ186" s="634"/>
      <c r="AK186" s="634"/>
      <c r="AL186" s="634"/>
      <c r="AM186" s="634"/>
      <c r="AN186" s="634"/>
      <c r="AO186" s="634"/>
      <c r="AP186" s="634"/>
      <c r="AQ186" s="634"/>
      <c r="AR186" s="634"/>
      <c r="AS186" s="634"/>
      <c r="AT186" s="634"/>
      <c r="AU186" s="634"/>
      <c r="AV186" s="634"/>
      <c r="AW186" s="634"/>
      <c r="AX186" s="634"/>
      <c r="AY186" s="634"/>
      <c r="AZ186" s="634"/>
      <c r="BA186" s="634"/>
      <c r="BB186" s="634"/>
    </row>
    <row r="187" spans="1:54" ht="12.75" customHeight="1">
      <c r="A187" s="626">
        <v>182</v>
      </c>
      <c r="B187" s="627"/>
      <c r="C187" s="628" t="s">
        <v>1097</v>
      </c>
      <c r="D187" s="629"/>
      <c r="E187" s="629"/>
      <c r="F187" s="629"/>
      <c r="G187" s="629"/>
      <c r="H187" s="629"/>
      <c r="I187" s="629"/>
      <c r="J187" s="629"/>
      <c r="K187" s="629"/>
      <c r="L187" s="629"/>
      <c r="M187" s="629"/>
      <c r="N187" s="629"/>
      <c r="O187" s="629"/>
      <c r="P187" s="629"/>
      <c r="Q187" s="629"/>
      <c r="R187" s="629"/>
      <c r="S187" s="629"/>
      <c r="T187" s="629"/>
      <c r="U187" s="630"/>
      <c r="V187" s="628" t="s">
        <v>1089</v>
      </c>
      <c r="W187" s="629"/>
      <c r="X187" s="630"/>
      <c r="Y187" s="634"/>
      <c r="Z187" s="634"/>
      <c r="AA187" s="634"/>
      <c r="AB187" s="634"/>
      <c r="AC187" s="634"/>
      <c r="AD187" s="634"/>
      <c r="AE187" s="634"/>
      <c r="AF187" s="634"/>
      <c r="AG187" s="634"/>
      <c r="AH187" s="634"/>
      <c r="AI187" s="634"/>
      <c r="AJ187" s="634"/>
      <c r="AK187" s="634"/>
      <c r="AL187" s="634"/>
      <c r="AM187" s="634"/>
      <c r="AN187" s="634"/>
      <c r="AO187" s="634"/>
      <c r="AP187" s="634"/>
      <c r="AQ187" s="634"/>
      <c r="AR187" s="634"/>
      <c r="AS187" s="634"/>
      <c r="AT187" s="634"/>
      <c r="AU187" s="634"/>
      <c r="AV187" s="634"/>
      <c r="AW187" s="634"/>
      <c r="AX187" s="634"/>
      <c r="AY187" s="634"/>
      <c r="AZ187" s="634"/>
      <c r="BA187" s="634"/>
      <c r="BB187" s="634"/>
    </row>
    <row r="188" spans="1:54" s="551" customFormat="1" ht="12.75" customHeight="1">
      <c r="A188" s="626">
        <v>183</v>
      </c>
      <c r="B188" s="627"/>
      <c r="C188" s="628" t="s">
        <v>1098</v>
      </c>
      <c r="D188" s="629"/>
      <c r="E188" s="629"/>
      <c r="F188" s="629"/>
      <c r="G188" s="629"/>
      <c r="H188" s="629"/>
      <c r="I188" s="629"/>
      <c r="J188" s="629"/>
      <c r="K188" s="629"/>
      <c r="L188" s="629"/>
      <c r="M188" s="629"/>
      <c r="N188" s="629"/>
      <c r="O188" s="629"/>
      <c r="P188" s="629"/>
      <c r="Q188" s="629"/>
      <c r="R188" s="629"/>
      <c r="S188" s="629"/>
      <c r="T188" s="629"/>
      <c r="U188" s="630"/>
      <c r="V188" s="628" t="s">
        <v>1089</v>
      </c>
      <c r="W188" s="629"/>
      <c r="X188" s="630"/>
      <c r="Y188" s="634"/>
      <c r="Z188" s="634"/>
      <c r="AA188" s="634"/>
      <c r="AB188" s="634"/>
      <c r="AC188" s="634"/>
      <c r="AD188" s="634"/>
      <c r="AE188" s="634"/>
      <c r="AF188" s="634"/>
      <c r="AG188" s="634"/>
      <c r="AH188" s="634"/>
      <c r="AI188" s="634"/>
      <c r="AJ188" s="634"/>
      <c r="AK188" s="634"/>
      <c r="AL188" s="634"/>
      <c r="AM188" s="634"/>
      <c r="AN188" s="634"/>
      <c r="AO188" s="634"/>
      <c r="AP188" s="634"/>
      <c r="AQ188" s="634"/>
      <c r="AR188" s="634"/>
      <c r="AS188" s="634"/>
      <c r="AT188" s="634"/>
      <c r="AU188" s="634"/>
      <c r="AV188" s="634"/>
      <c r="AW188" s="634"/>
      <c r="AX188" s="634"/>
      <c r="AY188" s="634"/>
      <c r="AZ188" s="634"/>
      <c r="BA188" s="634"/>
      <c r="BB188" s="634"/>
    </row>
    <row r="189" spans="1:54" ht="12.75" customHeight="1">
      <c r="A189" s="626">
        <v>184</v>
      </c>
      <c r="B189" s="627"/>
      <c r="C189" s="628" t="s">
        <v>1099</v>
      </c>
      <c r="D189" s="629"/>
      <c r="E189" s="629"/>
      <c r="F189" s="629"/>
      <c r="G189" s="629"/>
      <c r="H189" s="629"/>
      <c r="I189" s="629"/>
      <c r="J189" s="629"/>
      <c r="K189" s="629"/>
      <c r="L189" s="629"/>
      <c r="M189" s="629"/>
      <c r="N189" s="629"/>
      <c r="O189" s="629"/>
      <c r="P189" s="629"/>
      <c r="Q189" s="629"/>
      <c r="R189" s="629"/>
      <c r="S189" s="629"/>
      <c r="T189" s="629"/>
      <c r="U189" s="630"/>
      <c r="V189" s="628" t="s">
        <v>1089</v>
      </c>
      <c r="W189" s="629"/>
      <c r="X189" s="630"/>
      <c r="Y189" s="634"/>
      <c r="Z189" s="634"/>
      <c r="AA189" s="634"/>
      <c r="AB189" s="634"/>
      <c r="AC189" s="634"/>
      <c r="AD189" s="634"/>
      <c r="AE189" s="634"/>
      <c r="AF189" s="634"/>
      <c r="AG189" s="634"/>
      <c r="AH189" s="634"/>
      <c r="AI189" s="634"/>
      <c r="AJ189" s="634"/>
      <c r="AK189" s="634"/>
      <c r="AL189" s="634"/>
      <c r="AM189" s="634"/>
      <c r="AN189" s="634"/>
      <c r="AO189" s="634"/>
      <c r="AP189" s="634"/>
      <c r="AQ189" s="634"/>
      <c r="AR189" s="634"/>
      <c r="AS189" s="634"/>
      <c r="AT189" s="634"/>
      <c r="AU189" s="634"/>
      <c r="AV189" s="634"/>
      <c r="AW189" s="634"/>
      <c r="AX189" s="634"/>
      <c r="AY189" s="634"/>
      <c r="AZ189" s="634"/>
      <c r="BA189" s="634"/>
      <c r="BB189" s="634"/>
    </row>
    <row r="190" spans="1:54" ht="12.75" customHeight="1">
      <c r="A190" s="626">
        <v>185</v>
      </c>
      <c r="B190" s="627"/>
      <c r="C190" s="628" t="s">
        <v>1100</v>
      </c>
      <c r="D190" s="629"/>
      <c r="E190" s="629"/>
      <c r="F190" s="629"/>
      <c r="G190" s="629"/>
      <c r="H190" s="629"/>
      <c r="I190" s="629"/>
      <c r="J190" s="629"/>
      <c r="K190" s="629"/>
      <c r="L190" s="629"/>
      <c r="M190" s="629"/>
      <c r="N190" s="629"/>
      <c r="O190" s="629"/>
      <c r="P190" s="629"/>
      <c r="Q190" s="629"/>
      <c r="R190" s="629"/>
      <c r="S190" s="629"/>
      <c r="T190" s="629"/>
      <c r="U190" s="630"/>
      <c r="V190" s="628" t="s">
        <v>1089</v>
      </c>
      <c r="W190" s="629"/>
      <c r="X190" s="630"/>
      <c r="Y190" s="634"/>
      <c r="Z190" s="634"/>
      <c r="AA190" s="634"/>
      <c r="AB190" s="634"/>
      <c r="AC190" s="634"/>
      <c r="AD190" s="634"/>
      <c r="AE190" s="634"/>
      <c r="AF190" s="634"/>
      <c r="AG190" s="634"/>
      <c r="AH190" s="634"/>
      <c r="AI190" s="634"/>
      <c r="AJ190" s="634"/>
      <c r="AK190" s="634"/>
      <c r="AL190" s="634"/>
      <c r="AM190" s="634"/>
      <c r="AN190" s="634"/>
      <c r="AO190" s="634"/>
      <c r="AP190" s="634"/>
      <c r="AQ190" s="634"/>
      <c r="AR190" s="634"/>
      <c r="AS190" s="634"/>
      <c r="AT190" s="634"/>
      <c r="AU190" s="634"/>
      <c r="AV190" s="634"/>
      <c r="AW190" s="634"/>
      <c r="AX190" s="634"/>
      <c r="AY190" s="634"/>
      <c r="AZ190" s="634"/>
      <c r="BA190" s="634"/>
      <c r="BB190" s="634"/>
    </row>
    <row r="191" spans="1:54" ht="12.75" customHeight="1">
      <c r="A191" s="626">
        <v>186</v>
      </c>
      <c r="B191" s="627"/>
      <c r="C191" s="668" t="s">
        <v>1101</v>
      </c>
      <c r="D191" s="669"/>
      <c r="E191" s="669"/>
      <c r="F191" s="669"/>
      <c r="G191" s="669"/>
      <c r="H191" s="669"/>
      <c r="I191" s="669"/>
      <c r="J191" s="669"/>
      <c r="K191" s="669"/>
      <c r="L191" s="669"/>
      <c r="M191" s="669"/>
      <c r="N191" s="669"/>
      <c r="O191" s="669"/>
      <c r="P191" s="669"/>
      <c r="Q191" s="669"/>
      <c r="R191" s="669"/>
      <c r="S191" s="669"/>
      <c r="T191" s="669"/>
      <c r="U191" s="670"/>
      <c r="V191" s="631" t="s">
        <v>1102</v>
      </c>
      <c r="W191" s="632"/>
      <c r="X191" s="633"/>
      <c r="Y191" s="634"/>
      <c r="Z191" s="634"/>
      <c r="AA191" s="634"/>
      <c r="AB191" s="634"/>
      <c r="AC191" s="634"/>
      <c r="AD191" s="634"/>
      <c r="AE191" s="634"/>
      <c r="AF191" s="634"/>
      <c r="AG191" s="634"/>
      <c r="AH191" s="634"/>
      <c r="AI191" s="634"/>
      <c r="AJ191" s="634"/>
      <c r="AK191" s="634"/>
      <c r="AL191" s="634"/>
      <c r="AM191" s="634"/>
      <c r="AN191" s="634"/>
      <c r="AO191" s="634"/>
      <c r="AP191" s="634"/>
      <c r="AQ191" s="634"/>
      <c r="AR191" s="634"/>
      <c r="AS191" s="634"/>
      <c r="AT191" s="634"/>
      <c r="AU191" s="634"/>
      <c r="AV191" s="634"/>
      <c r="AW191" s="634"/>
      <c r="AX191" s="634"/>
      <c r="AY191" s="634"/>
      <c r="AZ191" s="634"/>
      <c r="BA191" s="634"/>
      <c r="BB191" s="634"/>
    </row>
    <row r="192" spans="1:54" ht="12.75" customHeight="1">
      <c r="A192" s="626">
        <v>187</v>
      </c>
      <c r="B192" s="627"/>
      <c r="C192" s="668" t="s">
        <v>1103</v>
      </c>
      <c r="D192" s="669"/>
      <c r="E192" s="669"/>
      <c r="F192" s="669"/>
      <c r="G192" s="669"/>
      <c r="H192" s="669"/>
      <c r="I192" s="669"/>
      <c r="J192" s="669"/>
      <c r="K192" s="669"/>
      <c r="L192" s="669"/>
      <c r="M192" s="669"/>
      <c r="N192" s="669"/>
      <c r="O192" s="669"/>
      <c r="P192" s="669"/>
      <c r="Q192" s="669"/>
      <c r="R192" s="669"/>
      <c r="S192" s="669"/>
      <c r="T192" s="669"/>
      <c r="U192" s="670"/>
      <c r="V192" s="631" t="s">
        <v>1104</v>
      </c>
      <c r="W192" s="632"/>
      <c r="X192" s="633"/>
      <c r="Y192" s="634"/>
      <c r="Z192" s="634"/>
      <c r="AA192" s="634"/>
      <c r="AB192" s="634"/>
      <c r="AC192" s="634"/>
      <c r="AD192" s="634"/>
      <c r="AE192" s="634"/>
      <c r="AF192" s="634"/>
      <c r="AG192" s="634"/>
      <c r="AH192" s="634"/>
      <c r="AI192" s="634"/>
      <c r="AJ192" s="634"/>
      <c r="AK192" s="634"/>
      <c r="AL192" s="634"/>
      <c r="AM192" s="634"/>
      <c r="AN192" s="634"/>
      <c r="AO192" s="634"/>
      <c r="AP192" s="634"/>
      <c r="AQ192" s="634"/>
      <c r="AR192" s="634"/>
      <c r="AS192" s="634"/>
      <c r="AT192" s="634"/>
      <c r="AU192" s="634"/>
      <c r="AV192" s="634"/>
      <c r="AW192" s="634"/>
      <c r="AX192" s="634"/>
      <c r="AY192" s="634"/>
      <c r="AZ192" s="634"/>
      <c r="BA192" s="634"/>
      <c r="BB192" s="634"/>
    </row>
    <row r="193" spans="1:54" ht="12.75" customHeight="1">
      <c r="A193" s="626">
        <v>188</v>
      </c>
      <c r="B193" s="627"/>
      <c r="C193" s="668" t="s">
        <v>1105</v>
      </c>
      <c r="D193" s="669"/>
      <c r="E193" s="669"/>
      <c r="F193" s="669"/>
      <c r="G193" s="669"/>
      <c r="H193" s="669"/>
      <c r="I193" s="669"/>
      <c r="J193" s="669"/>
      <c r="K193" s="669"/>
      <c r="L193" s="669"/>
      <c r="M193" s="669"/>
      <c r="N193" s="669"/>
      <c r="O193" s="669"/>
      <c r="P193" s="669"/>
      <c r="Q193" s="669"/>
      <c r="R193" s="669"/>
      <c r="S193" s="669"/>
      <c r="T193" s="669"/>
      <c r="U193" s="670"/>
      <c r="V193" s="631" t="s">
        <v>1106</v>
      </c>
      <c r="W193" s="632"/>
      <c r="X193" s="633"/>
      <c r="Y193" s="634"/>
      <c r="Z193" s="634"/>
      <c r="AA193" s="634"/>
      <c r="AB193" s="634"/>
      <c r="AC193" s="634"/>
      <c r="AD193" s="634"/>
      <c r="AE193" s="634"/>
      <c r="AF193" s="634"/>
      <c r="AG193" s="634"/>
      <c r="AH193" s="634"/>
      <c r="AI193" s="634"/>
      <c r="AJ193" s="634"/>
      <c r="AK193" s="634"/>
      <c r="AL193" s="634"/>
      <c r="AM193" s="634"/>
      <c r="AN193" s="634"/>
      <c r="AO193" s="634"/>
      <c r="AP193" s="634"/>
      <c r="AQ193" s="634"/>
      <c r="AR193" s="634"/>
      <c r="AS193" s="634"/>
      <c r="AT193" s="634"/>
      <c r="AU193" s="634"/>
      <c r="AV193" s="634"/>
      <c r="AW193" s="634"/>
      <c r="AX193" s="634"/>
      <c r="AY193" s="634"/>
      <c r="AZ193" s="634"/>
      <c r="BA193" s="634"/>
      <c r="BB193" s="634"/>
    </row>
    <row r="194" spans="1:54" ht="25.5" customHeight="1">
      <c r="A194" s="626">
        <v>189</v>
      </c>
      <c r="B194" s="627"/>
      <c r="C194" s="628" t="s">
        <v>1107</v>
      </c>
      <c r="D194" s="629"/>
      <c r="E194" s="629"/>
      <c r="F194" s="629"/>
      <c r="G194" s="629"/>
      <c r="H194" s="629"/>
      <c r="I194" s="629"/>
      <c r="J194" s="629"/>
      <c r="K194" s="629"/>
      <c r="L194" s="629"/>
      <c r="M194" s="629"/>
      <c r="N194" s="629"/>
      <c r="O194" s="629"/>
      <c r="P194" s="629"/>
      <c r="Q194" s="629"/>
      <c r="R194" s="629"/>
      <c r="S194" s="629"/>
      <c r="T194" s="629"/>
      <c r="U194" s="630"/>
      <c r="V194" s="631" t="s">
        <v>1108</v>
      </c>
      <c r="W194" s="632"/>
      <c r="X194" s="633"/>
      <c r="Y194" s="646"/>
      <c r="Z194" s="646"/>
      <c r="AA194" s="646"/>
      <c r="AB194" s="647"/>
      <c r="AC194" s="647"/>
      <c r="AD194" s="647"/>
      <c r="AE194" s="646"/>
      <c r="AF194" s="646"/>
      <c r="AG194" s="646"/>
      <c r="AH194" s="647"/>
      <c r="AI194" s="647"/>
      <c r="AJ194" s="647"/>
      <c r="AK194" s="646"/>
      <c r="AL194" s="646"/>
      <c r="AM194" s="646"/>
      <c r="AN194" s="647"/>
      <c r="AO194" s="647"/>
      <c r="AP194" s="647"/>
      <c r="AQ194" s="646"/>
      <c r="AR194" s="646"/>
      <c r="AS194" s="646"/>
      <c r="AT194" s="647"/>
      <c r="AU194" s="647"/>
      <c r="AV194" s="647"/>
      <c r="AW194" s="646"/>
      <c r="AX194" s="646"/>
      <c r="AY194" s="646"/>
      <c r="AZ194" s="647"/>
      <c r="BA194" s="647"/>
      <c r="BB194" s="647"/>
    </row>
    <row r="195" spans="1:54" ht="12.75" customHeight="1">
      <c r="A195" s="626">
        <v>190</v>
      </c>
      <c r="B195" s="627"/>
      <c r="C195" s="628" t="s">
        <v>1090</v>
      </c>
      <c r="D195" s="629"/>
      <c r="E195" s="629"/>
      <c r="F195" s="629"/>
      <c r="G195" s="629"/>
      <c r="H195" s="629"/>
      <c r="I195" s="629"/>
      <c r="J195" s="629"/>
      <c r="K195" s="629"/>
      <c r="L195" s="629"/>
      <c r="M195" s="629"/>
      <c r="N195" s="629"/>
      <c r="O195" s="629"/>
      <c r="P195" s="629"/>
      <c r="Q195" s="629"/>
      <c r="R195" s="629"/>
      <c r="S195" s="629"/>
      <c r="T195" s="629"/>
      <c r="U195" s="630"/>
      <c r="V195" s="631" t="s">
        <v>1108</v>
      </c>
      <c r="W195" s="632"/>
      <c r="X195" s="633"/>
      <c r="Y195" s="634"/>
      <c r="Z195" s="634"/>
      <c r="AA195" s="634"/>
      <c r="AB195" s="634"/>
      <c r="AC195" s="634"/>
      <c r="AD195" s="634"/>
      <c r="AE195" s="634"/>
      <c r="AF195" s="634"/>
      <c r="AG195" s="634"/>
      <c r="AH195" s="634"/>
      <c r="AI195" s="634"/>
      <c r="AJ195" s="634"/>
      <c r="AK195" s="634"/>
      <c r="AL195" s="634"/>
      <c r="AM195" s="634"/>
      <c r="AN195" s="634"/>
      <c r="AO195" s="634"/>
      <c r="AP195" s="634"/>
      <c r="AQ195" s="634"/>
      <c r="AR195" s="634"/>
      <c r="AS195" s="634"/>
      <c r="AT195" s="634"/>
      <c r="AU195" s="634"/>
      <c r="AV195" s="634"/>
      <c r="AW195" s="634"/>
      <c r="AX195" s="634"/>
      <c r="AY195" s="634"/>
      <c r="AZ195" s="634"/>
      <c r="BA195" s="634"/>
      <c r="BB195" s="634"/>
    </row>
    <row r="196" spans="1:54" ht="12.75" customHeight="1">
      <c r="A196" s="626">
        <v>191</v>
      </c>
      <c r="B196" s="627"/>
      <c r="C196" s="628" t="s">
        <v>1091</v>
      </c>
      <c r="D196" s="629"/>
      <c r="E196" s="629"/>
      <c r="F196" s="629"/>
      <c r="G196" s="629"/>
      <c r="H196" s="629"/>
      <c r="I196" s="629"/>
      <c r="J196" s="629"/>
      <c r="K196" s="629"/>
      <c r="L196" s="629"/>
      <c r="M196" s="629"/>
      <c r="N196" s="629"/>
      <c r="O196" s="629"/>
      <c r="P196" s="629"/>
      <c r="Q196" s="629"/>
      <c r="R196" s="629"/>
      <c r="S196" s="629"/>
      <c r="T196" s="629"/>
      <c r="U196" s="630"/>
      <c r="V196" s="631" t="s">
        <v>1108</v>
      </c>
      <c r="W196" s="632"/>
      <c r="X196" s="633"/>
      <c r="Y196" s="634"/>
      <c r="Z196" s="634"/>
      <c r="AA196" s="634"/>
      <c r="AB196" s="634"/>
      <c r="AC196" s="634"/>
      <c r="AD196" s="634"/>
      <c r="AE196" s="634"/>
      <c r="AF196" s="634"/>
      <c r="AG196" s="634"/>
      <c r="AH196" s="634"/>
      <c r="AI196" s="634"/>
      <c r="AJ196" s="634"/>
      <c r="AK196" s="634"/>
      <c r="AL196" s="634"/>
      <c r="AM196" s="634"/>
      <c r="AN196" s="634"/>
      <c r="AO196" s="634"/>
      <c r="AP196" s="634"/>
      <c r="AQ196" s="634"/>
      <c r="AR196" s="634"/>
      <c r="AS196" s="634"/>
      <c r="AT196" s="634"/>
      <c r="AU196" s="634"/>
      <c r="AV196" s="634"/>
      <c r="AW196" s="634"/>
      <c r="AX196" s="634"/>
      <c r="AY196" s="634"/>
      <c r="AZ196" s="634"/>
      <c r="BA196" s="634"/>
      <c r="BB196" s="634"/>
    </row>
    <row r="197" spans="1:54" ht="12.75" customHeight="1">
      <c r="A197" s="626">
        <v>192</v>
      </c>
      <c r="B197" s="627"/>
      <c r="C197" s="628" t="s">
        <v>1092</v>
      </c>
      <c r="D197" s="629"/>
      <c r="E197" s="629"/>
      <c r="F197" s="629"/>
      <c r="G197" s="629"/>
      <c r="H197" s="629"/>
      <c r="I197" s="629"/>
      <c r="J197" s="629"/>
      <c r="K197" s="629"/>
      <c r="L197" s="629"/>
      <c r="M197" s="629"/>
      <c r="N197" s="629"/>
      <c r="O197" s="629"/>
      <c r="P197" s="629"/>
      <c r="Q197" s="629"/>
      <c r="R197" s="629"/>
      <c r="S197" s="629"/>
      <c r="T197" s="629"/>
      <c r="U197" s="630"/>
      <c r="V197" s="631" t="s">
        <v>1108</v>
      </c>
      <c r="W197" s="632"/>
      <c r="X197" s="633"/>
      <c r="Y197" s="634"/>
      <c r="Z197" s="634"/>
      <c r="AA197" s="634"/>
      <c r="AB197" s="634"/>
      <c r="AC197" s="634"/>
      <c r="AD197" s="634"/>
      <c r="AE197" s="634"/>
      <c r="AF197" s="634"/>
      <c r="AG197" s="634"/>
      <c r="AH197" s="634"/>
      <c r="AI197" s="634"/>
      <c r="AJ197" s="634"/>
      <c r="AK197" s="634"/>
      <c r="AL197" s="634"/>
      <c r="AM197" s="634"/>
      <c r="AN197" s="634"/>
      <c r="AO197" s="634"/>
      <c r="AP197" s="634"/>
      <c r="AQ197" s="634"/>
      <c r="AR197" s="634"/>
      <c r="AS197" s="634"/>
      <c r="AT197" s="634"/>
      <c r="AU197" s="634"/>
      <c r="AV197" s="634"/>
      <c r="AW197" s="634"/>
      <c r="AX197" s="634"/>
      <c r="AY197" s="634"/>
      <c r="AZ197" s="634"/>
      <c r="BA197" s="634"/>
      <c r="BB197" s="634"/>
    </row>
    <row r="198" spans="1:54" ht="12.75" customHeight="1">
      <c r="A198" s="626">
        <v>193</v>
      </c>
      <c r="B198" s="627"/>
      <c r="C198" s="628" t="s">
        <v>1093</v>
      </c>
      <c r="D198" s="629"/>
      <c r="E198" s="629"/>
      <c r="F198" s="629"/>
      <c r="G198" s="629"/>
      <c r="H198" s="629"/>
      <c r="I198" s="629"/>
      <c r="J198" s="629"/>
      <c r="K198" s="629"/>
      <c r="L198" s="629"/>
      <c r="M198" s="629"/>
      <c r="N198" s="629"/>
      <c r="O198" s="629"/>
      <c r="P198" s="629"/>
      <c r="Q198" s="629"/>
      <c r="R198" s="629"/>
      <c r="S198" s="629"/>
      <c r="T198" s="629"/>
      <c r="U198" s="630"/>
      <c r="V198" s="631" t="s">
        <v>1108</v>
      </c>
      <c r="W198" s="632"/>
      <c r="X198" s="633"/>
      <c r="Y198" s="634"/>
      <c r="Z198" s="634"/>
      <c r="AA198" s="634"/>
      <c r="AB198" s="634"/>
      <c r="AC198" s="634"/>
      <c r="AD198" s="634"/>
      <c r="AE198" s="634"/>
      <c r="AF198" s="634"/>
      <c r="AG198" s="634"/>
      <c r="AH198" s="634"/>
      <c r="AI198" s="634"/>
      <c r="AJ198" s="634"/>
      <c r="AK198" s="634"/>
      <c r="AL198" s="634"/>
      <c r="AM198" s="634"/>
      <c r="AN198" s="634"/>
      <c r="AO198" s="634"/>
      <c r="AP198" s="634"/>
      <c r="AQ198" s="634"/>
      <c r="AR198" s="634"/>
      <c r="AS198" s="634"/>
      <c r="AT198" s="634"/>
      <c r="AU198" s="634"/>
      <c r="AV198" s="634"/>
      <c r="AW198" s="634"/>
      <c r="AX198" s="634"/>
      <c r="AY198" s="634"/>
      <c r="AZ198" s="634"/>
      <c r="BA198" s="634"/>
      <c r="BB198" s="634"/>
    </row>
    <row r="199" spans="1:54" ht="12.75" customHeight="1">
      <c r="A199" s="626">
        <v>194</v>
      </c>
      <c r="B199" s="627"/>
      <c r="C199" s="628" t="s">
        <v>1094</v>
      </c>
      <c r="D199" s="629"/>
      <c r="E199" s="629"/>
      <c r="F199" s="629"/>
      <c r="G199" s="629"/>
      <c r="H199" s="629"/>
      <c r="I199" s="629"/>
      <c r="J199" s="629"/>
      <c r="K199" s="629"/>
      <c r="L199" s="629"/>
      <c r="M199" s="629"/>
      <c r="N199" s="629"/>
      <c r="O199" s="629"/>
      <c r="P199" s="629"/>
      <c r="Q199" s="629"/>
      <c r="R199" s="629"/>
      <c r="S199" s="629"/>
      <c r="T199" s="629"/>
      <c r="U199" s="630"/>
      <c r="V199" s="631" t="s">
        <v>1108</v>
      </c>
      <c r="W199" s="632"/>
      <c r="X199" s="633"/>
      <c r="Y199" s="634"/>
      <c r="Z199" s="634"/>
      <c r="AA199" s="634"/>
      <c r="AB199" s="634"/>
      <c r="AC199" s="634"/>
      <c r="AD199" s="634"/>
      <c r="AE199" s="634"/>
      <c r="AF199" s="634"/>
      <c r="AG199" s="634"/>
      <c r="AH199" s="634"/>
      <c r="AI199" s="634"/>
      <c r="AJ199" s="634"/>
      <c r="AK199" s="634"/>
      <c r="AL199" s="634"/>
      <c r="AM199" s="634"/>
      <c r="AN199" s="634"/>
      <c r="AO199" s="634"/>
      <c r="AP199" s="634"/>
      <c r="AQ199" s="634"/>
      <c r="AR199" s="634"/>
      <c r="AS199" s="634"/>
      <c r="AT199" s="634"/>
      <c r="AU199" s="634"/>
      <c r="AV199" s="634"/>
      <c r="AW199" s="634"/>
      <c r="AX199" s="634"/>
      <c r="AY199" s="634"/>
      <c r="AZ199" s="634"/>
      <c r="BA199" s="634"/>
      <c r="BB199" s="634"/>
    </row>
    <row r="200" spans="1:54" ht="12.75" customHeight="1">
      <c r="A200" s="626">
        <v>195</v>
      </c>
      <c r="B200" s="627"/>
      <c r="C200" s="628" t="s">
        <v>1095</v>
      </c>
      <c r="D200" s="629"/>
      <c r="E200" s="629"/>
      <c r="F200" s="629"/>
      <c r="G200" s="629"/>
      <c r="H200" s="629"/>
      <c r="I200" s="629"/>
      <c r="J200" s="629"/>
      <c r="K200" s="629"/>
      <c r="L200" s="629"/>
      <c r="M200" s="629"/>
      <c r="N200" s="629"/>
      <c r="O200" s="629"/>
      <c r="P200" s="629"/>
      <c r="Q200" s="629"/>
      <c r="R200" s="629"/>
      <c r="S200" s="629"/>
      <c r="T200" s="629"/>
      <c r="U200" s="630"/>
      <c r="V200" s="631" t="s">
        <v>1108</v>
      </c>
      <c r="W200" s="632"/>
      <c r="X200" s="633"/>
      <c r="Y200" s="634"/>
      <c r="Z200" s="634"/>
      <c r="AA200" s="634"/>
      <c r="AB200" s="634"/>
      <c r="AC200" s="634"/>
      <c r="AD200" s="634"/>
      <c r="AE200" s="634"/>
      <c r="AF200" s="634"/>
      <c r="AG200" s="634"/>
      <c r="AH200" s="634"/>
      <c r="AI200" s="634"/>
      <c r="AJ200" s="634"/>
      <c r="AK200" s="634"/>
      <c r="AL200" s="634"/>
      <c r="AM200" s="634"/>
      <c r="AN200" s="634"/>
      <c r="AO200" s="634"/>
      <c r="AP200" s="634"/>
      <c r="AQ200" s="634"/>
      <c r="AR200" s="634"/>
      <c r="AS200" s="634"/>
      <c r="AT200" s="634"/>
      <c r="AU200" s="634"/>
      <c r="AV200" s="634"/>
      <c r="AW200" s="634"/>
      <c r="AX200" s="634"/>
      <c r="AY200" s="634"/>
      <c r="AZ200" s="634"/>
      <c r="BA200" s="634"/>
      <c r="BB200" s="634"/>
    </row>
    <row r="201" spans="1:54" ht="12.75" customHeight="1">
      <c r="A201" s="626">
        <v>196</v>
      </c>
      <c r="B201" s="627"/>
      <c r="C201" s="628" t="s">
        <v>1096</v>
      </c>
      <c r="D201" s="629"/>
      <c r="E201" s="629"/>
      <c r="F201" s="629"/>
      <c r="G201" s="629"/>
      <c r="H201" s="629"/>
      <c r="I201" s="629"/>
      <c r="J201" s="629"/>
      <c r="K201" s="629"/>
      <c r="L201" s="629"/>
      <c r="M201" s="629"/>
      <c r="N201" s="629"/>
      <c r="O201" s="629"/>
      <c r="P201" s="629"/>
      <c r="Q201" s="629"/>
      <c r="R201" s="629"/>
      <c r="S201" s="629"/>
      <c r="T201" s="629"/>
      <c r="U201" s="630"/>
      <c r="V201" s="631" t="s">
        <v>1108</v>
      </c>
      <c r="W201" s="632"/>
      <c r="X201" s="633"/>
      <c r="Y201" s="634"/>
      <c r="Z201" s="634"/>
      <c r="AA201" s="634"/>
      <c r="AB201" s="634"/>
      <c r="AC201" s="634"/>
      <c r="AD201" s="634"/>
      <c r="AE201" s="634"/>
      <c r="AF201" s="634"/>
      <c r="AG201" s="634"/>
      <c r="AH201" s="634"/>
      <c r="AI201" s="634"/>
      <c r="AJ201" s="634"/>
      <c r="AK201" s="634"/>
      <c r="AL201" s="634"/>
      <c r="AM201" s="634"/>
      <c r="AN201" s="634"/>
      <c r="AO201" s="634"/>
      <c r="AP201" s="634"/>
      <c r="AQ201" s="634"/>
      <c r="AR201" s="634"/>
      <c r="AS201" s="634"/>
      <c r="AT201" s="634"/>
      <c r="AU201" s="634"/>
      <c r="AV201" s="634"/>
      <c r="AW201" s="634"/>
      <c r="AX201" s="634"/>
      <c r="AY201" s="634"/>
      <c r="AZ201" s="634"/>
      <c r="BA201" s="634"/>
      <c r="BB201" s="634"/>
    </row>
    <row r="202" spans="1:54" ht="12.75" customHeight="1">
      <c r="A202" s="626">
        <v>197</v>
      </c>
      <c r="B202" s="627"/>
      <c r="C202" s="628" t="s">
        <v>1097</v>
      </c>
      <c r="D202" s="629"/>
      <c r="E202" s="629"/>
      <c r="F202" s="629"/>
      <c r="G202" s="629"/>
      <c r="H202" s="629"/>
      <c r="I202" s="629"/>
      <c r="J202" s="629"/>
      <c r="K202" s="629"/>
      <c r="L202" s="629"/>
      <c r="M202" s="629"/>
      <c r="N202" s="629"/>
      <c r="O202" s="629"/>
      <c r="P202" s="629"/>
      <c r="Q202" s="629"/>
      <c r="R202" s="629"/>
      <c r="S202" s="629"/>
      <c r="T202" s="629"/>
      <c r="U202" s="630"/>
      <c r="V202" s="631" t="s">
        <v>1108</v>
      </c>
      <c r="W202" s="632"/>
      <c r="X202" s="633"/>
      <c r="Y202" s="634"/>
      <c r="Z202" s="634"/>
      <c r="AA202" s="634"/>
      <c r="AB202" s="634"/>
      <c r="AC202" s="634"/>
      <c r="AD202" s="634"/>
      <c r="AE202" s="634"/>
      <c r="AF202" s="634"/>
      <c r="AG202" s="634"/>
      <c r="AH202" s="634"/>
      <c r="AI202" s="634"/>
      <c r="AJ202" s="634"/>
      <c r="AK202" s="634"/>
      <c r="AL202" s="634"/>
      <c r="AM202" s="634"/>
      <c r="AN202" s="634"/>
      <c r="AO202" s="634"/>
      <c r="AP202" s="634"/>
      <c r="AQ202" s="634"/>
      <c r="AR202" s="634"/>
      <c r="AS202" s="634"/>
      <c r="AT202" s="634"/>
      <c r="AU202" s="634"/>
      <c r="AV202" s="634"/>
      <c r="AW202" s="634"/>
      <c r="AX202" s="634"/>
      <c r="AY202" s="634"/>
      <c r="AZ202" s="634"/>
      <c r="BA202" s="634"/>
      <c r="BB202" s="634"/>
    </row>
    <row r="203" spans="1:54" ht="12.75" customHeight="1">
      <c r="A203" s="626">
        <v>198</v>
      </c>
      <c r="B203" s="627"/>
      <c r="C203" s="628" t="s">
        <v>1099</v>
      </c>
      <c r="D203" s="629"/>
      <c r="E203" s="629"/>
      <c r="F203" s="629"/>
      <c r="G203" s="629"/>
      <c r="H203" s="629"/>
      <c r="I203" s="629"/>
      <c r="J203" s="629"/>
      <c r="K203" s="629"/>
      <c r="L203" s="629"/>
      <c r="M203" s="629"/>
      <c r="N203" s="629"/>
      <c r="O203" s="629"/>
      <c r="P203" s="629"/>
      <c r="Q203" s="629"/>
      <c r="R203" s="629"/>
      <c r="S203" s="629"/>
      <c r="T203" s="629"/>
      <c r="U203" s="630"/>
      <c r="V203" s="631" t="s">
        <v>1108</v>
      </c>
      <c r="W203" s="632"/>
      <c r="X203" s="633"/>
      <c r="Y203" s="634"/>
      <c r="Z203" s="634"/>
      <c r="AA203" s="634"/>
      <c r="AB203" s="634"/>
      <c r="AC203" s="634"/>
      <c r="AD203" s="634"/>
      <c r="AE203" s="634"/>
      <c r="AF203" s="634"/>
      <c r="AG203" s="634"/>
      <c r="AH203" s="634"/>
      <c r="AI203" s="634"/>
      <c r="AJ203" s="634"/>
      <c r="AK203" s="634"/>
      <c r="AL203" s="634"/>
      <c r="AM203" s="634"/>
      <c r="AN203" s="634"/>
      <c r="AO203" s="634"/>
      <c r="AP203" s="634"/>
      <c r="AQ203" s="634"/>
      <c r="AR203" s="634"/>
      <c r="AS203" s="634"/>
      <c r="AT203" s="634"/>
      <c r="AU203" s="634"/>
      <c r="AV203" s="634"/>
      <c r="AW203" s="634"/>
      <c r="AX203" s="634"/>
      <c r="AY203" s="634"/>
      <c r="AZ203" s="634"/>
      <c r="BA203" s="634"/>
      <c r="BB203" s="634"/>
    </row>
    <row r="204" spans="1:54" ht="12.75" customHeight="1">
      <c r="A204" s="626">
        <v>199</v>
      </c>
      <c r="B204" s="627"/>
      <c r="C204" s="628" t="s">
        <v>1100</v>
      </c>
      <c r="D204" s="629"/>
      <c r="E204" s="629"/>
      <c r="F204" s="629"/>
      <c r="G204" s="629"/>
      <c r="H204" s="629"/>
      <c r="I204" s="629"/>
      <c r="J204" s="629"/>
      <c r="K204" s="629"/>
      <c r="L204" s="629"/>
      <c r="M204" s="629"/>
      <c r="N204" s="629"/>
      <c r="O204" s="629"/>
      <c r="P204" s="629"/>
      <c r="Q204" s="629"/>
      <c r="R204" s="629"/>
      <c r="S204" s="629"/>
      <c r="T204" s="629"/>
      <c r="U204" s="630"/>
      <c r="V204" s="631" t="s">
        <v>1108</v>
      </c>
      <c r="W204" s="632"/>
      <c r="X204" s="633"/>
      <c r="Y204" s="634"/>
      <c r="Z204" s="634"/>
      <c r="AA204" s="634"/>
      <c r="AB204" s="634"/>
      <c r="AC204" s="634"/>
      <c r="AD204" s="634"/>
      <c r="AE204" s="634"/>
      <c r="AF204" s="634"/>
      <c r="AG204" s="634"/>
      <c r="AH204" s="634"/>
      <c r="AI204" s="634"/>
      <c r="AJ204" s="634"/>
      <c r="AK204" s="634"/>
      <c r="AL204" s="634"/>
      <c r="AM204" s="634"/>
      <c r="AN204" s="634"/>
      <c r="AO204" s="634"/>
      <c r="AP204" s="634"/>
      <c r="AQ204" s="634"/>
      <c r="AR204" s="634"/>
      <c r="AS204" s="634"/>
      <c r="AT204" s="634"/>
      <c r="AU204" s="634"/>
      <c r="AV204" s="634"/>
      <c r="AW204" s="634"/>
      <c r="AX204" s="634"/>
      <c r="AY204" s="634"/>
      <c r="AZ204" s="634"/>
      <c r="BA204" s="634"/>
      <c r="BB204" s="634"/>
    </row>
    <row r="205" spans="1:54" ht="12.75" customHeight="1">
      <c r="A205" s="626">
        <v>200</v>
      </c>
      <c r="B205" s="627"/>
      <c r="C205" s="628" t="s">
        <v>1109</v>
      </c>
      <c r="D205" s="629"/>
      <c r="E205" s="629"/>
      <c r="F205" s="629"/>
      <c r="G205" s="629"/>
      <c r="H205" s="629"/>
      <c r="I205" s="629"/>
      <c r="J205" s="629"/>
      <c r="K205" s="629"/>
      <c r="L205" s="629"/>
      <c r="M205" s="629"/>
      <c r="N205" s="629"/>
      <c r="O205" s="629"/>
      <c r="P205" s="629"/>
      <c r="Q205" s="629"/>
      <c r="R205" s="629"/>
      <c r="S205" s="629"/>
      <c r="T205" s="629"/>
      <c r="U205" s="630"/>
      <c r="V205" s="631" t="s">
        <v>1110</v>
      </c>
      <c r="W205" s="632"/>
      <c r="X205" s="633"/>
      <c r="Y205" s="671"/>
      <c r="Z205" s="671"/>
      <c r="AA205" s="671"/>
      <c r="AB205" s="671"/>
      <c r="AC205" s="671"/>
      <c r="AD205" s="671"/>
      <c r="AE205" s="671"/>
      <c r="AF205" s="671"/>
      <c r="AG205" s="671"/>
      <c r="AH205" s="671"/>
      <c r="AI205" s="671"/>
      <c r="AJ205" s="671"/>
      <c r="AK205" s="671"/>
      <c r="AL205" s="671"/>
      <c r="AM205" s="671"/>
      <c r="AN205" s="671"/>
      <c r="AO205" s="671"/>
      <c r="AP205" s="671"/>
      <c r="AQ205" s="671"/>
      <c r="AR205" s="671"/>
      <c r="AS205" s="671"/>
      <c r="AT205" s="671"/>
      <c r="AU205" s="671"/>
      <c r="AV205" s="671"/>
      <c r="AW205" s="671"/>
      <c r="AX205" s="671"/>
      <c r="AY205" s="671"/>
      <c r="AZ205" s="671"/>
      <c r="BA205" s="671"/>
      <c r="BB205" s="671"/>
    </row>
    <row r="206" spans="1:54" ht="39" customHeight="1">
      <c r="A206" s="638">
        <v>201</v>
      </c>
      <c r="B206" s="639"/>
      <c r="C206" s="672" t="s">
        <v>1111</v>
      </c>
      <c r="D206" s="673"/>
      <c r="E206" s="673"/>
      <c r="F206" s="673"/>
      <c r="G206" s="673"/>
      <c r="H206" s="673"/>
      <c r="I206" s="673"/>
      <c r="J206" s="673"/>
      <c r="K206" s="673"/>
      <c r="L206" s="673"/>
      <c r="M206" s="673"/>
      <c r="N206" s="673"/>
      <c r="O206" s="673"/>
      <c r="P206" s="673"/>
      <c r="Q206" s="673"/>
      <c r="R206" s="673"/>
      <c r="S206" s="673"/>
      <c r="T206" s="673"/>
      <c r="U206" s="674"/>
      <c r="V206" s="643" t="s">
        <v>1112</v>
      </c>
      <c r="W206" s="644"/>
      <c r="X206" s="645"/>
      <c r="Y206" s="646"/>
      <c r="Z206" s="646"/>
      <c r="AA206" s="646"/>
      <c r="AB206" s="647"/>
      <c r="AC206" s="647"/>
      <c r="AD206" s="647"/>
      <c r="AE206" s="646"/>
      <c r="AF206" s="646"/>
      <c r="AG206" s="646"/>
      <c r="AH206" s="647"/>
      <c r="AI206" s="647"/>
      <c r="AJ206" s="647"/>
      <c r="AK206" s="646"/>
      <c r="AL206" s="646"/>
      <c r="AM206" s="646"/>
      <c r="AN206" s="647"/>
      <c r="AO206" s="647"/>
      <c r="AP206" s="647"/>
      <c r="AQ206" s="646"/>
      <c r="AR206" s="646"/>
      <c r="AS206" s="646"/>
      <c r="AT206" s="647"/>
      <c r="AU206" s="647"/>
      <c r="AV206" s="647"/>
      <c r="AW206" s="646"/>
      <c r="AX206" s="646"/>
      <c r="AY206" s="646"/>
      <c r="AZ206" s="647"/>
      <c r="BA206" s="647"/>
      <c r="BB206" s="647"/>
    </row>
    <row r="207" spans="1:54" ht="12.75" customHeight="1">
      <c r="A207" s="626">
        <v>202</v>
      </c>
      <c r="B207" s="627"/>
      <c r="C207" s="628" t="s">
        <v>1113</v>
      </c>
      <c r="D207" s="629"/>
      <c r="E207" s="629"/>
      <c r="F207" s="629"/>
      <c r="G207" s="629"/>
      <c r="H207" s="629"/>
      <c r="I207" s="629"/>
      <c r="J207" s="629"/>
      <c r="K207" s="629"/>
      <c r="L207" s="629"/>
      <c r="M207" s="629"/>
      <c r="N207" s="629"/>
      <c r="O207" s="629"/>
      <c r="P207" s="629"/>
      <c r="Q207" s="629"/>
      <c r="R207" s="629"/>
      <c r="S207" s="629"/>
      <c r="T207" s="629"/>
      <c r="U207" s="630"/>
      <c r="V207" s="631" t="s">
        <v>1114</v>
      </c>
      <c r="W207" s="632"/>
      <c r="X207" s="633"/>
      <c r="Y207" s="634"/>
      <c r="Z207" s="634"/>
      <c r="AA207" s="634"/>
      <c r="AB207" s="634"/>
      <c r="AC207" s="634"/>
      <c r="AD207" s="634"/>
      <c r="AE207" s="634"/>
      <c r="AF207" s="634"/>
      <c r="AG207" s="634"/>
      <c r="AH207" s="634"/>
      <c r="AI207" s="634"/>
      <c r="AJ207" s="634"/>
      <c r="AK207" s="634"/>
      <c r="AL207" s="634"/>
      <c r="AM207" s="634"/>
      <c r="AN207" s="634"/>
      <c r="AO207" s="634"/>
      <c r="AP207" s="634"/>
      <c r="AQ207" s="634"/>
      <c r="AR207" s="634"/>
      <c r="AS207" s="634"/>
      <c r="AT207" s="634"/>
      <c r="AU207" s="634"/>
      <c r="AV207" s="634"/>
      <c r="AW207" s="634"/>
      <c r="AX207" s="634"/>
      <c r="AY207" s="634"/>
      <c r="AZ207" s="634"/>
      <c r="BA207" s="634"/>
      <c r="BB207" s="634"/>
    </row>
    <row r="208" spans="1:54" ht="12.75" customHeight="1">
      <c r="A208" s="626">
        <v>203</v>
      </c>
      <c r="B208" s="627"/>
      <c r="C208" s="628" t="s">
        <v>1115</v>
      </c>
      <c r="D208" s="629"/>
      <c r="E208" s="629"/>
      <c r="F208" s="629"/>
      <c r="G208" s="629"/>
      <c r="H208" s="629"/>
      <c r="I208" s="629"/>
      <c r="J208" s="629"/>
      <c r="K208" s="629"/>
      <c r="L208" s="629"/>
      <c r="M208" s="629"/>
      <c r="N208" s="629"/>
      <c r="O208" s="629"/>
      <c r="P208" s="629"/>
      <c r="Q208" s="629"/>
      <c r="R208" s="629"/>
      <c r="S208" s="629"/>
      <c r="T208" s="629"/>
      <c r="U208" s="630"/>
      <c r="V208" s="631" t="s">
        <v>1116</v>
      </c>
      <c r="W208" s="632"/>
      <c r="X208" s="633"/>
      <c r="Y208" s="634"/>
      <c r="Z208" s="634"/>
      <c r="AA208" s="634"/>
      <c r="AB208" s="634"/>
      <c r="AC208" s="634"/>
      <c r="AD208" s="634"/>
      <c r="AE208" s="634"/>
      <c r="AF208" s="634"/>
      <c r="AG208" s="634"/>
      <c r="AH208" s="634"/>
      <c r="AI208" s="634"/>
      <c r="AJ208" s="634"/>
      <c r="AK208" s="634"/>
      <c r="AL208" s="634"/>
      <c r="AM208" s="634"/>
      <c r="AN208" s="634"/>
      <c r="AO208" s="634"/>
      <c r="AP208" s="634"/>
      <c r="AQ208" s="634"/>
      <c r="AR208" s="634"/>
      <c r="AS208" s="634"/>
      <c r="AT208" s="634"/>
      <c r="AU208" s="634"/>
      <c r="AV208" s="634"/>
      <c r="AW208" s="634"/>
      <c r="AX208" s="634"/>
      <c r="AY208" s="634"/>
      <c r="AZ208" s="634"/>
      <c r="BA208" s="634"/>
      <c r="BB208" s="634"/>
    </row>
    <row r="209" spans="1:54" ht="12.75" customHeight="1">
      <c r="A209" s="626">
        <v>204</v>
      </c>
      <c r="B209" s="627"/>
      <c r="C209" s="628" t="s">
        <v>1117</v>
      </c>
      <c r="D209" s="629"/>
      <c r="E209" s="629"/>
      <c r="F209" s="629"/>
      <c r="G209" s="629"/>
      <c r="H209" s="629"/>
      <c r="I209" s="629"/>
      <c r="J209" s="629"/>
      <c r="K209" s="629"/>
      <c r="L209" s="629"/>
      <c r="M209" s="629"/>
      <c r="N209" s="629"/>
      <c r="O209" s="629"/>
      <c r="P209" s="629"/>
      <c r="Q209" s="629"/>
      <c r="R209" s="629"/>
      <c r="S209" s="629"/>
      <c r="T209" s="629"/>
      <c r="U209" s="630"/>
      <c r="V209" s="631" t="s">
        <v>1116</v>
      </c>
      <c r="W209" s="632"/>
      <c r="X209" s="633"/>
      <c r="Y209" s="634"/>
      <c r="Z209" s="634"/>
      <c r="AA209" s="634"/>
      <c r="AB209" s="634"/>
      <c r="AC209" s="634"/>
      <c r="AD209" s="634"/>
      <c r="AE209" s="634"/>
      <c r="AF209" s="634"/>
      <c r="AG209" s="634"/>
      <c r="AH209" s="634"/>
      <c r="AI209" s="634"/>
      <c r="AJ209" s="634"/>
      <c r="AK209" s="634"/>
      <c r="AL209" s="634"/>
      <c r="AM209" s="634"/>
      <c r="AN209" s="634"/>
      <c r="AO209" s="634"/>
      <c r="AP209" s="634"/>
      <c r="AQ209" s="634"/>
      <c r="AR209" s="634"/>
      <c r="AS209" s="634"/>
      <c r="AT209" s="634"/>
      <c r="AU209" s="634"/>
      <c r="AV209" s="634"/>
      <c r="AW209" s="634"/>
      <c r="AX209" s="634"/>
      <c r="AY209" s="634"/>
      <c r="AZ209" s="634"/>
      <c r="BA209" s="634"/>
      <c r="BB209" s="634"/>
    </row>
    <row r="210" spans="1:54" ht="12.75" customHeight="1">
      <c r="A210" s="626">
        <v>205</v>
      </c>
      <c r="B210" s="627"/>
      <c r="C210" s="628" t="s">
        <v>1118</v>
      </c>
      <c r="D210" s="629"/>
      <c r="E210" s="629"/>
      <c r="F210" s="629"/>
      <c r="G210" s="629"/>
      <c r="H210" s="629"/>
      <c r="I210" s="629"/>
      <c r="J210" s="629"/>
      <c r="K210" s="629"/>
      <c r="L210" s="629"/>
      <c r="M210" s="629"/>
      <c r="N210" s="629"/>
      <c r="O210" s="629"/>
      <c r="P210" s="629"/>
      <c r="Q210" s="629"/>
      <c r="R210" s="629"/>
      <c r="S210" s="629"/>
      <c r="T210" s="629"/>
      <c r="U210" s="630"/>
      <c r="V210" s="631" t="s">
        <v>1119</v>
      </c>
      <c r="W210" s="632"/>
      <c r="X210" s="633"/>
      <c r="Y210" s="634"/>
      <c r="Z210" s="634"/>
      <c r="AA210" s="634"/>
      <c r="AB210" s="634"/>
      <c r="AC210" s="634"/>
      <c r="AD210" s="634"/>
      <c r="AE210" s="634"/>
      <c r="AF210" s="634"/>
      <c r="AG210" s="634"/>
      <c r="AH210" s="634"/>
      <c r="AI210" s="634"/>
      <c r="AJ210" s="634"/>
      <c r="AK210" s="634"/>
      <c r="AL210" s="634"/>
      <c r="AM210" s="634"/>
      <c r="AN210" s="634"/>
      <c r="AO210" s="634"/>
      <c r="AP210" s="634"/>
      <c r="AQ210" s="634"/>
      <c r="AR210" s="634"/>
      <c r="AS210" s="634"/>
      <c r="AT210" s="634"/>
      <c r="AU210" s="634"/>
      <c r="AV210" s="634"/>
      <c r="AW210" s="634"/>
      <c r="AX210" s="634"/>
      <c r="AY210" s="634"/>
      <c r="AZ210" s="634"/>
      <c r="BA210" s="634"/>
      <c r="BB210" s="634"/>
    </row>
    <row r="211" spans="1:54" ht="12.75" customHeight="1">
      <c r="A211" s="626">
        <v>206</v>
      </c>
      <c r="B211" s="627"/>
      <c r="C211" s="628" t="s">
        <v>1120</v>
      </c>
      <c r="D211" s="629"/>
      <c r="E211" s="629"/>
      <c r="F211" s="629"/>
      <c r="G211" s="629"/>
      <c r="H211" s="629"/>
      <c r="I211" s="629"/>
      <c r="J211" s="629"/>
      <c r="K211" s="629"/>
      <c r="L211" s="629"/>
      <c r="M211" s="629"/>
      <c r="N211" s="629"/>
      <c r="O211" s="629"/>
      <c r="P211" s="629"/>
      <c r="Q211" s="629"/>
      <c r="R211" s="629"/>
      <c r="S211" s="629"/>
      <c r="T211" s="629"/>
      <c r="U211" s="630"/>
      <c r="V211" s="631" t="s">
        <v>1121</v>
      </c>
      <c r="W211" s="632"/>
      <c r="X211" s="633"/>
      <c r="Y211" s="634"/>
      <c r="Z211" s="634"/>
      <c r="AA211" s="634"/>
      <c r="AB211" s="634"/>
      <c r="AC211" s="634"/>
      <c r="AD211" s="634"/>
      <c r="AE211" s="634"/>
      <c r="AF211" s="634"/>
      <c r="AG211" s="634"/>
      <c r="AH211" s="634"/>
      <c r="AI211" s="634"/>
      <c r="AJ211" s="634"/>
      <c r="AK211" s="634"/>
      <c r="AL211" s="634"/>
      <c r="AM211" s="634"/>
      <c r="AN211" s="634"/>
      <c r="AO211" s="634"/>
      <c r="AP211" s="634"/>
      <c r="AQ211" s="634"/>
      <c r="AR211" s="634"/>
      <c r="AS211" s="634"/>
      <c r="AT211" s="634"/>
      <c r="AU211" s="634"/>
      <c r="AV211" s="634"/>
      <c r="AW211" s="634"/>
      <c r="AX211" s="634"/>
      <c r="AY211" s="634"/>
      <c r="AZ211" s="634"/>
      <c r="BA211" s="634"/>
      <c r="BB211" s="634"/>
    </row>
    <row r="212" spans="1:54" ht="12.75" customHeight="1">
      <c r="A212" s="626">
        <v>207</v>
      </c>
      <c r="B212" s="627"/>
      <c r="C212" s="628" t="s">
        <v>1122</v>
      </c>
      <c r="D212" s="629"/>
      <c r="E212" s="629"/>
      <c r="F212" s="629"/>
      <c r="G212" s="629"/>
      <c r="H212" s="629"/>
      <c r="I212" s="629"/>
      <c r="J212" s="629"/>
      <c r="K212" s="629"/>
      <c r="L212" s="629"/>
      <c r="M212" s="629"/>
      <c r="N212" s="629"/>
      <c r="O212" s="629"/>
      <c r="P212" s="629"/>
      <c r="Q212" s="629"/>
      <c r="R212" s="629"/>
      <c r="S212" s="629"/>
      <c r="T212" s="629"/>
      <c r="U212" s="630"/>
      <c r="V212" s="631" t="s">
        <v>1123</v>
      </c>
      <c r="W212" s="632"/>
      <c r="X212" s="633"/>
      <c r="Y212" s="634"/>
      <c r="Z212" s="634"/>
      <c r="AA212" s="634"/>
      <c r="AB212" s="634"/>
      <c r="AC212" s="634"/>
      <c r="AD212" s="634"/>
      <c r="AE212" s="634"/>
      <c r="AF212" s="634"/>
      <c r="AG212" s="634"/>
      <c r="AH212" s="634"/>
      <c r="AI212" s="634"/>
      <c r="AJ212" s="634"/>
      <c r="AK212" s="634"/>
      <c r="AL212" s="634"/>
      <c r="AM212" s="634"/>
      <c r="AN212" s="634"/>
      <c r="AO212" s="634"/>
      <c r="AP212" s="634"/>
      <c r="AQ212" s="634"/>
      <c r="AR212" s="634"/>
      <c r="AS212" s="634"/>
      <c r="AT212" s="634"/>
      <c r="AU212" s="634"/>
      <c r="AV212" s="634"/>
      <c r="AW212" s="634"/>
      <c r="AX212" s="634"/>
      <c r="AY212" s="634"/>
      <c r="AZ212" s="634"/>
      <c r="BA212" s="634"/>
      <c r="BB212" s="634"/>
    </row>
    <row r="213" spans="1:54" ht="12.75" customHeight="1">
      <c r="A213" s="626">
        <v>208</v>
      </c>
      <c r="B213" s="627"/>
      <c r="C213" s="628" t="s">
        <v>1124</v>
      </c>
      <c r="D213" s="629"/>
      <c r="E213" s="629"/>
      <c r="F213" s="629"/>
      <c r="G213" s="629"/>
      <c r="H213" s="629"/>
      <c r="I213" s="629"/>
      <c r="J213" s="629"/>
      <c r="K213" s="629"/>
      <c r="L213" s="629"/>
      <c r="M213" s="629"/>
      <c r="N213" s="629"/>
      <c r="O213" s="629"/>
      <c r="P213" s="629"/>
      <c r="Q213" s="629"/>
      <c r="R213" s="629"/>
      <c r="S213" s="629"/>
      <c r="T213" s="629"/>
      <c r="U213" s="630"/>
      <c r="V213" s="631" t="s">
        <v>1125</v>
      </c>
      <c r="W213" s="632"/>
      <c r="X213" s="633"/>
      <c r="Y213" s="634"/>
      <c r="Z213" s="634"/>
      <c r="AA213" s="634"/>
      <c r="AB213" s="634"/>
      <c r="AC213" s="634"/>
      <c r="AD213" s="634"/>
      <c r="AE213" s="634"/>
      <c r="AF213" s="634"/>
      <c r="AG213" s="634"/>
      <c r="AH213" s="634"/>
      <c r="AI213" s="634"/>
      <c r="AJ213" s="634"/>
      <c r="AK213" s="634"/>
      <c r="AL213" s="634"/>
      <c r="AM213" s="634"/>
      <c r="AN213" s="634"/>
      <c r="AO213" s="634"/>
      <c r="AP213" s="634"/>
      <c r="AQ213" s="634"/>
      <c r="AR213" s="634"/>
      <c r="AS213" s="634"/>
      <c r="AT213" s="634"/>
      <c r="AU213" s="634"/>
      <c r="AV213" s="634"/>
      <c r="AW213" s="634"/>
      <c r="AX213" s="634"/>
      <c r="AY213" s="634"/>
      <c r="AZ213" s="634"/>
      <c r="BA213" s="634"/>
      <c r="BB213" s="634"/>
    </row>
    <row r="214" spans="1:54" ht="25.5" customHeight="1">
      <c r="A214" s="626">
        <v>209</v>
      </c>
      <c r="B214" s="627"/>
      <c r="C214" s="628" t="s">
        <v>1126</v>
      </c>
      <c r="D214" s="629"/>
      <c r="E214" s="629"/>
      <c r="F214" s="629"/>
      <c r="G214" s="629"/>
      <c r="H214" s="629"/>
      <c r="I214" s="629"/>
      <c r="J214" s="629"/>
      <c r="K214" s="629"/>
      <c r="L214" s="629"/>
      <c r="M214" s="629"/>
      <c r="N214" s="629"/>
      <c r="O214" s="629"/>
      <c r="P214" s="629"/>
      <c r="Q214" s="629"/>
      <c r="R214" s="629"/>
      <c r="S214" s="629"/>
      <c r="T214" s="629"/>
      <c r="U214" s="630"/>
      <c r="V214" s="631" t="s">
        <v>1127</v>
      </c>
      <c r="W214" s="632"/>
      <c r="X214" s="633"/>
      <c r="Y214" s="634"/>
      <c r="Z214" s="634"/>
      <c r="AA214" s="634"/>
      <c r="AB214" s="634"/>
      <c r="AC214" s="634"/>
      <c r="AD214" s="634"/>
      <c r="AE214" s="634"/>
      <c r="AF214" s="634"/>
      <c r="AG214" s="634"/>
      <c r="AH214" s="634"/>
      <c r="AI214" s="634"/>
      <c r="AJ214" s="634"/>
      <c r="AK214" s="634"/>
      <c r="AL214" s="634"/>
      <c r="AM214" s="634"/>
      <c r="AN214" s="634"/>
      <c r="AO214" s="634"/>
      <c r="AP214" s="634"/>
      <c r="AQ214" s="634"/>
      <c r="AR214" s="634"/>
      <c r="AS214" s="634"/>
      <c r="AT214" s="634"/>
      <c r="AU214" s="634"/>
      <c r="AV214" s="634"/>
      <c r="AW214" s="634"/>
      <c r="AX214" s="634"/>
      <c r="AY214" s="634"/>
      <c r="AZ214" s="634"/>
      <c r="BA214" s="634"/>
      <c r="BB214" s="634"/>
    </row>
    <row r="215" spans="1:54" ht="12.75" customHeight="1">
      <c r="A215" s="638">
        <v>210</v>
      </c>
      <c r="B215" s="639"/>
      <c r="C215" s="640" t="s">
        <v>1128</v>
      </c>
      <c r="D215" s="641"/>
      <c r="E215" s="641"/>
      <c r="F215" s="641"/>
      <c r="G215" s="641"/>
      <c r="H215" s="641"/>
      <c r="I215" s="641"/>
      <c r="J215" s="641"/>
      <c r="K215" s="641"/>
      <c r="L215" s="641"/>
      <c r="M215" s="641"/>
      <c r="N215" s="641"/>
      <c r="O215" s="641"/>
      <c r="P215" s="641"/>
      <c r="Q215" s="641"/>
      <c r="R215" s="641"/>
      <c r="S215" s="641"/>
      <c r="T215" s="641"/>
      <c r="U215" s="642"/>
      <c r="V215" s="643" t="s">
        <v>1129</v>
      </c>
      <c r="W215" s="644"/>
      <c r="X215" s="645"/>
      <c r="Y215" s="646"/>
      <c r="Z215" s="646"/>
      <c r="AA215" s="646"/>
      <c r="AB215" s="647"/>
      <c r="AC215" s="647"/>
      <c r="AD215" s="647"/>
      <c r="AE215" s="646"/>
      <c r="AF215" s="646"/>
      <c r="AG215" s="646"/>
      <c r="AH215" s="647"/>
      <c r="AI215" s="647"/>
      <c r="AJ215" s="647"/>
      <c r="AK215" s="646"/>
      <c r="AL215" s="646"/>
      <c r="AM215" s="646"/>
      <c r="AN215" s="647"/>
      <c r="AO215" s="647"/>
      <c r="AP215" s="647"/>
      <c r="AQ215" s="646"/>
      <c r="AR215" s="646"/>
      <c r="AS215" s="646"/>
      <c r="AT215" s="647"/>
      <c r="AU215" s="647"/>
      <c r="AV215" s="647"/>
      <c r="AW215" s="646"/>
      <c r="AX215" s="646"/>
      <c r="AY215" s="646"/>
      <c r="AZ215" s="647"/>
      <c r="BA215" s="647"/>
      <c r="BB215" s="647"/>
    </row>
    <row r="216" spans="1:54" ht="12.75" customHeight="1">
      <c r="A216" s="626">
        <v>211</v>
      </c>
      <c r="B216" s="627"/>
      <c r="C216" s="628" t="s">
        <v>1130</v>
      </c>
      <c r="D216" s="629"/>
      <c r="E216" s="629"/>
      <c r="F216" s="629"/>
      <c r="G216" s="629"/>
      <c r="H216" s="629"/>
      <c r="I216" s="629"/>
      <c r="J216" s="629"/>
      <c r="K216" s="629"/>
      <c r="L216" s="629"/>
      <c r="M216" s="629"/>
      <c r="N216" s="629"/>
      <c r="O216" s="629"/>
      <c r="P216" s="629"/>
      <c r="Q216" s="629"/>
      <c r="R216" s="629"/>
      <c r="S216" s="629"/>
      <c r="T216" s="629"/>
      <c r="U216" s="630"/>
      <c r="V216" s="631" t="s">
        <v>1131</v>
      </c>
      <c r="W216" s="632"/>
      <c r="X216" s="633"/>
      <c r="Y216" s="634"/>
      <c r="Z216" s="634"/>
      <c r="AA216" s="634"/>
      <c r="AB216" s="634"/>
      <c r="AC216" s="634"/>
      <c r="AD216" s="634"/>
      <c r="AE216" s="634"/>
      <c r="AF216" s="634"/>
      <c r="AG216" s="634"/>
      <c r="AH216" s="634"/>
      <c r="AI216" s="634"/>
      <c r="AJ216" s="634"/>
      <c r="AK216" s="634"/>
      <c r="AL216" s="634"/>
      <c r="AM216" s="634"/>
      <c r="AN216" s="634"/>
      <c r="AO216" s="634"/>
      <c r="AP216" s="634"/>
      <c r="AQ216" s="634"/>
      <c r="AR216" s="634"/>
      <c r="AS216" s="634"/>
      <c r="AT216" s="634"/>
      <c r="AU216" s="634"/>
      <c r="AV216" s="634"/>
      <c r="AW216" s="634"/>
      <c r="AX216" s="634"/>
      <c r="AY216" s="634"/>
      <c r="AZ216" s="634"/>
      <c r="BA216" s="634"/>
      <c r="BB216" s="634"/>
    </row>
    <row r="217" spans="1:54" ht="12.75" customHeight="1">
      <c r="A217" s="626">
        <v>212</v>
      </c>
      <c r="B217" s="627"/>
      <c r="C217" s="628" t="s">
        <v>1132</v>
      </c>
      <c r="D217" s="629"/>
      <c r="E217" s="629"/>
      <c r="F217" s="629"/>
      <c r="G217" s="629"/>
      <c r="H217" s="629"/>
      <c r="I217" s="629"/>
      <c r="J217" s="629"/>
      <c r="K217" s="629"/>
      <c r="L217" s="629"/>
      <c r="M217" s="629"/>
      <c r="N217" s="629"/>
      <c r="O217" s="629"/>
      <c r="P217" s="629"/>
      <c r="Q217" s="629"/>
      <c r="R217" s="629"/>
      <c r="S217" s="629"/>
      <c r="T217" s="629"/>
      <c r="U217" s="630"/>
      <c r="V217" s="631" t="s">
        <v>1133</v>
      </c>
      <c r="W217" s="632"/>
      <c r="X217" s="633"/>
      <c r="Y217" s="634"/>
      <c r="Z217" s="634"/>
      <c r="AA217" s="634"/>
      <c r="AB217" s="634"/>
      <c r="AC217" s="634"/>
      <c r="AD217" s="634"/>
      <c r="AE217" s="634"/>
      <c r="AF217" s="634"/>
      <c r="AG217" s="634"/>
      <c r="AH217" s="634"/>
      <c r="AI217" s="634"/>
      <c r="AJ217" s="634"/>
      <c r="AK217" s="634"/>
      <c r="AL217" s="634"/>
      <c r="AM217" s="634"/>
      <c r="AN217" s="634"/>
      <c r="AO217" s="634"/>
      <c r="AP217" s="634"/>
      <c r="AQ217" s="634"/>
      <c r="AR217" s="634"/>
      <c r="AS217" s="634"/>
      <c r="AT217" s="634"/>
      <c r="AU217" s="634"/>
      <c r="AV217" s="634"/>
      <c r="AW217" s="634"/>
      <c r="AX217" s="634"/>
      <c r="AY217" s="634"/>
      <c r="AZ217" s="634"/>
      <c r="BA217" s="634"/>
      <c r="BB217" s="634"/>
    </row>
    <row r="218" spans="1:54" ht="12.75" customHeight="1">
      <c r="A218" s="626">
        <v>213</v>
      </c>
      <c r="B218" s="627"/>
      <c r="C218" s="628" t="s">
        <v>1134</v>
      </c>
      <c r="D218" s="629"/>
      <c r="E218" s="629"/>
      <c r="F218" s="629"/>
      <c r="G218" s="629"/>
      <c r="H218" s="629"/>
      <c r="I218" s="629"/>
      <c r="J218" s="629"/>
      <c r="K218" s="629"/>
      <c r="L218" s="629"/>
      <c r="M218" s="629"/>
      <c r="N218" s="629"/>
      <c r="O218" s="629"/>
      <c r="P218" s="629"/>
      <c r="Q218" s="629"/>
      <c r="R218" s="629"/>
      <c r="S218" s="629"/>
      <c r="T218" s="629"/>
      <c r="U218" s="630"/>
      <c r="V218" s="631" t="s">
        <v>1135</v>
      </c>
      <c r="W218" s="632"/>
      <c r="X218" s="633"/>
      <c r="Y218" s="634"/>
      <c r="Z218" s="634"/>
      <c r="AA218" s="634"/>
      <c r="AB218" s="634"/>
      <c r="AC218" s="634"/>
      <c r="AD218" s="634"/>
      <c r="AE218" s="634"/>
      <c r="AF218" s="634"/>
      <c r="AG218" s="634"/>
      <c r="AH218" s="634"/>
      <c r="AI218" s="634"/>
      <c r="AJ218" s="634"/>
      <c r="AK218" s="634"/>
      <c r="AL218" s="634"/>
      <c r="AM218" s="634"/>
      <c r="AN218" s="634"/>
      <c r="AO218" s="634"/>
      <c r="AP218" s="634"/>
      <c r="AQ218" s="634"/>
      <c r="AR218" s="634"/>
      <c r="AS218" s="634"/>
      <c r="AT218" s="634"/>
      <c r="AU218" s="634"/>
      <c r="AV218" s="634"/>
      <c r="AW218" s="634"/>
      <c r="AX218" s="634"/>
      <c r="AY218" s="634"/>
      <c r="AZ218" s="634"/>
      <c r="BA218" s="634"/>
      <c r="BB218" s="634"/>
    </row>
    <row r="219" spans="1:54" ht="25.5" customHeight="1">
      <c r="A219" s="626">
        <v>214</v>
      </c>
      <c r="B219" s="627"/>
      <c r="C219" s="628" t="s">
        <v>1136</v>
      </c>
      <c r="D219" s="629"/>
      <c r="E219" s="629"/>
      <c r="F219" s="629"/>
      <c r="G219" s="629"/>
      <c r="H219" s="629"/>
      <c r="I219" s="629"/>
      <c r="J219" s="629"/>
      <c r="K219" s="629"/>
      <c r="L219" s="629"/>
      <c r="M219" s="629"/>
      <c r="N219" s="629"/>
      <c r="O219" s="629"/>
      <c r="P219" s="629"/>
      <c r="Q219" s="629"/>
      <c r="R219" s="629"/>
      <c r="S219" s="629"/>
      <c r="T219" s="629"/>
      <c r="U219" s="630"/>
      <c r="V219" s="631" t="s">
        <v>1137</v>
      </c>
      <c r="W219" s="632"/>
      <c r="X219" s="633"/>
      <c r="Y219" s="634"/>
      <c r="Z219" s="634"/>
      <c r="AA219" s="634"/>
      <c r="AB219" s="634"/>
      <c r="AC219" s="634"/>
      <c r="AD219" s="634"/>
      <c r="AE219" s="634"/>
      <c r="AF219" s="634"/>
      <c r="AG219" s="634"/>
      <c r="AH219" s="634"/>
      <c r="AI219" s="634"/>
      <c r="AJ219" s="634"/>
      <c r="AK219" s="634"/>
      <c r="AL219" s="634"/>
      <c r="AM219" s="634"/>
      <c r="AN219" s="634"/>
      <c r="AO219" s="634"/>
      <c r="AP219" s="634"/>
      <c r="AQ219" s="634"/>
      <c r="AR219" s="634"/>
      <c r="AS219" s="634"/>
      <c r="AT219" s="634"/>
      <c r="AU219" s="634"/>
      <c r="AV219" s="634"/>
      <c r="AW219" s="634"/>
      <c r="AX219" s="634"/>
      <c r="AY219" s="634"/>
      <c r="AZ219" s="634"/>
      <c r="BA219" s="634"/>
      <c r="BB219" s="634"/>
    </row>
    <row r="220" spans="1:54" ht="12.75" customHeight="1">
      <c r="A220" s="638">
        <v>215</v>
      </c>
      <c r="B220" s="639"/>
      <c r="C220" s="640" t="s">
        <v>1138</v>
      </c>
      <c r="D220" s="641"/>
      <c r="E220" s="641"/>
      <c r="F220" s="641"/>
      <c r="G220" s="641"/>
      <c r="H220" s="641"/>
      <c r="I220" s="641"/>
      <c r="J220" s="641"/>
      <c r="K220" s="641"/>
      <c r="L220" s="641"/>
      <c r="M220" s="641"/>
      <c r="N220" s="641"/>
      <c r="O220" s="641"/>
      <c r="P220" s="641"/>
      <c r="Q220" s="641"/>
      <c r="R220" s="641"/>
      <c r="S220" s="641"/>
      <c r="T220" s="641"/>
      <c r="U220" s="642"/>
      <c r="V220" s="643" t="s">
        <v>1139</v>
      </c>
      <c r="W220" s="644"/>
      <c r="X220" s="645"/>
      <c r="Y220" s="646"/>
      <c r="Z220" s="646"/>
      <c r="AA220" s="646"/>
      <c r="AB220" s="647"/>
      <c r="AC220" s="647"/>
      <c r="AD220" s="647"/>
      <c r="AE220" s="646"/>
      <c r="AF220" s="646"/>
      <c r="AG220" s="646"/>
      <c r="AH220" s="647"/>
      <c r="AI220" s="647"/>
      <c r="AJ220" s="647"/>
      <c r="AK220" s="646"/>
      <c r="AL220" s="646"/>
      <c r="AM220" s="646"/>
      <c r="AN220" s="647"/>
      <c r="AO220" s="647"/>
      <c r="AP220" s="647"/>
      <c r="AQ220" s="646"/>
      <c r="AR220" s="646"/>
      <c r="AS220" s="646"/>
      <c r="AT220" s="647"/>
      <c r="AU220" s="647"/>
      <c r="AV220" s="647"/>
      <c r="AW220" s="646"/>
      <c r="AX220" s="646"/>
      <c r="AY220" s="646"/>
      <c r="AZ220" s="647"/>
      <c r="BA220" s="647"/>
      <c r="BB220" s="647"/>
    </row>
    <row r="221" spans="1:54" ht="25.5" customHeight="1">
      <c r="A221" s="626">
        <v>216</v>
      </c>
      <c r="B221" s="627"/>
      <c r="C221" s="668" t="s">
        <v>1140</v>
      </c>
      <c r="D221" s="669"/>
      <c r="E221" s="669"/>
      <c r="F221" s="669"/>
      <c r="G221" s="669"/>
      <c r="H221" s="669"/>
      <c r="I221" s="669"/>
      <c r="J221" s="669"/>
      <c r="K221" s="669"/>
      <c r="L221" s="669"/>
      <c r="M221" s="669"/>
      <c r="N221" s="669"/>
      <c r="O221" s="669"/>
      <c r="P221" s="669"/>
      <c r="Q221" s="669"/>
      <c r="R221" s="669"/>
      <c r="S221" s="669"/>
      <c r="T221" s="669"/>
      <c r="U221" s="670"/>
      <c r="V221" s="631" t="s">
        <v>1141</v>
      </c>
      <c r="W221" s="632"/>
      <c r="X221" s="633"/>
      <c r="Y221" s="675"/>
      <c r="Z221" s="675"/>
      <c r="AA221" s="675"/>
      <c r="AB221" s="675"/>
      <c r="AC221" s="675"/>
      <c r="AD221" s="675"/>
      <c r="AE221" s="675"/>
      <c r="AF221" s="675"/>
      <c r="AG221" s="675"/>
      <c r="AH221" s="675"/>
      <c r="AI221" s="675"/>
      <c r="AJ221" s="675"/>
      <c r="AK221" s="675"/>
      <c r="AL221" s="675"/>
      <c r="AM221" s="675"/>
      <c r="AN221" s="675"/>
      <c r="AO221" s="675"/>
      <c r="AP221" s="675"/>
      <c r="AQ221" s="675"/>
      <c r="AR221" s="675"/>
      <c r="AS221" s="675"/>
      <c r="AT221" s="675"/>
      <c r="AU221" s="675"/>
      <c r="AV221" s="675"/>
      <c r="AW221" s="675"/>
      <c r="AX221" s="675"/>
      <c r="AY221" s="675"/>
      <c r="AZ221" s="675"/>
      <c r="BA221" s="675"/>
      <c r="BB221" s="675"/>
    </row>
    <row r="222" spans="1:54" ht="25.5" customHeight="1">
      <c r="A222" s="626">
        <v>217</v>
      </c>
      <c r="B222" s="627"/>
      <c r="C222" s="668" t="s">
        <v>1142</v>
      </c>
      <c r="D222" s="669"/>
      <c r="E222" s="669"/>
      <c r="F222" s="669"/>
      <c r="G222" s="669"/>
      <c r="H222" s="669"/>
      <c r="I222" s="669"/>
      <c r="J222" s="669"/>
      <c r="K222" s="669"/>
      <c r="L222" s="669"/>
      <c r="M222" s="669"/>
      <c r="N222" s="669"/>
      <c r="O222" s="669"/>
      <c r="P222" s="669"/>
      <c r="Q222" s="669"/>
      <c r="R222" s="669"/>
      <c r="S222" s="669"/>
      <c r="T222" s="669"/>
      <c r="U222" s="670"/>
      <c r="V222" s="631" t="s">
        <v>1143</v>
      </c>
      <c r="W222" s="632"/>
      <c r="X222" s="633"/>
      <c r="Y222" s="646"/>
      <c r="Z222" s="646"/>
      <c r="AA222" s="646"/>
      <c r="AB222" s="647"/>
      <c r="AC222" s="647"/>
      <c r="AD222" s="647"/>
      <c r="AE222" s="646"/>
      <c r="AF222" s="646"/>
      <c r="AG222" s="646"/>
      <c r="AH222" s="647"/>
      <c r="AI222" s="647"/>
      <c r="AJ222" s="647"/>
      <c r="AK222" s="646"/>
      <c r="AL222" s="646"/>
      <c r="AM222" s="646"/>
      <c r="AN222" s="647"/>
      <c r="AO222" s="647"/>
      <c r="AP222" s="647"/>
      <c r="AQ222" s="646"/>
      <c r="AR222" s="646"/>
      <c r="AS222" s="646"/>
      <c r="AT222" s="647"/>
      <c r="AU222" s="647"/>
      <c r="AV222" s="647"/>
      <c r="AW222" s="646"/>
      <c r="AX222" s="646"/>
      <c r="AY222" s="646"/>
      <c r="AZ222" s="647"/>
      <c r="BA222" s="647"/>
      <c r="BB222" s="647"/>
    </row>
    <row r="223" spans="1:54" ht="12.75" customHeight="1">
      <c r="A223" s="626">
        <v>218</v>
      </c>
      <c r="B223" s="627"/>
      <c r="C223" s="628" t="s">
        <v>1071</v>
      </c>
      <c r="D223" s="629"/>
      <c r="E223" s="629"/>
      <c r="F223" s="629"/>
      <c r="G223" s="629"/>
      <c r="H223" s="629"/>
      <c r="I223" s="629"/>
      <c r="J223" s="629"/>
      <c r="K223" s="629"/>
      <c r="L223" s="629"/>
      <c r="M223" s="629"/>
      <c r="N223" s="629"/>
      <c r="O223" s="629"/>
      <c r="P223" s="629"/>
      <c r="Q223" s="629"/>
      <c r="R223" s="629"/>
      <c r="S223" s="629"/>
      <c r="T223" s="629"/>
      <c r="U223" s="630"/>
      <c r="V223" s="631" t="s">
        <v>1143</v>
      </c>
      <c r="W223" s="632"/>
      <c r="X223" s="633"/>
      <c r="Y223" s="634"/>
      <c r="Z223" s="634"/>
      <c r="AA223" s="634"/>
      <c r="AB223" s="634"/>
      <c r="AC223" s="634"/>
      <c r="AD223" s="634"/>
      <c r="AE223" s="634"/>
      <c r="AF223" s="634"/>
      <c r="AG223" s="634"/>
      <c r="AH223" s="634"/>
      <c r="AI223" s="634"/>
      <c r="AJ223" s="634"/>
      <c r="AK223" s="634"/>
      <c r="AL223" s="634"/>
      <c r="AM223" s="634"/>
      <c r="AN223" s="634"/>
      <c r="AO223" s="634"/>
      <c r="AP223" s="634"/>
      <c r="AQ223" s="634"/>
      <c r="AR223" s="634"/>
      <c r="AS223" s="634"/>
      <c r="AT223" s="634"/>
      <c r="AU223" s="634"/>
      <c r="AV223" s="634"/>
      <c r="AW223" s="634"/>
      <c r="AX223" s="634"/>
      <c r="AY223" s="634"/>
      <c r="AZ223" s="634"/>
      <c r="BA223" s="634"/>
      <c r="BB223" s="634"/>
    </row>
    <row r="224" spans="1:54" ht="12.75" customHeight="1">
      <c r="A224" s="626">
        <v>219</v>
      </c>
      <c r="B224" s="627"/>
      <c r="C224" s="628" t="s">
        <v>1072</v>
      </c>
      <c r="D224" s="629"/>
      <c r="E224" s="629"/>
      <c r="F224" s="629"/>
      <c r="G224" s="629"/>
      <c r="H224" s="629"/>
      <c r="I224" s="629"/>
      <c r="J224" s="629"/>
      <c r="K224" s="629"/>
      <c r="L224" s="629"/>
      <c r="M224" s="629"/>
      <c r="N224" s="629"/>
      <c r="O224" s="629"/>
      <c r="P224" s="629"/>
      <c r="Q224" s="629"/>
      <c r="R224" s="629"/>
      <c r="S224" s="629"/>
      <c r="T224" s="629"/>
      <c r="U224" s="630"/>
      <c r="V224" s="631" t="s">
        <v>1143</v>
      </c>
      <c r="W224" s="632"/>
      <c r="X224" s="633"/>
      <c r="Y224" s="634"/>
      <c r="Z224" s="634"/>
      <c r="AA224" s="634"/>
      <c r="AB224" s="634"/>
      <c r="AC224" s="634"/>
      <c r="AD224" s="634"/>
      <c r="AE224" s="634"/>
      <c r="AF224" s="634"/>
      <c r="AG224" s="634"/>
      <c r="AH224" s="634"/>
      <c r="AI224" s="634"/>
      <c r="AJ224" s="634"/>
      <c r="AK224" s="634"/>
      <c r="AL224" s="634"/>
      <c r="AM224" s="634"/>
      <c r="AN224" s="634"/>
      <c r="AO224" s="634"/>
      <c r="AP224" s="634"/>
      <c r="AQ224" s="634"/>
      <c r="AR224" s="634"/>
      <c r="AS224" s="634"/>
      <c r="AT224" s="634"/>
      <c r="AU224" s="634"/>
      <c r="AV224" s="634"/>
      <c r="AW224" s="634"/>
      <c r="AX224" s="634"/>
      <c r="AY224" s="634"/>
      <c r="AZ224" s="634"/>
      <c r="BA224" s="634"/>
      <c r="BB224" s="634"/>
    </row>
    <row r="225" spans="1:54" ht="25.5" customHeight="1">
      <c r="A225" s="626">
        <v>220</v>
      </c>
      <c r="B225" s="627"/>
      <c r="C225" s="628" t="s">
        <v>1073</v>
      </c>
      <c r="D225" s="629"/>
      <c r="E225" s="629"/>
      <c r="F225" s="629"/>
      <c r="G225" s="629"/>
      <c r="H225" s="629"/>
      <c r="I225" s="629"/>
      <c r="J225" s="629"/>
      <c r="K225" s="629"/>
      <c r="L225" s="629"/>
      <c r="M225" s="629"/>
      <c r="N225" s="629"/>
      <c r="O225" s="629"/>
      <c r="P225" s="629"/>
      <c r="Q225" s="629"/>
      <c r="R225" s="629"/>
      <c r="S225" s="629"/>
      <c r="T225" s="629"/>
      <c r="U225" s="630"/>
      <c r="V225" s="631" t="s">
        <v>1143</v>
      </c>
      <c r="W225" s="632"/>
      <c r="X225" s="633"/>
      <c r="Y225" s="634"/>
      <c r="Z225" s="634"/>
      <c r="AA225" s="634"/>
      <c r="AB225" s="634"/>
      <c r="AC225" s="634"/>
      <c r="AD225" s="634"/>
      <c r="AE225" s="634"/>
      <c r="AF225" s="634"/>
      <c r="AG225" s="634"/>
      <c r="AH225" s="634"/>
      <c r="AI225" s="634"/>
      <c r="AJ225" s="634"/>
      <c r="AK225" s="634"/>
      <c r="AL225" s="634"/>
      <c r="AM225" s="634"/>
      <c r="AN225" s="634"/>
      <c r="AO225" s="634"/>
      <c r="AP225" s="634"/>
      <c r="AQ225" s="634"/>
      <c r="AR225" s="634"/>
      <c r="AS225" s="634"/>
      <c r="AT225" s="634"/>
      <c r="AU225" s="634"/>
      <c r="AV225" s="634"/>
      <c r="AW225" s="634"/>
      <c r="AX225" s="634"/>
      <c r="AY225" s="634"/>
      <c r="AZ225" s="634"/>
      <c r="BA225" s="634"/>
      <c r="BB225" s="634"/>
    </row>
    <row r="226" spans="1:54" ht="12.75" customHeight="1">
      <c r="A226" s="626">
        <v>221</v>
      </c>
      <c r="B226" s="627"/>
      <c r="C226" s="628" t="s">
        <v>1074</v>
      </c>
      <c r="D226" s="629"/>
      <c r="E226" s="629"/>
      <c r="F226" s="629"/>
      <c r="G226" s="629"/>
      <c r="H226" s="629"/>
      <c r="I226" s="629"/>
      <c r="J226" s="629"/>
      <c r="K226" s="629"/>
      <c r="L226" s="629"/>
      <c r="M226" s="629"/>
      <c r="N226" s="629"/>
      <c r="O226" s="629"/>
      <c r="P226" s="629"/>
      <c r="Q226" s="629"/>
      <c r="R226" s="629"/>
      <c r="S226" s="629"/>
      <c r="T226" s="629"/>
      <c r="U226" s="630"/>
      <c r="V226" s="631" t="s">
        <v>1143</v>
      </c>
      <c r="W226" s="632"/>
      <c r="X226" s="633"/>
      <c r="Y226" s="634"/>
      <c r="Z226" s="634"/>
      <c r="AA226" s="634"/>
      <c r="AB226" s="634"/>
      <c r="AC226" s="634"/>
      <c r="AD226" s="634"/>
      <c r="AE226" s="634"/>
      <c r="AF226" s="634"/>
      <c r="AG226" s="634"/>
      <c r="AH226" s="634"/>
      <c r="AI226" s="634"/>
      <c r="AJ226" s="634"/>
      <c r="AK226" s="634"/>
      <c r="AL226" s="634"/>
      <c r="AM226" s="634"/>
      <c r="AN226" s="634"/>
      <c r="AO226" s="634"/>
      <c r="AP226" s="634"/>
      <c r="AQ226" s="634"/>
      <c r="AR226" s="634"/>
      <c r="AS226" s="634"/>
      <c r="AT226" s="634"/>
      <c r="AU226" s="634"/>
      <c r="AV226" s="634"/>
      <c r="AW226" s="634"/>
      <c r="AX226" s="634"/>
      <c r="AY226" s="634"/>
      <c r="AZ226" s="634"/>
      <c r="BA226" s="634"/>
      <c r="BB226" s="634"/>
    </row>
    <row r="227" spans="1:54" ht="12.75" customHeight="1">
      <c r="A227" s="626">
        <v>222</v>
      </c>
      <c r="B227" s="627"/>
      <c r="C227" s="628" t="s">
        <v>1075</v>
      </c>
      <c r="D227" s="629"/>
      <c r="E227" s="629"/>
      <c r="F227" s="629"/>
      <c r="G227" s="629"/>
      <c r="H227" s="629"/>
      <c r="I227" s="629"/>
      <c r="J227" s="629"/>
      <c r="K227" s="629"/>
      <c r="L227" s="629"/>
      <c r="M227" s="629"/>
      <c r="N227" s="629"/>
      <c r="O227" s="629"/>
      <c r="P227" s="629"/>
      <c r="Q227" s="629"/>
      <c r="R227" s="629"/>
      <c r="S227" s="629"/>
      <c r="T227" s="629"/>
      <c r="U227" s="630"/>
      <c r="V227" s="631" t="s">
        <v>1143</v>
      </c>
      <c r="W227" s="632"/>
      <c r="X227" s="633"/>
      <c r="Y227" s="634"/>
      <c r="Z227" s="634"/>
      <c r="AA227" s="634"/>
      <c r="AB227" s="634"/>
      <c r="AC227" s="634"/>
      <c r="AD227" s="634"/>
      <c r="AE227" s="634"/>
      <c r="AF227" s="634"/>
      <c r="AG227" s="634"/>
      <c r="AH227" s="634"/>
      <c r="AI227" s="634"/>
      <c r="AJ227" s="634"/>
      <c r="AK227" s="634"/>
      <c r="AL227" s="634"/>
      <c r="AM227" s="634"/>
      <c r="AN227" s="634"/>
      <c r="AO227" s="634"/>
      <c r="AP227" s="634"/>
      <c r="AQ227" s="634"/>
      <c r="AR227" s="634"/>
      <c r="AS227" s="634"/>
      <c r="AT227" s="634"/>
      <c r="AU227" s="634"/>
      <c r="AV227" s="634"/>
      <c r="AW227" s="634"/>
      <c r="AX227" s="634"/>
      <c r="AY227" s="634"/>
      <c r="AZ227" s="634"/>
      <c r="BA227" s="634"/>
      <c r="BB227" s="634"/>
    </row>
    <row r="228" spans="1:54" ht="12.75" customHeight="1">
      <c r="A228" s="626">
        <v>223</v>
      </c>
      <c r="B228" s="627"/>
      <c r="C228" s="628" t="s">
        <v>1076</v>
      </c>
      <c r="D228" s="629"/>
      <c r="E228" s="629"/>
      <c r="F228" s="629"/>
      <c r="G228" s="629"/>
      <c r="H228" s="629"/>
      <c r="I228" s="629"/>
      <c r="J228" s="629"/>
      <c r="K228" s="629"/>
      <c r="L228" s="629"/>
      <c r="M228" s="629"/>
      <c r="N228" s="629"/>
      <c r="O228" s="629"/>
      <c r="P228" s="629"/>
      <c r="Q228" s="629"/>
      <c r="R228" s="629"/>
      <c r="S228" s="629"/>
      <c r="T228" s="629"/>
      <c r="U228" s="630"/>
      <c r="V228" s="631" t="s">
        <v>1143</v>
      </c>
      <c r="W228" s="632"/>
      <c r="X228" s="633"/>
      <c r="Y228" s="634"/>
      <c r="Z228" s="634"/>
      <c r="AA228" s="634"/>
      <c r="AB228" s="634"/>
      <c r="AC228" s="634"/>
      <c r="AD228" s="634"/>
      <c r="AE228" s="634"/>
      <c r="AF228" s="634"/>
      <c r="AG228" s="634"/>
      <c r="AH228" s="634"/>
      <c r="AI228" s="634"/>
      <c r="AJ228" s="634"/>
      <c r="AK228" s="634"/>
      <c r="AL228" s="634"/>
      <c r="AM228" s="634"/>
      <c r="AN228" s="634"/>
      <c r="AO228" s="634"/>
      <c r="AP228" s="634"/>
      <c r="AQ228" s="634"/>
      <c r="AR228" s="634"/>
      <c r="AS228" s="634"/>
      <c r="AT228" s="634"/>
      <c r="AU228" s="634"/>
      <c r="AV228" s="634"/>
      <c r="AW228" s="634"/>
      <c r="AX228" s="634"/>
      <c r="AY228" s="634"/>
      <c r="AZ228" s="634"/>
      <c r="BA228" s="634"/>
      <c r="BB228" s="634"/>
    </row>
    <row r="229" spans="1:54" ht="12.75" customHeight="1">
      <c r="A229" s="626">
        <v>224</v>
      </c>
      <c r="B229" s="627"/>
      <c r="C229" s="628" t="s">
        <v>1077</v>
      </c>
      <c r="D229" s="629"/>
      <c r="E229" s="629"/>
      <c r="F229" s="629"/>
      <c r="G229" s="629"/>
      <c r="H229" s="629"/>
      <c r="I229" s="629"/>
      <c r="J229" s="629"/>
      <c r="K229" s="629"/>
      <c r="L229" s="629"/>
      <c r="M229" s="629"/>
      <c r="N229" s="629"/>
      <c r="O229" s="629"/>
      <c r="P229" s="629"/>
      <c r="Q229" s="629"/>
      <c r="R229" s="629"/>
      <c r="S229" s="629"/>
      <c r="T229" s="629"/>
      <c r="U229" s="630"/>
      <c r="V229" s="631" t="s">
        <v>1143</v>
      </c>
      <c r="W229" s="632"/>
      <c r="X229" s="633"/>
      <c r="Y229" s="634"/>
      <c r="Z229" s="634"/>
      <c r="AA229" s="634"/>
      <c r="AB229" s="634"/>
      <c r="AC229" s="634"/>
      <c r="AD229" s="634"/>
      <c r="AE229" s="634"/>
      <c r="AF229" s="634"/>
      <c r="AG229" s="634"/>
      <c r="AH229" s="634"/>
      <c r="AI229" s="634"/>
      <c r="AJ229" s="634"/>
      <c r="AK229" s="634"/>
      <c r="AL229" s="634"/>
      <c r="AM229" s="634"/>
      <c r="AN229" s="634"/>
      <c r="AO229" s="634"/>
      <c r="AP229" s="634"/>
      <c r="AQ229" s="634"/>
      <c r="AR229" s="634"/>
      <c r="AS229" s="634"/>
      <c r="AT229" s="634"/>
      <c r="AU229" s="634"/>
      <c r="AV229" s="634"/>
      <c r="AW229" s="634"/>
      <c r="AX229" s="634"/>
      <c r="AY229" s="634"/>
      <c r="AZ229" s="634"/>
      <c r="BA229" s="634"/>
      <c r="BB229" s="634"/>
    </row>
    <row r="230" spans="1:54" ht="12.75" customHeight="1">
      <c r="A230" s="626">
        <v>225</v>
      </c>
      <c r="B230" s="627"/>
      <c r="C230" s="628" t="s">
        <v>1078</v>
      </c>
      <c r="D230" s="629"/>
      <c r="E230" s="629"/>
      <c r="F230" s="629"/>
      <c r="G230" s="629"/>
      <c r="H230" s="629"/>
      <c r="I230" s="629"/>
      <c r="J230" s="629"/>
      <c r="K230" s="629"/>
      <c r="L230" s="629"/>
      <c r="M230" s="629"/>
      <c r="N230" s="629"/>
      <c r="O230" s="629"/>
      <c r="P230" s="629"/>
      <c r="Q230" s="629"/>
      <c r="R230" s="629"/>
      <c r="S230" s="629"/>
      <c r="T230" s="629"/>
      <c r="U230" s="630"/>
      <c r="V230" s="631" t="s">
        <v>1143</v>
      </c>
      <c r="W230" s="632"/>
      <c r="X230" s="633"/>
      <c r="Y230" s="634"/>
      <c r="Z230" s="634"/>
      <c r="AA230" s="634"/>
      <c r="AB230" s="634"/>
      <c r="AC230" s="634"/>
      <c r="AD230" s="634"/>
      <c r="AE230" s="634"/>
      <c r="AF230" s="634"/>
      <c r="AG230" s="634"/>
      <c r="AH230" s="634"/>
      <c r="AI230" s="634"/>
      <c r="AJ230" s="634"/>
      <c r="AK230" s="634"/>
      <c r="AL230" s="634"/>
      <c r="AM230" s="634"/>
      <c r="AN230" s="634"/>
      <c r="AO230" s="634"/>
      <c r="AP230" s="634"/>
      <c r="AQ230" s="634"/>
      <c r="AR230" s="634"/>
      <c r="AS230" s="634"/>
      <c r="AT230" s="634"/>
      <c r="AU230" s="634"/>
      <c r="AV230" s="634"/>
      <c r="AW230" s="634"/>
      <c r="AX230" s="634"/>
      <c r="AY230" s="634"/>
      <c r="AZ230" s="634"/>
      <c r="BA230" s="634"/>
      <c r="BB230" s="634"/>
    </row>
    <row r="231" spans="1:54" ht="25.5" customHeight="1">
      <c r="A231" s="626">
        <v>226</v>
      </c>
      <c r="B231" s="627"/>
      <c r="C231" s="628" t="s">
        <v>1079</v>
      </c>
      <c r="D231" s="629"/>
      <c r="E231" s="629"/>
      <c r="F231" s="629"/>
      <c r="G231" s="629"/>
      <c r="H231" s="629"/>
      <c r="I231" s="629"/>
      <c r="J231" s="629"/>
      <c r="K231" s="629"/>
      <c r="L231" s="629"/>
      <c r="M231" s="629"/>
      <c r="N231" s="629"/>
      <c r="O231" s="629"/>
      <c r="P231" s="629"/>
      <c r="Q231" s="629"/>
      <c r="R231" s="629"/>
      <c r="S231" s="629"/>
      <c r="T231" s="629"/>
      <c r="U231" s="630"/>
      <c r="V231" s="631" t="s">
        <v>1143</v>
      </c>
      <c r="W231" s="632"/>
      <c r="X231" s="633"/>
      <c r="Y231" s="634"/>
      <c r="Z231" s="634"/>
      <c r="AA231" s="634"/>
      <c r="AB231" s="634"/>
      <c r="AC231" s="634"/>
      <c r="AD231" s="634"/>
      <c r="AE231" s="634"/>
      <c r="AF231" s="634"/>
      <c r="AG231" s="634"/>
      <c r="AH231" s="634"/>
      <c r="AI231" s="634"/>
      <c r="AJ231" s="634"/>
      <c r="AK231" s="634"/>
      <c r="AL231" s="634"/>
      <c r="AM231" s="634"/>
      <c r="AN231" s="634"/>
      <c r="AO231" s="634"/>
      <c r="AP231" s="634"/>
      <c r="AQ231" s="634"/>
      <c r="AR231" s="634"/>
      <c r="AS231" s="634"/>
      <c r="AT231" s="634"/>
      <c r="AU231" s="634"/>
      <c r="AV231" s="634"/>
      <c r="AW231" s="634"/>
      <c r="AX231" s="634"/>
      <c r="AY231" s="634"/>
      <c r="AZ231" s="634"/>
      <c r="BA231" s="634"/>
      <c r="BB231" s="634"/>
    </row>
    <row r="232" spans="1:54" ht="25.5" customHeight="1">
      <c r="A232" s="626">
        <v>227</v>
      </c>
      <c r="B232" s="627"/>
      <c r="C232" s="628" t="s">
        <v>1080</v>
      </c>
      <c r="D232" s="629"/>
      <c r="E232" s="629"/>
      <c r="F232" s="629"/>
      <c r="G232" s="629"/>
      <c r="H232" s="629"/>
      <c r="I232" s="629"/>
      <c r="J232" s="629"/>
      <c r="K232" s="629"/>
      <c r="L232" s="629"/>
      <c r="M232" s="629"/>
      <c r="N232" s="629"/>
      <c r="O232" s="629"/>
      <c r="P232" s="629"/>
      <c r="Q232" s="629"/>
      <c r="R232" s="629"/>
      <c r="S232" s="629"/>
      <c r="T232" s="629"/>
      <c r="U232" s="630"/>
      <c r="V232" s="631" t="s">
        <v>1143</v>
      </c>
      <c r="W232" s="632"/>
      <c r="X232" s="633"/>
      <c r="Y232" s="634"/>
      <c r="Z232" s="634"/>
      <c r="AA232" s="634"/>
      <c r="AB232" s="634"/>
      <c r="AC232" s="634"/>
      <c r="AD232" s="634"/>
      <c r="AE232" s="634"/>
      <c r="AF232" s="634"/>
      <c r="AG232" s="634"/>
      <c r="AH232" s="634"/>
      <c r="AI232" s="634"/>
      <c r="AJ232" s="634"/>
      <c r="AK232" s="634"/>
      <c r="AL232" s="634"/>
      <c r="AM232" s="634"/>
      <c r="AN232" s="634"/>
      <c r="AO232" s="634"/>
      <c r="AP232" s="634"/>
      <c r="AQ232" s="634"/>
      <c r="AR232" s="634"/>
      <c r="AS232" s="634"/>
      <c r="AT232" s="634"/>
      <c r="AU232" s="634"/>
      <c r="AV232" s="634"/>
      <c r="AW232" s="634"/>
      <c r="AX232" s="634"/>
      <c r="AY232" s="634"/>
      <c r="AZ232" s="634"/>
      <c r="BA232" s="634"/>
      <c r="BB232" s="634"/>
    </row>
    <row r="233" spans="1:54" ht="25.5" customHeight="1">
      <c r="A233" s="626">
        <v>228</v>
      </c>
      <c r="B233" s="627"/>
      <c r="C233" s="668" t="s">
        <v>1144</v>
      </c>
      <c r="D233" s="669"/>
      <c r="E233" s="669"/>
      <c r="F233" s="669"/>
      <c r="G233" s="669"/>
      <c r="H233" s="669"/>
      <c r="I233" s="669"/>
      <c r="J233" s="669"/>
      <c r="K233" s="669"/>
      <c r="L233" s="669"/>
      <c r="M233" s="669"/>
      <c r="N233" s="669"/>
      <c r="O233" s="669"/>
      <c r="P233" s="669"/>
      <c r="Q233" s="669"/>
      <c r="R233" s="669"/>
      <c r="S233" s="669"/>
      <c r="T233" s="669"/>
      <c r="U233" s="670"/>
      <c r="V233" s="631" t="s">
        <v>1145</v>
      </c>
      <c r="W233" s="632"/>
      <c r="X233" s="633"/>
      <c r="Y233" s="646"/>
      <c r="Z233" s="646"/>
      <c r="AA233" s="646"/>
      <c r="AB233" s="647"/>
      <c r="AC233" s="647"/>
      <c r="AD233" s="647"/>
      <c r="AE233" s="646"/>
      <c r="AF233" s="646"/>
      <c r="AG233" s="646"/>
      <c r="AH233" s="647"/>
      <c r="AI233" s="647"/>
      <c r="AJ233" s="647"/>
      <c r="AK233" s="646"/>
      <c r="AL233" s="646"/>
      <c r="AM233" s="646"/>
      <c r="AN233" s="647"/>
      <c r="AO233" s="647"/>
      <c r="AP233" s="647"/>
      <c r="AQ233" s="646"/>
      <c r="AR233" s="646"/>
      <c r="AS233" s="646"/>
      <c r="AT233" s="647"/>
      <c r="AU233" s="647"/>
      <c r="AV233" s="647"/>
      <c r="AW233" s="646"/>
      <c r="AX233" s="646"/>
      <c r="AY233" s="646"/>
      <c r="AZ233" s="647"/>
      <c r="BA233" s="647"/>
      <c r="BB233" s="647"/>
    </row>
    <row r="234" spans="1:54" ht="12.75" customHeight="1">
      <c r="A234" s="626">
        <v>229</v>
      </c>
      <c r="B234" s="627"/>
      <c r="C234" s="628" t="s">
        <v>1071</v>
      </c>
      <c r="D234" s="629"/>
      <c r="E234" s="629"/>
      <c r="F234" s="629"/>
      <c r="G234" s="629"/>
      <c r="H234" s="629"/>
      <c r="I234" s="629"/>
      <c r="J234" s="629"/>
      <c r="K234" s="629"/>
      <c r="L234" s="629"/>
      <c r="M234" s="629"/>
      <c r="N234" s="629"/>
      <c r="O234" s="629"/>
      <c r="P234" s="629"/>
      <c r="Q234" s="629"/>
      <c r="R234" s="629"/>
      <c r="S234" s="629"/>
      <c r="T234" s="629"/>
      <c r="U234" s="630"/>
      <c r="V234" s="631" t="s">
        <v>1145</v>
      </c>
      <c r="W234" s="632"/>
      <c r="X234" s="633"/>
      <c r="Y234" s="634"/>
      <c r="Z234" s="634"/>
      <c r="AA234" s="634"/>
      <c r="AB234" s="634"/>
      <c r="AC234" s="634"/>
      <c r="AD234" s="634"/>
      <c r="AE234" s="634"/>
      <c r="AF234" s="634"/>
      <c r="AG234" s="634"/>
      <c r="AH234" s="634"/>
      <c r="AI234" s="634"/>
      <c r="AJ234" s="634"/>
      <c r="AK234" s="634"/>
      <c r="AL234" s="634"/>
      <c r="AM234" s="634"/>
      <c r="AN234" s="634"/>
      <c r="AO234" s="634"/>
      <c r="AP234" s="634"/>
      <c r="AQ234" s="634"/>
      <c r="AR234" s="634"/>
      <c r="AS234" s="634"/>
      <c r="AT234" s="634"/>
      <c r="AU234" s="634"/>
      <c r="AV234" s="634"/>
      <c r="AW234" s="634"/>
      <c r="AX234" s="634"/>
      <c r="AY234" s="634"/>
      <c r="AZ234" s="634"/>
      <c r="BA234" s="634"/>
      <c r="BB234" s="634"/>
    </row>
    <row r="235" spans="1:54" ht="12.75" customHeight="1">
      <c r="A235" s="626">
        <v>230</v>
      </c>
      <c r="B235" s="627"/>
      <c r="C235" s="628" t="s">
        <v>1072</v>
      </c>
      <c r="D235" s="629"/>
      <c r="E235" s="629"/>
      <c r="F235" s="629"/>
      <c r="G235" s="629"/>
      <c r="H235" s="629"/>
      <c r="I235" s="629"/>
      <c r="J235" s="629"/>
      <c r="K235" s="629"/>
      <c r="L235" s="629"/>
      <c r="M235" s="629"/>
      <c r="N235" s="629"/>
      <c r="O235" s="629"/>
      <c r="P235" s="629"/>
      <c r="Q235" s="629"/>
      <c r="R235" s="629"/>
      <c r="S235" s="629"/>
      <c r="T235" s="629"/>
      <c r="U235" s="630"/>
      <c r="V235" s="631" t="s">
        <v>1145</v>
      </c>
      <c r="W235" s="632"/>
      <c r="X235" s="633"/>
      <c r="Y235" s="634"/>
      <c r="Z235" s="634"/>
      <c r="AA235" s="634"/>
      <c r="AB235" s="634"/>
      <c r="AC235" s="634"/>
      <c r="AD235" s="634"/>
      <c r="AE235" s="634"/>
      <c r="AF235" s="634"/>
      <c r="AG235" s="634"/>
      <c r="AH235" s="634"/>
      <c r="AI235" s="634"/>
      <c r="AJ235" s="634"/>
      <c r="AK235" s="634"/>
      <c r="AL235" s="634"/>
      <c r="AM235" s="634"/>
      <c r="AN235" s="634"/>
      <c r="AO235" s="634"/>
      <c r="AP235" s="634"/>
      <c r="AQ235" s="634"/>
      <c r="AR235" s="634"/>
      <c r="AS235" s="634"/>
      <c r="AT235" s="634"/>
      <c r="AU235" s="634"/>
      <c r="AV235" s="634"/>
      <c r="AW235" s="634"/>
      <c r="AX235" s="634"/>
      <c r="AY235" s="634"/>
      <c r="AZ235" s="634"/>
      <c r="BA235" s="634"/>
      <c r="BB235" s="634"/>
    </row>
    <row r="236" spans="1:54" ht="25.5" customHeight="1">
      <c r="A236" s="626">
        <v>231</v>
      </c>
      <c r="B236" s="627"/>
      <c r="C236" s="628" t="s">
        <v>1073</v>
      </c>
      <c r="D236" s="629"/>
      <c r="E236" s="629"/>
      <c r="F236" s="629"/>
      <c r="G236" s="629"/>
      <c r="H236" s="629"/>
      <c r="I236" s="629"/>
      <c r="J236" s="629"/>
      <c r="K236" s="629"/>
      <c r="L236" s="629"/>
      <c r="M236" s="629"/>
      <c r="N236" s="629"/>
      <c r="O236" s="629"/>
      <c r="P236" s="629"/>
      <c r="Q236" s="629"/>
      <c r="R236" s="629"/>
      <c r="S236" s="629"/>
      <c r="T236" s="629"/>
      <c r="U236" s="630"/>
      <c r="V236" s="631" t="s">
        <v>1145</v>
      </c>
      <c r="W236" s="632"/>
      <c r="X236" s="633"/>
      <c r="Y236" s="634"/>
      <c r="Z236" s="634"/>
      <c r="AA236" s="634"/>
      <c r="AB236" s="634"/>
      <c r="AC236" s="634"/>
      <c r="AD236" s="634"/>
      <c r="AE236" s="634"/>
      <c r="AF236" s="634"/>
      <c r="AG236" s="634"/>
      <c r="AH236" s="634"/>
      <c r="AI236" s="634"/>
      <c r="AJ236" s="634"/>
      <c r="AK236" s="634"/>
      <c r="AL236" s="634"/>
      <c r="AM236" s="634"/>
      <c r="AN236" s="634"/>
      <c r="AO236" s="634"/>
      <c r="AP236" s="634"/>
      <c r="AQ236" s="634"/>
      <c r="AR236" s="634"/>
      <c r="AS236" s="634"/>
      <c r="AT236" s="634"/>
      <c r="AU236" s="634"/>
      <c r="AV236" s="634"/>
      <c r="AW236" s="634"/>
      <c r="AX236" s="634"/>
      <c r="AY236" s="634"/>
      <c r="AZ236" s="634"/>
      <c r="BA236" s="634"/>
      <c r="BB236" s="634"/>
    </row>
    <row r="237" spans="1:54" ht="12.75" customHeight="1">
      <c r="A237" s="626">
        <v>232</v>
      </c>
      <c r="B237" s="627"/>
      <c r="C237" s="628" t="s">
        <v>1074</v>
      </c>
      <c r="D237" s="629"/>
      <c r="E237" s="629"/>
      <c r="F237" s="629"/>
      <c r="G237" s="629"/>
      <c r="H237" s="629"/>
      <c r="I237" s="629"/>
      <c r="J237" s="629"/>
      <c r="K237" s="629"/>
      <c r="L237" s="629"/>
      <c r="M237" s="629"/>
      <c r="N237" s="629"/>
      <c r="O237" s="629"/>
      <c r="P237" s="629"/>
      <c r="Q237" s="629"/>
      <c r="R237" s="629"/>
      <c r="S237" s="629"/>
      <c r="T237" s="629"/>
      <c r="U237" s="630"/>
      <c r="V237" s="631" t="s">
        <v>1145</v>
      </c>
      <c r="W237" s="632"/>
      <c r="X237" s="633"/>
      <c r="Y237" s="634"/>
      <c r="Z237" s="634"/>
      <c r="AA237" s="634"/>
      <c r="AB237" s="634"/>
      <c r="AC237" s="634"/>
      <c r="AD237" s="634"/>
      <c r="AE237" s="634"/>
      <c r="AF237" s="634"/>
      <c r="AG237" s="634"/>
      <c r="AH237" s="634"/>
      <c r="AI237" s="634"/>
      <c r="AJ237" s="634"/>
      <c r="AK237" s="634"/>
      <c r="AL237" s="634"/>
      <c r="AM237" s="634"/>
      <c r="AN237" s="634"/>
      <c r="AO237" s="634"/>
      <c r="AP237" s="634"/>
      <c r="AQ237" s="634"/>
      <c r="AR237" s="634"/>
      <c r="AS237" s="634"/>
      <c r="AT237" s="634"/>
      <c r="AU237" s="634"/>
      <c r="AV237" s="634"/>
      <c r="AW237" s="634"/>
      <c r="AX237" s="634"/>
      <c r="AY237" s="634"/>
      <c r="AZ237" s="634"/>
      <c r="BA237" s="634"/>
      <c r="BB237" s="634"/>
    </row>
    <row r="238" spans="1:54" ht="12.75" customHeight="1">
      <c r="A238" s="626">
        <v>233</v>
      </c>
      <c r="B238" s="627"/>
      <c r="C238" s="628" t="s">
        <v>1075</v>
      </c>
      <c r="D238" s="629"/>
      <c r="E238" s="629"/>
      <c r="F238" s="629"/>
      <c r="G238" s="629"/>
      <c r="H238" s="629"/>
      <c r="I238" s="629"/>
      <c r="J238" s="629"/>
      <c r="K238" s="629"/>
      <c r="L238" s="629"/>
      <c r="M238" s="629"/>
      <c r="N238" s="629"/>
      <c r="O238" s="629"/>
      <c r="P238" s="629"/>
      <c r="Q238" s="629"/>
      <c r="R238" s="629"/>
      <c r="S238" s="629"/>
      <c r="T238" s="629"/>
      <c r="U238" s="630"/>
      <c r="V238" s="631" t="s">
        <v>1145</v>
      </c>
      <c r="W238" s="632"/>
      <c r="X238" s="633"/>
      <c r="Y238" s="634"/>
      <c r="Z238" s="634"/>
      <c r="AA238" s="634"/>
      <c r="AB238" s="634"/>
      <c r="AC238" s="634"/>
      <c r="AD238" s="634"/>
      <c r="AE238" s="634"/>
      <c r="AF238" s="634"/>
      <c r="AG238" s="634"/>
      <c r="AH238" s="634"/>
      <c r="AI238" s="634"/>
      <c r="AJ238" s="634"/>
      <c r="AK238" s="634"/>
      <c r="AL238" s="634"/>
      <c r="AM238" s="634"/>
      <c r="AN238" s="634"/>
      <c r="AO238" s="634"/>
      <c r="AP238" s="634"/>
      <c r="AQ238" s="634"/>
      <c r="AR238" s="634"/>
      <c r="AS238" s="634"/>
      <c r="AT238" s="634"/>
      <c r="AU238" s="634"/>
      <c r="AV238" s="634"/>
      <c r="AW238" s="634"/>
      <c r="AX238" s="634"/>
      <c r="AY238" s="634"/>
      <c r="AZ238" s="634"/>
      <c r="BA238" s="634"/>
      <c r="BB238" s="634"/>
    </row>
    <row r="239" spans="1:54" ht="12.75" customHeight="1">
      <c r="A239" s="626">
        <v>234</v>
      </c>
      <c r="B239" s="627"/>
      <c r="C239" s="628" t="s">
        <v>1076</v>
      </c>
      <c r="D239" s="629"/>
      <c r="E239" s="629"/>
      <c r="F239" s="629"/>
      <c r="G239" s="629"/>
      <c r="H239" s="629"/>
      <c r="I239" s="629"/>
      <c r="J239" s="629"/>
      <c r="K239" s="629"/>
      <c r="L239" s="629"/>
      <c r="M239" s="629"/>
      <c r="N239" s="629"/>
      <c r="O239" s="629"/>
      <c r="P239" s="629"/>
      <c r="Q239" s="629"/>
      <c r="R239" s="629"/>
      <c r="S239" s="629"/>
      <c r="T239" s="629"/>
      <c r="U239" s="630"/>
      <c r="V239" s="631" t="s">
        <v>1145</v>
      </c>
      <c r="W239" s="632"/>
      <c r="X239" s="633"/>
      <c r="Y239" s="634"/>
      <c r="Z239" s="634"/>
      <c r="AA239" s="634"/>
      <c r="AB239" s="634"/>
      <c r="AC239" s="634"/>
      <c r="AD239" s="634"/>
      <c r="AE239" s="634"/>
      <c r="AF239" s="634"/>
      <c r="AG239" s="634"/>
      <c r="AH239" s="634"/>
      <c r="AI239" s="634"/>
      <c r="AJ239" s="634"/>
      <c r="AK239" s="634"/>
      <c r="AL239" s="634"/>
      <c r="AM239" s="634"/>
      <c r="AN239" s="634"/>
      <c r="AO239" s="634"/>
      <c r="AP239" s="634"/>
      <c r="AQ239" s="634"/>
      <c r="AR239" s="634"/>
      <c r="AS239" s="634"/>
      <c r="AT239" s="634"/>
      <c r="AU239" s="634"/>
      <c r="AV239" s="634"/>
      <c r="AW239" s="634"/>
      <c r="AX239" s="634"/>
      <c r="AY239" s="634"/>
      <c r="AZ239" s="634"/>
      <c r="BA239" s="634"/>
      <c r="BB239" s="634"/>
    </row>
    <row r="240" spans="1:54" ht="12.75" customHeight="1">
      <c r="A240" s="626">
        <v>235</v>
      </c>
      <c r="B240" s="627"/>
      <c r="C240" s="628" t="s">
        <v>1077</v>
      </c>
      <c r="D240" s="629"/>
      <c r="E240" s="629"/>
      <c r="F240" s="629"/>
      <c r="G240" s="629"/>
      <c r="H240" s="629"/>
      <c r="I240" s="629"/>
      <c r="J240" s="629"/>
      <c r="K240" s="629"/>
      <c r="L240" s="629"/>
      <c r="M240" s="629"/>
      <c r="N240" s="629"/>
      <c r="O240" s="629"/>
      <c r="P240" s="629"/>
      <c r="Q240" s="629"/>
      <c r="R240" s="629"/>
      <c r="S240" s="629"/>
      <c r="T240" s="629"/>
      <c r="U240" s="630"/>
      <c r="V240" s="631" t="s">
        <v>1145</v>
      </c>
      <c r="W240" s="632"/>
      <c r="X240" s="633"/>
      <c r="Y240" s="634"/>
      <c r="Z240" s="634"/>
      <c r="AA240" s="634"/>
      <c r="AB240" s="634"/>
      <c r="AC240" s="634"/>
      <c r="AD240" s="634"/>
      <c r="AE240" s="634"/>
      <c r="AF240" s="634"/>
      <c r="AG240" s="634"/>
      <c r="AH240" s="634"/>
      <c r="AI240" s="634"/>
      <c r="AJ240" s="634"/>
      <c r="AK240" s="634"/>
      <c r="AL240" s="634"/>
      <c r="AM240" s="634"/>
      <c r="AN240" s="634"/>
      <c r="AO240" s="634"/>
      <c r="AP240" s="634"/>
      <c r="AQ240" s="634"/>
      <c r="AR240" s="634"/>
      <c r="AS240" s="634"/>
      <c r="AT240" s="634"/>
      <c r="AU240" s="634"/>
      <c r="AV240" s="634"/>
      <c r="AW240" s="634"/>
      <c r="AX240" s="634"/>
      <c r="AY240" s="634"/>
      <c r="AZ240" s="634"/>
      <c r="BA240" s="634"/>
      <c r="BB240" s="634"/>
    </row>
    <row r="241" spans="1:54" ht="12.75" customHeight="1">
      <c r="A241" s="626">
        <v>236</v>
      </c>
      <c r="B241" s="627"/>
      <c r="C241" s="628" t="s">
        <v>1078</v>
      </c>
      <c r="D241" s="629"/>
      <c r="E241" s="629"/>
      <c r="F241" s="629"/>
      <c r="G241" s="629"/>
      <c r="H241" s="629"/>
      <c r="I241" s="629"/>
      <c r="J241" s="629"/>
      <c r="K241" s="629"/>
      <c r="L241" s="629"/>
      <c r="M241" s="629"/>
      <c r="N241" s="629"/>
      <c r="O241" s="629"/>
      <c r="P241" s="629"/>
      <c r="Q241" s="629"/>
      <c r="R241" s="629"/>
      <c r="S241" s="629"/>
      <c r="T241" s="629"/>
      <c r="U241" s="630"/>
      <c r="V241" s="631" t="s">
        <v>1145</v>
      </c>
      <c r="W241" s="632"/>
      <c r="X241" s="633"/>
      <c r="Y241" s="634"/>
      <c r="Z241" s="634"/>
      <c r="AA241" s="634"/>
      <c r="AB241" s="634"/>
      <c r="AC241" s="634"/>
      <c r="AD241" s="634"/>
      <c r="AE241" s="634"/>
      <c r="AF241" s="634"/>
      <c r="AG241" s="634"/>
      <c r="AH241" s="634"/>
      <c r="AI241" s="634"/>
      <c r="AJ241" s="634"/>
      <c r="AK241" s="634"/>
      <c r="AL241" s="634"/>
      <c r="AM241" s="634"/>
      <c r="AN241" s="634"/>
      <c r="AO241" s="634"/>
      <c r="AP241" s="634"/>
      <c r="AQ241" s="634"/>
      <c r="AR241" s="634"/>
      <c r="AS241" s="634"/>
      <c r="AT241" s="634"/>
      <c r="AU241" s="634"/>
      <c r="AV241" s="634"/>
      <c r="AW241" s="634"/>
      <c r="AX241" s="634"/>
      <c r="AY241" s="634"/>
      <c r="AZ241" s="634"/>
      <c r="BA241" s="634"/>
      <c r="BB241" s="634"/>
    </row>
    <row r="242" spans="1:54" ht="25.5" customHeight="1">
      <c r="A242" s="626">
        <v>237</v>
      </c>
      <c r="B242" s="627"/>
      <c r="C242" s="628" t="s">
        <v>1079</v>
      </c>
      <c r="D242" s="629"/>
      <c r="E242" s="629"/>
      <c r="F242" s="629"/>
      <c r="G242" s="629"/>
      <c r="H242" s="629"/>
      <c r="I242" s="629"/>
      <c r="J242" s="629"/>
      <c r="K242" s="629"/>
      <c r="L242" s="629"/>
      <c r="M242" s="629"/>
      <c r="N242" s="629"/>
      <c r="O242" s="629"/>
      <c r="P242" s="629"/>
      <c r="Q242" s="629"/>
      <c r="R242" s="629"/>
      <c r="S242" s="629"/>
      <c r="T242" s="629"/>
      <c r="U242" s="630"/>
      <c r="V242" s="631" t="s">
        <v>1145</v>
      </c>
      <c r="W242" s="632"/>
      <c r="X242" s="633"/>
      <c r="Y242" s="634"/>
      <c r="Z242" s="634"/>
      <c r="AA242" s="634"/>
      <c r="AB242" s="634"/>
      <c r="AC242" s="634"/>
      <c r="AD242" s="634"/>
      <c r="AE242" s="634"/>
      <c r="AF242" s="634"/>
      <c r="AG242" s="634"/>
      <c r="AH242" s="634"/>
      <c r="AI242" s="634"/>
      <c r="AJ242" s="634"/>
      <c r="AK242" s="634"/>
      <c r="AL242" s="634"/>
      <c r="AM242" s="634"/>
      <c r="AN242" s="634"/>
      <c r="AO242" s="634"/>
      <c r="AP242" s="634"/>
      <c r="AQ242" s="634"/>
      <c r="AR242" s="634"/>
      <c r="AS242" s="634"/>
      <c r="AT242" s="634"/>
      <c r="AU242" s="634"/>
      <c r="AV242" s="634"/>
      <c r="AW242" s="634"/>
      <c r="AX242" s="634"/>
      <c r="AY242" s="634"/>
      <c r="AZ242" s="634"/>
      <c r="BA242" s="634"/>
      <c r="BB242" s="634"/>
    </row>
    <row r="243" spans="1:54" ht="25.5" customHeight="1">
      <c r="A243" s="626">
        <v>238</v>
      </c>
      <c r="B243" s="627"/>
      <c r="C243" s="628" t="s">
        <v>1080</v>
      </c>
      <c r="D243" s="629"/>
      <c r="E243" s="629"/>
      <c r="F243" s="629"/>
      <c r="G243" s="629"/>
      <c r="H243" s="629"/>
      <c r="I243" s="629"/>
      <c r="J243" s="629"/>
      <c r="K243" s="629"/>
      <c r="L243" s="629"/>
      <c r="M243" s="629"/>
      <c r="N243" s="629"/>
      <c r="O243" s="629"/>
      <c r="P243" s="629"/>
      <c r="Q243" s="629"/>
      <c r="R243" s="629"/>
      <c r="S243" s="629"/>
      <c r="T243" s="629"/>
      <c r="U243" s="630"/>
      <c r="V243" s="631" t="s">
        <v>1145</v>
      </c>
      <c r="W243" s="632"/>
      <c r="X243" s="633"/>
      <c r="Y243" s="634"/>
      <c r="Z243" s="634"/>
      <c r="AA243" s="634"/>
      <c r="AB243" s="634"/>
      <c r="AC243" s="634"/>
      <c r="AD243" s="634"/>
      <c r="AE243" s="634"/>
      <c r="AF243" s="634"/>
      <c r="AG243" s="634"/>
      <c r="AH243" s="634"/>
      <c r="AI243" s="634"/>
      <c r="AJ243" s="634"/>
      <c r="AK243" s="634"/>
      <c r="AL243" s="634"/>
      <c r="AM243" s="634"/>
      <c r="AN243" s="634"/>
      <c r="AO243" s="634"/>
      <c r="AP243" s="634"/>
      <c r="AQ243" s="634"/>
      <c r="AR243" s="634"/>
      <c r="AS243" s="634"/>
      <c r="AT243" s="634"/>
      <c r="AU243" s="634"/>
      <c r="AV243" s="634"/>
      <c r="AW243" s="634"/>
      <c r="AX243" s="634"/>
      <c r="AY243" s="634"/>
      <c r="AZ243" s="634"/>
      <c r="BA243" s="634"/>
      <c r="BB243" s="634"/>
    </row>
    <row r="244" spans="1:54" ht="25.5" customHeight="1">
      <c r="A244" s="626">
        <v>239</v>
      </c>
      <c r="B244" s="627"/>
      <c r="C244" s="668" t="s">
        <v>1146</v>
      </c>
      <c r="D244" s="669"/>
      <c r="E244" s="669"/>
      <c r="F244" s="669"/>
      <c r="G244" s="669"/>
      <c r="H244" s="669"/>
      <c r="I244" s="669"/>
      <c r="J244" s="669"/>
      <c r="K244" s="669"/>
      <c r="L244" s="669"/>
      <c r="M244" s="669"/>
      <c r="N244" s="669"/>
      <c r="O244" s="669"/>
      <c r="P244" s="669"/>
      <c r="Q244" s="669"/>
      <c r="R244" s="669"/>
      <c r="S244" s="669"/>
      <c r="T244" s="669"/>
      <c r="U244" s="670"/>
      <c r="V244" s="631" t="s">
        <v>1147</v>
      </c>
      <c r="W244" s="632"/>
      <c r="X244" s="633"/>
      <c r="Y244" s="646"/>
      <c r="Z244" s="646"/>
      <c r="AA244" s="646"/>
      <c r="AB244" s="647"/>
      <c r="AC244" s="647"/>
      <c r="AD244" s="647"/>
      <c r="AE244" s="646"/>
      <c r="AF244" s="646"/>
      <c r="AG244" s="646"/>
      <c r="AH244" s="647"/>
      <c r="AI244" s="647"/>
      <c r="AJ244" s="647"/>
      <c r="AK244" s="646"/>
      <c r="AL244" s="646"/>
      <c r="AM244" s="646"/>
      <c r="AN244" s="647"/>
      <c r="AO244" s="647"/>
      <c r="AP244" s="647"/>
      <c r="AQ244" s="646"/>
      <c r="AR244" s="646"/>
      <c r="AS244" s="646"/>
      <c r="AT244" s="647"/>
      <c r="AU244" s="647"/>
      <c r="AV244" s="647"/>
      <c r="AW244" s="646"/>
      <c r="AX244" s="646"/>
      <c r="AY244" s="646"/>
      <c r="AZ244" s="647"/>
      <c r="BA244" s="647"/>
      <c r="BB244" s="647"/>
    </row>
    <row r="245" spans="1:54" ht="12.75" customHeight="1">
      <c r="A245" s="626">
        <v>240</v>
      </c>
      <c r="B245" s="627"/>
      <c r="C245" s="628" t="s">
        <v>1071</v>
      </c>
      <c r="D245" s="629"/>
      <c r="E245" s="629"/>
      <c r="F245" s="629"/>
      <c r="G245" s="629"/>
      <c r="H245" s="629"/>
      <c r="I245" s="629"/>
      <c r="J245" s="629"/>
      <c r="K245" s="629"/>
      <c r="L245" s="629"/>
      <c r="M245" s="629"/>
      <c r="N245" s="629"/>
      <c r="O245" s="629"/>
      <c r="P245" s="629"/>
      <c r="Q245" s="629"/>
      <c r="R245" s="629"/>
      <c r="S245" s="629"/>
      <c r="T245" s="629"/>
      <c r="U245" s="630"/>
      <c r="V245" s="631" t="s">
        <v>1147</v>
      </c>
      <c r="W245" s="632"/>
      <c r="X245" s="633"/>
      <c r="Y245" s="634"/>
      <c r="Z245" s="634"/>
      <c r="AA245" s="634"/>
      <c r="AB245" s="634"/>
      <c r="AC245" s="634"/>
      <c r="AD245" s="634"/>
      <c r="AE245" s="634"/>
      <c r="AF245" s="634"/>
      <c r="AG245" s="634"/>
      <c r="AH245" s="634"/>
      <c r="AI245" s="634"/>
      <c r="AJ245" s="634"/>
      <c r="AK245" s="634"/>
      <c r="AL245" s="634"/>
      <c r="AM245" s="634"/>
      <c r="AN245" s="634"/>
      <c r="AO245" s="634"/>
      <c r="AP245" s="634"/>
      <c r="AQ245" s="634"/>
      <c r="AR245" s="634"/>
      <c r="AS245" s="634"/>
      <c r="AT245" s="634"/>
      <c r="AU245" s="634"/>
      <c r="AV245" s="634"/>
      <c r="AW245" s="634"/>
      <c r="AX245" s="634"/>
      <c r="AY245" s="634"/>
      <c r="AZ245" s="634"/>
      <c r="BA245" s="634"/>
      <c r="BB245" s="634"/>
    </row>
    <row r="246" spans="1:54" ht="12.75" customHeight="1">
      <c r="A246" s="626">
        <v>241</v>
      </c>
      <c r="B246" s="627"/>
      <c r="C246" s="628" t="s">
        <v>1072</v>
      </c>
      <c r="D246" s="629"/>
      <c r="E246" s="629"/>
      <c r="F246" s="629"/>
      <c r="G246" s="629"/>
      <c r="H246" s="629"/>
      <c r="I246" s="629"/>
      <c r="J246" s="629"/>
      <c r="K246" s="629"/>
      <c r="L246" s="629"/>
      <c r="M246" s="629"/>
      <c r="N246" s="629"/>
      <c r="O246" s="629"/>
      <c r="P246" s="629"/>
      <c r="Q246" s="629"/>
      <c r="R246" s="629"/>
      <c r="S246" s="629"/>
      <c r="T246" s="629"/>
      <c r="U246" s="630"/>
      <c r="V246" s="631" t="s">
        <v>1147</v>
      </c>
      <c r="W246" s="632"/>
      <c r="X246" s="633"/>
      <c r="Y246" s="634"/>
      <c r="Z246" s="634"/>
      <c r="AA246" s="634"/>
      <c r="AB246" s="634"/>
      <c r="AC246" s="634"/>
      <c r="AD246" s="634"/>
      <c r="AE246" s="634"/>
      <c r="AF246" s="634"/>
      <c r="AG246" s="634"/>
      <c r="AH246" s="634"/>
      <c r="AI246" s="634"/>
      <c r="AJ246" s="634"/>
      <c r="AK246" s="634"/>
      <c r="AL246" s="634"/>
      <c r="AM246" s="634"/>
      <c r="AN246" s="634"/>
      <c r="AO246" s="634"/>
      <c r="AP246" s="634"/>
      <c r="AQ246" s="634"/>
      <c r="AR246" s="634"/>
      <c r="AS246" s="634"/>
      <c r="AT246" s="634"/>
      <c r="AU246" s="634"/>
      <c r="AV246" s="634"/>
      <c r="AW246" s="634"/>
      <c r="AX246" s="634"/>
      <c r="AY246" s="634"/>
      <c r="AZ246" s="634"/>
      <c r="BA246" s="634"/>
      <c r="BB246" s="634"/>
    </row>
    <row r="247" spans="1:54" ht="25.5" customHeight="1">
      <c r="A247" s="626">
        <v>242</v>
      </c>
      <c r="B247" s="627"/>
      <c r="C247" s="628" t="s">
        <v>1073</v>
      </c>
      <c r="D247" s="629"/>
      <c r="E247" s="629"/>
      <c r="F247" s="629"/>
      <c r="G247" s="629"/>
      <c r="H247" s="629"/>
      <c r="I247" s="629"/>
      <c r="J247" s="629"/>
      <c r="K247" s="629"/>
      <c r="L247" s="629"/>
      <c r="M247" s="629"/>
      <c r="N247" s="629"/>
      <c r="O247" s="629"/>
      <c r="P247" s="629"/>
      <c r="Q247" s="629"/>
      <c r="R247" s="629"/>
      <c r="S247" s="629"/>
      <c r="T247" s="629"/>
      <c r="U247" s="630"/>
      <c r="V247" s="631" t="s">
        <v>1147</v>
      </c>
      <c r="W247" s="632"/>
      <c r="X247" s="633"/>
      <c r="Y247" s="634"/>
      <c r="Z247" s="634"/>
      <c r="AA247" s="634"/>
      <c r="AB247" s="634"/>
      <c r="AC247" s="634"/>
      <c r="AD247" s="634"/>
      <c r="AE247" s="634"/>
      <c r="AF247" s="634"/>
      <c r="AG247" s="634"/>
      <c r="AH247" s="634"/>
      <c r="AI247" s="634"/>
      <c r="AJ247" s="634"/>
      <c r="AK247" s="634"/>
      <c r="AL247" s="634"/>
      <c r="AM247" s="634"/>
      <c r="AN247" s="634"/>
      <c r="AO247" s="634"/>
      <c r="AP247" s="634"/>
      <c r="AQ247" s="634"/>
      <c r="AR247" s="634"/>
      <c r="AS247" s="634"/>
      <c r="AT247" s="634"/>
      <c r="AU247" s="634"/>
      <c r="AV247" s="634"/>
      <c r="AW247" s="634"/>
      <c r="AX247" s="634"/>
      <c r="AY247" s="634"/>
      <c r="AZ247" s="634"/>
      <c r="BA247" s="634"/>
      <c r="BB247" s="634"/>
    </row>
    <row r="248" spans="1:54" ht="12.75" customHeight="1">
      <c r="A248" s="626">
        <v>243</v>
      </c>
      <c r="B248" s="627"/>
      <c r="C248" s="628" t="s">
        <v>1074</v>
      </c>
      <c r="D248" s="629"/>
      <c r="E248" s="629"/>
      <c r="F248" s="629"/>
      <c r="G248" s="629"/>
      <c r="H248" s="629"/>
      <c r="I248" s="629"/>
      <c r="J248" s="629"/>
      <c r="K248" s="629"/>
      <c r="L248" s="629"/>
      <c r="M248" s="629"/>
      <c r="N248" s="629"/>
      <c r="O248" s="629"/>
      <c r="P248" s="629"/>
      <c r="Q248" s="629"/>
      <c r="R248" s="629"/>
      <c r="S248" s="629"/>
      <c r="T248" s="629"/>
      <c r="U248" s="630"/>
      <c r="V248" s="631" t="s">
        <v>1147</v>
      </c>
      <c r="W248" s="632"/>
      <c r="X248" s="633"/>
      <c r="Y248" s="634"/>
      <c r="Z248" s="634"/>
      <c r="AA248" s="634"/>
      <c r="AB248" s="634"/>
      <c r="AC248" s="634"/>
      <c r="AD248" s="634"/>
      <c r="AE248" s="634"/>
      <c r="AF248" s="634"/>
      <c r="AG248" s="634"/>
      <c r="AH248" s="634"/>
      <c r="AI248" s="634"/>
      <c r="AJ248" s="634"/>
      <c r="AK248" s="634"/>
      <c r="AL248" s="634"/>
      <c r="AM248" s="634"/>
      <c r="AN248" s="634"/>
      <c r="AO248" s="634"/>
      <c r="AP248" s="634"/>
      <c r="AQ248" s="634"/>
      <c r="AR248" s="634"/>
      <c r="AS248" s="634"/>
      <c r="AT248" s="634"/>
      <c r="AU248" s="634"/>
      <c r="AV248" s="634"/>
      <c r="AW248" s="634"/>
      <c r="AX248" s="634"/>
      <c r="AY248" s="634"/>
      <c r="AZ248" s="634"/>
      <c r="BA248" s="634"/>
      <c r="BB248" s="634"/>
    </row>
    <row r="249" spans="1:54" ht="12.75" customHeight="1">
      <c r="A249" s="626">
        <v>244</v>
      </c>
      <c r="B249" s="627"/>
      <c r="C249" s="628" t="s">
        <v>1075</v>
      </c>
      <c r="D249" s="629"/>
      <c r="E249" s="629"/>
      <c r="F249" s="629"/>
      <c r="G249" s="629"/>
      <c r="H249" s="629"/>
      <c r="I249" s="629"/>
      <c r="J249" s="629"/>
      <c r="K249" s="629"/>
      <c r="L249" s="629"/>
      <c r="M249" s="629"/>
      <c r="N249" s="629"/>
      <c r="O249" s="629"/>
      <c r="P249" s="629"/>
      <c r="Q249" s="629"/>
      <c r="R249" s="629"/>
      <c r="S249" s="629"/>
      <c r="T249" s="629"/>
      <c r="U249" s="630"/>
      <c r="V249" s="631" t="s">
        <v>1147</v>
      </c>
      <c r="W249" s="632"/>
      <c r="X249" s="633"/>
      <c r="Y249" s="634"/>
      <c r="Z249" s="634"/>
      <c r="AA249" s="634"/>
      <c r="AB249" s="634"/>
      <c r="AC249" s="634"/>
      <c r="AD249" s="634"/>
      <c r="AE249" s="634"/>
      <c r="AF249" s="634"/>
      <c r="AG249" s="634"/>
      <c r="AH249" s="634"/>
      <c r="AI249" s="634"/>
      <c r="AJ249" s="634"/>
      <c r="AK249" s="634"/>
      <c r="AL249" s="634"/>
      <c r="AM249" s="634"/>
      <c r="AN249" s="634"/>
      <c r="AO249" s="634"/>
      <c r="AP249" s="634"/>
      <c r="AQ249" s="634"/>
      <c r="AR249" s="634"/>
      <c r="AS249" s="634"/>
      <c r="AT249" s="634"/>
      <c r="AU249" s="634"/>
      <c r="AV249" s="634"/>
      <c r="AW249" s="634"/>
      <c r="AX249" s="634"/>
      <c r="AY249" s="634"/>
      <c r="AZ249" s="634"/>
      <c r="BA249" s="634"/>
      <c r="BB249" s="634"/>
    </row>
    <row r="250" spans="1:54" ht="12.75" customHeight="1">
      <c r="A250" s="626">
        <v>245</v>
      </c>
      <c r="B250" s="627"/>
      <c r="C250" s="628" t="s">
        <v>1076</v>
      </c>
      <c r="D250" s="629"/>
      <c r="E250" s="629"/>
      <c r="F250" s="629"/>
      <c r="G250" s="629"/>
      <c r="H250" s="629"/>
      <c r="I250" s="629"/>
      <c r="J250" s="629"/>
      <c r="K250" s="629"/>
      <c r="L250" s="629"/>
      <c r="M250" s="629"/>
      <c r="N250" s="629"/>
      <c r="O250" s="629"/>
      <c r="P250" s="629"/>
      <c r="Q250" s="629"/>
      <c r="R250" s="629"/>
      <c r="S250" s="629"/>
      <c r="T250" s="629"/>
      <c r="U250" s="630"/>
      <c r="V250" s="631" t="s">
        <v>1147</v>
      </c>
      <c r="W250" s="632"/>
      <c r="X250" s="633"/>
      <c r="Y250" s="634"/>
      <c r="Z250" s="634"/>
      <c r="AA250" s="634"/>
      <c r="AB250" s="634"/>
      <c r="AC250" s="634"/>
      <c r="AD250" s="634"/>
      <c r="AE250" s="634"/>
      <c r="AF250" s="634"/>
      <c r="AG250" s="634"/>
      <c r="AH250" s="634"/>
      <c r="AI250" s="634"/>
      <c r="AJ250" s="634"/>
      <c r="AK250" s="634"/>
      <c r="AL250" s="634"/>
      <c r="AM250" s="634"/>
      <c r="AN250" s="634"/>
      <c r="AO250" s="634"/>
      <c r="AP250" s="634"/>
      <c r="AQ250" s="634"/>
      <c r="AR250" s="634"/>
      <c r="AS250" s="634"/>
      <c r="AT250" s="634"/>
      <c r="AU250" s="634"/>
      <c r="AV250" s="634"/>
      <c r="AW250" s="634"/>
      <c r="AX250" s="634"/>
      <c r="AY250" s="634"/>
      <c r="AZ250" s="634"/>
      <c r="BA250" s="634"/>
      <c r="BB250" s="634"/>
    </row>
    <row r="251" spans="1:54" ht="12.75" customHeight="1">
      <c r="A251" s="626">
        <v>246</v>
      </c>
      <c r="B251" s="627"/>
      <c r="C251" s="628" t="s">
        <v>1077</v>
      </c>
      <c r="D251" s="629"/>
      <c r="E251" s="629"/>
      <c r="F251" s="629"/>
      <c r="G251" s="629"/>
      <c r="H251" s="629"/>
      <c r="I251" s="629"/>
      <c r="J251" s="629"/>
      <c r="K251" s="629"/>
      <c r="L251" s="629"/>
      <c r="M251" s="629"/>
      <c r="N251" s="629"/>
      <c r="O251" s="629"/>
      <c r="P251" s="629"/>
      <c r="Q251" s="629"/>
      <c r="R251" s="629"/>
      <c r="S251" s="629"/>
      <c r="T251" s="629"/>
      <c r="U251" s="630"/>
      <c r="V251" s="631" t="s">
        <v>1147</v>
      </c>
      <c r="W251" s="632"/>
      <c r="X251" s="633"/>
      <c r="Y251" s="634"/>
      <c r="Z251" s="634"/>
      <c r="AA251" s="634"/>
      <c r="AB251" s="634"/>
      <c r="AC251" s="634"/>
      <c r="AD251" s="634"/>
      <c r="AE251" s="634"/>
      <c r="AF251" s="634"/>
      <c r="AG251" s="634"/>
      <c r="AH251" s="634"/>
      <c r="AI251" s="634"/>
      <c r="AJ251" s="634"/>
      <c r="AK251" s="634"/>
      <c r="AL251" s="634"/>
      <c r="AM251" s="634"/>
      <c r="AN251" s="634"/>
      <c r="AO251" s="634"/>
      <c r="AP251" s="634"/>
      <c r="AQ251" s="634"/>
      <c r="AR251" s="634"/>
      <c r="AS251" s="634"/>
      <c r="AT251" s="634"/>
      <c r="AU251" s="634"/>
      <c r="AV251" s="634"/>
      <c r="AW251" s="634"/>
      <c r="AX251" s="634"/>
      <c r="AY251" s="634"/>
      <c r="AZ251" s="634"/>
      <c r="BA251" s="634"/>
      <c r="BB251" s="634"/>
    </row>
    <row r="252" spans="1:54" ht="12.75" customHeight="1">
      <c r="A252" s="626">
        <v>247</v>
      </c>
      <c r="B252" s="627"/>
      <c r="C252" s="628" t="s">
        <v>1078</v>
      </c>
      <c r="D252" s="629"/>
      <c r="E252" s="629"/>
      <c r="F252" s="629"/>
      <c r="G252" s="629"/>
      <c r="H252" s="629"/>
      <c r="I252" s="629"/>
      <c r="J252" s="629"/>
      <c r="K252" s="629"/>
      <c r="L252" s="629"/>
      <c r="M252" s="629"/>
      <c r="N252" s="629"/>
      <c r="O252" s="629"/>
      <c r="P252" s="629"/>
      <c r="Q252" s="629"/>
      <c r="R252" s="629"/>
      <c r="S252" s="629"/>
      <c r="T252" s="629"/>
      <c r="U252" s="630"/>
      <c r="V252" s="631" t="s">
        <v>1147</v>
      </c>
      <c r="W252" s="632"/>
      <c r="X252" s="633"/>
      <c r="Y252" s="634"/>
      <c r="Z252" s="634"/>
      <c r="AA252" s="634"/>
      <c r="AB252" s="634"/>
      <c r="AC252" s="634"/>
      <c r="AD252" s="634"/>
      <c r="AE252" s="634"/>
      <c r="AF252" s="634"/>
      <c r="AG252" s="634"/>
      <c r="AH252" s="634"/>
      <c r="AI252" s="634"/>
      <c r="AJ252" s="634"/>
      <c r="AK252" s="634"/>
      <c r="AL252" s="634"/>
      <c r="AM252" s="634"/>
      <c r="AN252" s="634"/>
      <c r="AO252" s="634"/>
      <c r="AP252" s="634"/>
      <c r="AQ252" s="634"/>
      <c r="AR252" s="634"/>
      <c r="AS252" s="634"/>
      <c r="AT252" s="634"/>
      <c r="AU252" s="634"/>
      <c r="AV252" s="634"/>
      <c r="AW252" s="634"/>
      <c r="AX252" s="634"/>
      <c r="AY252" s="634"/>
      <c r="AZ252" s="634"/>
      <c r="BA252" s="634"/>
      <c r="BB252" s="634"/>
    </row>
    <row r="253" spans="1:54" ht="25.5" customHeight="1">
      <c r="A253" s="626">
        <v>248</v>
      </c>
      <c r="B253" s="627"/>
      <c r="C253" s="628" t="s">
        <v>1079</v>
      </c>
      <c r="D253" s="629"/>
      <c r="E253" s="629"/>
      <c r="F253" s="629"/>
      <c r="G253" s="629"/>
      <c r="H253" s="629"/>
      <c r="I253" s="629"/>
      <c r="J253" s="629"/>
      <c r="K253" s="629"/>
      <c r="L253" s="629"/>
      <c r="M253" s="629"/>
      <c r="N253" s="629"/>
      <c r="O253" s="629"/>
      <c r="P253" s="629"/>
      <c r="Q253" s="629"/>
      <c r="R253" s="629"/>
      <c r="S253" s="629"/>
      <c r="T253" s="629"/>
      <c r="U253" s="630"/>
      <c r="V253" s="631" t="s">
        <v>1147</v>
      </c>
      <c r="W253" s="632"/>
      <c r="X253" s="633"/>
      <c r="Y253" s="634"/>
      <c r="Z253" s="634"/>
      <c r="AA253" s="634"/>
      <c r="AB253" s="634"/>
      <c r="AC253" s="634"/>
      <c r="AD253" s="634"/>
      <c r="AE253" s="634"/>
      <c r="AF253" s="634"/>
      <c r="AG253" s="634"/>
      <c r="AH253" s="634"/>
      <c r="AI253" s="634"/>
      <c r="AJ253" s="634"/>
      <c r="AK253" s="634"/>
      <c r="AL253" s="634"/>
      <c r="AM253" s="634"/>
      <c r="AN253" s="634"/>
      <c r="AO253" s="634"/>
      <c r="AP253" s="634"/>
      <c r="AQ253" s="634"/>
      <c r="AR253" s="634"/>
      <c r="AS253" s="634"/>
      <c r="AT253" s="634"/>
      <c r="AU253" s="634"/>
      <c r="AV253" s="634"/>
      <c r="AW253" s="634"/>
      <c r="AX253" s="634"/>
      <c r="AY253" s="634"/>
      <c r="AZ253" s="634"/>
      <c r="BA253" s="634"/>
      <c r="BB253" s="634"/>
    </row>
    <row r="254" spans="1:54" ht="25.5" customHeight="1">
      <c r="A254" s="626">
        <v>249</v>
      </c>
      <c r="B254" s="627"/>
      <c r="C254" s="628" t="s">
        <v>1080</v>
      </c>
      <c r="D254" s="629"/>
      <c r="E254" s="629"/>
      <c r="F254" s="629"/>
      <c r="G254" s="629"/>
      <c r="H254" s="629"/>
      <c r="I254" s="629"/>
      <c r="J254" s="629"/>
      <c r="K254" s="629"/>
      <c r="L254" s="629"/>
      <c r="M254" s="629"/>
      <c r="N254" s="629"/>
      <c r="O254" s="629"/>
      <c r="P254" s="629"/>
      <c r="Q254" s="629"/>
      <c r="R254" s="629"/>
      <c r="S254" s="629"/>
      <c r="T254" s="629"/>
      <c r="U254" s="630"/>
      <c r="V254" s="631" t="s">
        <v>1147</v>
      </c>
      <c r="W254" s="632"/>
      <c r="X254" s="633"/>
      <c r="Y254" s="634"/>
      <c r="Z254" s="634"/>
      <c r="AA254" s="634"/>
      <c r="AB254" s="634"/>
      <c r="AC254" s="634"/>
      <c r="AD254" s="634"/>
      <c r="AE254" s="634"/>
      <c r="AF254" s="634"/>
      <c r="AG254" s="634"/>
      <c r="AH254" s="634"/>
      <c r="AI254" s="634"/>
      <c r="AJ254" s="634"/>
      <c r="AK254" s="634"/>
      <c r="AL254" s="634"/>
      <c r="AM254" s="634"/>
      <c r="AN254" s="634"/>
      <c r="AO254" s="634"/>
      <c r="AP254" s="634"/>
      <c r="AQ254" s="634"/>
      <c r="AR254" s="634"/>
      <c r="AS254" s="634"/>
      <c r="AT254" s="634"/>
      <c r="AU254" s="634"/>
      <c r="AV254" s="634"/>
      <c r="AW254" s="634"/>
      <c r="AX254" s="634"/>
      <c r="AY254" s="634"/>
      <c r="AZ254" s="634"/>
      <c r="BA254" s="634"/>
      <c r="BB254" s="634"/>
    </row>
    <row r="255" spans="1:54" ht="25.5" customHeight="1">
      <c r="A255" s="626">
        <v>250</v>
      </c>
      <c r="B255" s="627"/>
      <c r="C255" s="668" t="s">
        <v>1148</v>
      </c>
      <c r="D255" s="669"/>
      <c r="E255" s="669"/>
      <c r="F255" s="669"/>
      <c r="G255" s="669"/>
      <c r="H255" s="669"/>
      <c r="I255" s="669"/>
      <c r="J255" s="669"/>
      <c r="K255" s="669"/>
      <c r="L255" s="669"/>
      <c r="M255" s="669"/>
      <c r="N255" s="669"/>
      <c r="O255" s="669"/>
      <c r="P255" s="669"/>
      <c r="Q255" s="669"/>
      <c r="R255" s="669"/>
      <c r="S255" s="669"/>
      <c r="T255" s="669"/>
      <c r="U255" s="670"/>
      <c r="V255" s="631" t="s">
        <v>1149</v>
      </c>
      <c r="W255" s="632"/>
      <c r="X255" s="633"/>
      <c r="Y255" s="634"/>
      <c r="Z255" s="634"/>
      <c r="AA255" s="634"/>
      <c r="AB255" s="634"/>
      <c r="AC255" s="634"/>
      <c r="AD255" s="634"/>
      <c r="AE255" s="634"/>
      <c r="AF255" s="634"/>
      <c r="AG255" s="634"/>
      <c r="AH255" s="634"/>
      <c r="AI255" s="634"/>
      <c r="AJ255" s="634"/>
      <c r="AK255" s="634"/>
      <c r="AL255" s="634"/>
      <c r="AM255" s="634"/>
      <c r="AN255" s="634"/>
      <c r="AO255" s="634"/>
      <c r="AP255" s="634"/>
      <c r="AQ255" s="634"/>
      <c r="AR255" s="634"/>
      <c r="AS255" s="634"/>
      <c r="AT255" s="634"/>
      <c r="AU255" s="634"/>
      <c r="AV255" s="634"/>
      <c r="AW255" s="634"/>
      <c r="AX255" s="634"/>
      <c r="AY255" s="634"/>
      <c r="AZ255" s="634"/>
      <c r="BA255" s="634"/>
      <c r="BB255" s="634"/>
    </row>
    <row r="256" spans="1:54" ht="25.5" customHeight="1">
      <c r="A256" s="626">
        <v>251</v>
      </c>
      <c r="B256" s="627"/>
      <c r="C256" s="628" t="s">
        <v>1087</v>
      </c>
      <c r="D256" s="629"/>
      <c r="E256" s="629"/>
      <c r="F256" s="629"/>
      <c r="G256" s="629"/>
      <c r="H256" s="629"/>
      <c r="I256" s="629"/>
      <c r="J256" s="629"/>
      <c r="K256" s="629"/>
      <c r="L256" s="629"/>
      <c r="M256" s="629"/>
      <c r="N256" s="629"/>
      <c r="O256" s="629"/>
      <c r="P256" s="629"/>
      <c r="Q256" s="629"/>
      <c r="R256" s="629"/>
      <c r="S256" s="629"/>
      <c r="T256" s="629"/>
      <c r="U256" s="630"/>
      <c r="V256" s="631" t="s">
        <v>1149</v>
      </c>
      <c r="W256" s="632"/>
      <c r="X256" s="633"/>
      <c r="Y256" s="634"/>
      <c r="Z256" s="634"/>
      <c r="AA256" s="634"/>
      <c r="AB256" s="634"/>
      <c r="AC256" s="634"/>
      <c r="AD256" s="634"/>
      <c r="AE256" s="634"/>
      <c r="AF256" s="634"/>
      <c r="AG256" s="634"/>
      <c r="AH256" s="634"/>
      <c r="AI256" s="634"/>
      <c r="AJ256" s="634"/>
      <c r="AK256" s="634"/>
      <c r="AL256" s="634"/>
      <c r="AM256" s="634"/>
      <c r="AN256" s="634"/>
      <c r="AO256" s="634"/>
      <c r="AP256" s="634"/>
      <c r="AQ256" s="634"/>
      <c r="AR256" s="634"/>
      <c r="AS256" s="634"/>
      <c r="AT256" s="634"/>
      <c r="AU256" s="634"/>
      <c r="AV256" s="634"/>
      <c r="AW256" s="634"/>
      <c r="AX256" s="634"/>
      <c r="AY256" s="634"/>
      <c r="AZ256" s="634"/>
      <c r="BA256" s="634"/>
      <c r="BB256" s="634"/>
    </row>
    <row r="257" spans="1:54" ht="25.5" customHeight="1">
      <c r="A257" s="626">
        <v>252</v>
      </c>
      <c r="B257" s="627"/>
      <c r="C257" s="668" t="s">
        <v>1150</v>
      </c>
      <c r="D257" s="669"/>
      <c r="E257" s="669"/>
      <c r="F257" s="669"/>
      <c r="G257" s="669"/>
      <c r="H257" s="669"/>
      <c r="I257" s="669"/>
      <c r="J257" s="669"/>
      <c r="K257" s="669"/>
      <c r="L257" s="669"/>
      <c r="M257" s="669"/>
      <c r="N257" s="669"/>
      <c r="O257" s="669"/>
      <c r="P257" s="669"/>
      <c r="Q257" s="669"/>
      <c r="R257" s="669"/>
      <c r="S257" s="669"/>
      <c r="T257" s="669"/>
      <c r="U257" s="670"/>
      <c r="V257" s="631" t="s">
        <v>1151</v>
      </c>
      <c r="W257" s="632"/>
      <c r="X257" s="633"/>
      <c r="Y257" s="646"/>
      <c r="Z257" s="646"/>
      <c r="AA257" s="646"/>
      <c r="AB257" s="647"/>
      <c r="AC257" s="647"/>
      <c r="AD257" s="647"/>
      <c r="AE257" s="646"/>
      <c r="AF257" s="646"/>
      <c r="AG257" s="646"/>
      <c r="AH257" s="647"/>
      <c r="AI257" s="647"/>
      <c r="AJ257" s="647"/>
      <c r="AK257" s="646"/>
      <c r="AL257" s="646"/>
      <c r="AM257" s="646"/>
      <c r="AN257" s="647"/>
      <c r="AO257" s="647"/>
      <c r="AP257" s="647"/>
      <c r="AQ257" s="646"/>
      <c r="AR257" s="646"/>
      <c r="AS257" s="646"/>
      <c r="AT257" s="647"/>
      <c r="AU257" s="647"/>
      <c r="AV257" s="647"/>
      <c r="AW257" s="646"/>
      <c r="AX257" s="646"/>
      <c r="AY257" s="646"/>
      <c r="AZ257" s="647"/>
      <c r="BA257" s="647"/>
      <c r="BB257" s="647"/>
    </row>
    <row r="258" spans="1:54" ht="12.75" customHeight="1">
      <c r="A258" s="626">
        <v>253</v>
      </c>
      <c r="B258" s="627"/>
      <c r="C258" s="628" t="s">
        <v>1090</v>
      </c>
      <c r="D258" s="629"/>
      <c r="E258" s="629"/>
      <c r="F258" s="629"/>
      <c r="G258" s="629"/>
      <c r="H258" s="629"/>
      <c r="I258" s="629"/>
      <c r="J258" s="629"/>
      <c r="K258" s="629"/>
      <c r="L258" s="629"/>
      <c r="M258" s="629"/>
      <c r="N258" s="629"/>
      <c r="O258" s="629"/>
      <c r="P258" s="629"/>
      <c r="Q258" s="629"/>
      <c r="R258" s="629"/>
      <c r="S258" s="629"/>
      <c r="T258" s="629"/>
      <c r="U258" s="630"/>
      <c r="V258" s="628" t="s">
        <v>1151</v>
      </c>
      <c r="W258" s="629"/>
      <c r="X258" s="630"/>
      <c r="Y258" s="625"/>
      <c r="Z258" s="625"/>
      <c r="AA258" s="625"/>
      <c r="AB258" s="625"/>
      <c r="AC258" s="625"/>
      <c r="AD258" s="625"/>
      <c r="AE258" s="625"/>
      <c r="AF258" s="625"/>
      <c r="AG258" s="625"/>
      <c r="AH258" s="625"/>
      <c r="AI258" s="625"/>
      <c r="AJ258" s="625"/>
      <c r="AK258" s="625"/>
      <c r="AL258" s="625"/>
      <c r="AM258" s="625"/>
      <c r="AN258" s="625"/>
      <c r="AO258" s="625"/>
      <c r="AP258" s="625"/>
      <c r="AQ258" s="625"/>
      <c r="AR258" s="625"/>
      <c r="AS258" s="625"/>
      <c r="AT258" s="625"/>
      <c r="AU258" s="625"/>
      <c r="AV258" s="625"/>
      <c r="AW258" s="625"/>
      <c r="AX258" s="625"/>
      <c r="AY258" s="625"/>
      <c r="AZ258" s="625"/>
      <c r="BA258" s="625"/>
      <c r="BB258" s="625"/>
    </row>
    <row r="259" spans="1:54" ht="12.75" customHeight="1">
      <c r="A259" s="626">
        <v>254</v>
      </c>
      <c r="B259" s="627"/>
      <c r="C259" s="628" t="s">
        <v>1091</v>
      </c>
      <c r="D259" s="629"/>
      <c r="E259" s="629"/>
      <c r="F259" s="629"/>
      <c r="G259" s="629"/>
      <c r="H259" s="629"/>
      <c r="I259" s="629"/>
      <c r="J259" s="629"/>
      <c r="K259" s="629"/>
      <c r="L259" s="629"/>
      <c r="M259" s="629"/>
      <c r="N259" s="629"/>
      <c r="O259" s="629"/>
      <c r="P259" s="629"/>
      <c r="Q259" s="629"/>
      <c r="R259" s="629"/>
      <c r="S259" s="629"/>
      <c r="T259" s="629"/>
      <c r="U259" s="630"/>
      <c r="V259" s="628" t="s">
        <v>1151</v>
      </c>
      <c r="W259" s="629"/>
      <c r="X259" s="630"/>
      <c r="Y259" s="625"/>
      <c r="Z259" s="625"/>
      <c r="AA259" s="625"/>
      <c r="AB259" s="625"/>
      <c r="AC259" s="625"/>
      <c r="AD259" s="625"/>
      <c r="AE259" s="625"/>
      <c r="AF259" s="625"/>
      <c r="AG259" s="625"/>
      <c r="AH259" s="625"/>
      <c r="AI259" s="625"/>
      <c r="AJ259" s="625"/>
      <c r="AK259" s="625"/>
      <c r="AL259" s="625"/>
      <c r="AM259" s="625"/>
      <c r="AN259" s="625"/>
      <c r="AO259" s="625"/>
      <c r="AP259" s="625"/>
      <c r="AQ259" s="625"/>
      <c r="AR259" s="625"/>
      <c r="AS259" s="625"/>
      <c r="AT259" s="625"/>
      <c r="AU259" s="625"/>
      <c r="AV259" s="625"/>
      <c r="AW259" s="625"/>
      <c r="AX259" s="625"/>
      <c r="AY259" s="625"/>
      <c r="AZ259" s="625"/>
      <c r="BA259" s="625"/>
      <c r="BB259" s="625"/>
    </row>
    <row r="260" spans="1:54" ht="12.75" customHeight="1">
      <c r="A260" s="626">
        <v>255</v>
      </c>
      <c r="B260" s="627"/>
      <c r="C260" s="628" t="s">
        <v>1092</v>
      </c>
      <c r="D260" s="629"/>
      <c r="E260" s="629"/>
      <c r="F260" s="629"/>
      <c r="G260" s="629"/>
      <c r="H260" s="629"/>
      <c r="I260" s="629"/>
      <c r="J260" s="629"/>
      <c r="K260" s="629"/>
      <c r="L260" s="629"/>
      <c r="M260" s="629"/>
      <c r="N260" s="629"/>
      <c r="O260" s="629"/>
      <c r="P260" s="629"/>
      <c r="Q260" s="629"/>
      <c r="R260" s="629"/>
      <c r="S260" s="629"/>
      <c r="T260" s="629"/>
      <c r="U260" s="630"/>
      <c r="V260" s="631" t="s">
        <v>1151</v>
      </c>
      <c r="W260" s="632"/>
      <c r="X260" s="633"/>
      <c r="Y260" s="625"/>
      <c r="Z260" s="625"/>
      <c r="AA260" s="625"/>
      <c r="AB260" s="625"/>
      <c r="AC260" s="625"/>
      <c r="AD260" s="625"/>
      <c r="AE260" s="625"/>
      <c r="AF260" s="625"/>
      <c r="AG260" s="625"/>
      <c r="AH260" s="625"/>
      <c r="AI260" s="625"/>
      <c r="AJ260" s="625"/>
      <c r="AK260" s="625"/>
      <c r="AL260" s="625"/>
      <c r="AM260" s="625"/>
      <c r="AN260" s="625"/>
      <c r="AO260" s="625"/>
      <c r="AP260" s="625"/>
      <c r="AQ260" s="625"/>
      <c r="AR260" s="625"/>
      <c r="AS260" s="625"/>
      <c r="AT260" s="625"/>
      <c r="AU260" s="625"/>
      <c r="AV260" s="625"/>
      <c r="AW260" s="625"/>
      <c r="AX260" s="625"/>
      <c r="AY260" s="625"/>
      <c r="AZ260" s="625"/>
      <c r="BA260" s="625"/>
      <c r="BB260" s="625"/>
    </row>
    <row r="261" spans="1:54" ht="12.75" customHeight="1">
      <c r="A261" s="626">
        <v>256</v>
      </c>
      <c r="B261" s="627"/>
      <c r="C261" s="628" t="s">
        <v>1093</v>
      </c>
      <c r="D261" s="629"/>
      <c r="E261" s="629"/>
      <c r="F261" s="629"/>
      <c r="G261" s="629"/>
      <c r="H261" s="629"/>
      <c r="I261" s="629"/>
      <c r="J261" s="629"/>
      <c r="K261" s="629"/>
      <c r="L261" s="629"/>
      <c r="M261" s="629"/>
      <c r="N261" s="629"/>
      <c r="O261" s="629"/>
      <c r="P261" s="629"/>
      <c r="Q261" s="629"/>
      <c r="R261" s="629"/>
      <c r="S261" s="629"/>
      <c r="T261" s="629"/>
      <c r="U261" s="630"/>
      <c r="V261" s="628" t="s">
        <v>1151</v>
      </c>
      <c r="W261" s="629"/>
      <c r="X261" s="630"/>
      <c r="Y261" s="625"/>
      <c r="Z261" s="625"/>
      <c r="AA261" s="625"/>
      <c r="AB261" s="625"/>
      <c r="AC261" s="625"/>
      <c r="AD261" s="625"/>
      <c r="AE261" s="625"/>
      <c r="AF261" s="625"/>
      <c r="AG261" s="625"/>
      <c r="AH261" s="625"/>
      <c r="AI261" s="625"/>
      <c r="AJ261" s="625"/>
      <c r="AK261" s="625"/>
      <c r="AL261" s="625"/>
      <c r="AM261" s="625"/>
      <c r="AN261" s="625"/>
      <c r="AO261" s="625"/>
      <c r="AP261" s="625"/>
      <c r="AQ261" s="625"/>
      <c r="AR261" s="625"/>
      <c r="AS261" s="625"/>
      <c r="AT261" s="625"/>
      <c r="AU261" s="625"/>
      <c r="AV261" s="625"/>
      <c r="AW261" s="625"/>
      <c r="AX261" s="625"/>
      <c r="AY261" s="625"/>
      <c r="AZ261" s="625"/>
      <c r="BA261" s="625"/>
      <c r="BB261" s="625"/>
    </row>
    <row r="262" spans="1:54" ht="12.75" customHeight="1">
      <c r="A262" s="626">
        <v>257</v>
      </c>
      <c r="B262" s="627"/>
      <c r="C262" s="628" t="s">
        <v>1094</v>
      </c>
      <c r="D262" s="629"/>
      <c r="E262" s="629"/>
      <c r="F262" s="629"/>
      <c r="G262" s="629"/>
      <c r="H262" s="629"/>
      <c r="I262" s="629"/>
      <c r="J262" s="629"/>
      <c r="K262" s="629"/>
      <c r="L262" s="629"/>
      <c r="M262" s="629"/>
      <c r="N262" s="629"/>
      <c r="O262" s="629"/>
      <c r="P262" s="629"/>
      <c r="Q262" s="629"/>
      <c r="R262" s="629"/>
      <c r="S262" s="629"/>
      <c r="T262" s="629"/>
      <c r="U262" s="630"/>
      <c r="V262" s="631" t="s">
        <v>1151</v>
      </c>
      <c r="W262" s="632"/>
      <c r="X262" s="633"/>
      <c r="Y262" s="625"/>
      <c r="Z262" s="625"/>
      <c r="AA262" s="625"/>
      <c r="AB262" s="625"/>
      <c r="AC262" s="625"/>
      <c r="AD262" s="625"/>
      <c r="AE262" s="625"/>
      <c r="AF262" s="625"/>
      <c r="AG262" s="625"/>
      <c r="AH262" s="625"/>
      <c r="AI262" s="625"/>
      <c r="AJ262" s="625"/>
      <c r="AK262" s="625"/>
      <c r="AL262" s="625"/>
      <c r="AM262" s="625"/>
      <c r="AN262" s="625"/>
      <c r="AO262" s="625"/>
      <c r="AP262" s="625"/>
      <c r="AQ262" s="625"/>
      <c r="AR262" s="625"/>
      <c r="AS262" s="625"/>
      <c r="AT262" s="625"/>
      <c r="AU262" s="625"/>
      <c r="AV262" s="625"/>
      <c r="AW262" s="625"/>
      <c r="AX262" s="625"/>
      <c r="AY262" s="625"/>
      <c r="AZ262" s="625"/>
      <c r="BA262" s="625"/>
      <c r="BB262" s="625"/>
    </row>
    <row r="263" spans="1:54" ht="25.5" customHeight="1">
      <c r="A263" s="626">
        <v>258</v>
      </c>
      <c r="B263" s="627"/>
      <c r="C263" s="628" t="s">
        <v>1095</v>
      </c>
      <c r="D263" s="629"/>
      <c r="E263" s="629"/>
      <c r="F263" s="629"/>
      <c r="G263" s="629"/>
      <c r="H263" s="629"/>
      <c r="I263" s="629"/>
      <c r="J263" s="629"/>
      <c r="K263" s="629"/>
      <c r="L263" s="629"/>
      <c r="M263" s="629"/>
      <c r="N263" s="629"/>
      <c r="O263" s="629"/>
      <c r="P263" s="629"/>
      <c r="Q263" s="629"/>
      <c r="R263" s="629"/>
      <c r="S263" s="629"/>
      <c r="T263" s="629"/>
      <c r="U263" s="630"/>
      <c r="V263" s="628" t="s">
        <v>1151</v>
      </c>
      <c r="W263" s="629"/>
      <c r="X263" s="630"/>
      <c r="Y263" s="625"/>
      <c r="Z263" s="625"/>
      <c r="AA263" s="625"/>
      <c r="AB263" s="625"/>
      <c r="AC263" s="625"/>
      <c r="AD263" s="625"/>
      <c r="AE263" s="625"/>
      <c r="AF263" s="625"/>
      <c r="AG263" s="625"/>
      <c r="AH263" s="625"/>
      <c r="AI263" s="625"/>
      <c r="AJ263" s="625"/>
      <c r="AK263" s="625"/>
      <c r="AL263" s="625"/>
      <c r="AM263" s="625"/>
      <c r="AN263" s="625"/>
      <c r="AO263" s="625"/>
      <c r="AP263" s="625"/>
      <c r="AQ263" s="625"/>
      <c r="AR263" s="625"/>
      <c r="AS263" s="625"/>
      <c r="AT263" s="625"/>
      <c r="AU263" s="625"/>
      <c r="AV263" s="625"/>
      <c r="AW263" s="625"/>
      <c r="AX263" s="625"/>
      <c r="AY263" s="625"/>
      <c r="AZ263" s="625"/>
      <c r="BA263" s="625"/>
      <c r="BB263" s="625"/>
    </row>
    <row r="264" spans="1:54" ht="12.75" customHeight="1">
      <c r="A264" s="626">
        <v>259</v>
      </c>
      <c r="B264" s="627"/>
      <c r="C264" s="628" t="s">
        <v>1096</v>
      </c>
      <c r="D264" s="629"/>
      <c r="E264" s="629"/>
      <c r="F264" s="629"/>
      <c r="G264" s="629"/>
      <c r="H264" s="629"/>
      <c r="I264" s="629"/>
      <c r="J264" s="629"/>
      <c r="K264" s="629"/>
      <c r="L264" s="629"/>
      <c r="M264" s="629"/>
      <c r="N264" s="629"/>
      <c r="O264" s="629"/>
      <c r="P264" s="629"/>
      <c r="Q264" s="629"/>
      <c r="R264" s="629"/>
      <c r="S264" s="629"/>
      <c r="T264" s="629"/>
      <c r="U264" s="630"/>
      <c r="V264" s="631" t="s">
        <v>1151</v>
      </c>
      <c r="W264" s="632"/>
      <c r="X264" s="633"/>
      <c r="Y264" s="625"/>
      <c r="Z264" s="625"/>
      <c r="AA264" s="625"/>
      <c r="AB264" s="625"/>
      <c r="AC264" s="625"/>
      <c r="AD264" s="625"/>
      <c r="AE264" s="625"/>
      <c r="AF264" s="625"/>
      <c r="AG264" s="625"/>
      <c r="AH264" s="625"/>
      <c r="AI264" s="625"/>
      <c r="AJ264" s="625"/>
      <c r="AK264" s="625"/>
      <c r="AL264" s="625"/>
      <c r="AM264" s="625"/>
      <c r="AN264" s="625"/>
      <c r="AO264" s="625"/>
      <c r="AP264" s="625"/>
      <c r="AQ264" s="625"/>
      <c r="AR264" s="625"/>
      <c r="AS264" s="625"/>
      <c r="AT264" s="625"/>
      <c r="AU264" s="625"/>
      <c r="AV264" s="625"/>
      <c r="AW264" s="625"/>
      <c r="AX264" s="625"/>
      <c r="AY264" s="625"/>
      <c r="AZ264" s="625"/>
      <c r="BA264" s="625"/>
      <c r="BB264" s="625"/>
    </row>
    <row r="265" spans="1:54" ht="12.75" customHeight="1">
      <c r="A265" s="626">
        <v>260</v>
      </c>
      <c r="B265" s="627"/>
      <c r="C265" s="628" t="s">
        <v>1097</v>
      </c>
      <c r="D265" s="629"/>
      <c r="E265" s="629"/>
      <c r="F265" s="629"/>
      <c r="G265" s="629"/>
      <c r="H265" s="629"/>
      <c r="I265" s="629"/>
      <c r="J265" s="629"/>
      <c r="K265" s="629"/>
      <c r="L265" s="629"/>
      <c r="M265" s="629"/>
      <c r="N265" s="629"/>
      <c r="O265" s="629"/>
      <c r="P265" s="629"/>
      <c r="Q265" s="629"/>
      <c r="R265" s="629"/>
      <c r="S265" s="629"/>
      <c r="T265" s="629"/>
      <c r="U265" s="630"/>
      <c r="V265" s="628" t="s">
        <v>1151</v>
      </c>
      <c r="W265" s="629"/>
      <c r="X265" s="630"/>
      <c r="Y265" s="625"/>
      <c r="Z265" s="625"/>
      <c r="AA265" s="625"/>
      <c r="AB265" s="625"/>
      <c r="AC265" s="625"/>
      <c r="AD265" s="625"/>
      <c r="AE265" s="625"/>
      <c r="AF265" s="625"/>
      <c r="AG265" s="625"/>
      <c r="AH265" s="625"/>
      <c r="AI265" s="625"/>
      <c r="AJ265" s="625"/>
      <c r="AK265" s="625"/>
      <c r="AL265" s="625"/>
      <c r="AM265" s="625"/>
      <c r="AN265" s="625"/>
      <c r="AO265" s="625"/>
      <c r="AP265" s="625"/>
      <c r="AQ265" s="625"/>
      <c r="AR265" s="625"/>
      <c r="AS265" s="625"/>
      <c r="AT265" s="625"/>
      <c r="AU265" s="625"/>
      <c r="AV265" s="625"/>
      <c r="AW265" s="625"/>
      <c r="AX265" s="625"/>
      <c r="AY265" s="625"/>
      <c r="AZ265" s="625"/>
      <c r="BA265" s="625"/>
      <c r="BB265" s="625"/>
    </row>
    <row r="266" spans="1:54" ht="12.75" customHeight="1">
      <c r="A266" s="626">
        <v>261</v>
      </c>
      <c r="B266" s="627"/>
      <c r="C266" s="628" t="s">
        <v>1098</v>
      </c>
      <c r="D266" s="629"/>
      <c r="E266" s="629"/>
      <c r="F266" s="629"/>
      <c r="G266" s="629"/>
      <c r="H266" s="629"/>
      <c r="I266" s="629"/>
      <c r="J266" s="629"/>
      <c r="K266" s="629"/>
      <c r="L266" s="629"/>
      <c r="M266" s="629"/>
      <c r="N266" s="629"/>
      <c r="O266" s="629"/>
      <c r="P266" s="629"/>
      <c r="Q266" s="629"/>
      <c r="R266" s="629"/>
      <c r="S266" s="629"/>
      <c r="T266" s="629"/>
      <c r="U266" s="630"/>
      <c r="V266" s="631" t="s">
        <v>1151</v>
      </c>
      <c r="W266" s="632"/>
      <c r="X266" s="633"/>
      <c r="Y266" s="625"/>
      <c r="Z266" s="625"/>
      <c r="AA266" s="625"/>
      <c r="AB266" s="625"/>
      <c r="AC266" s="625"/>
      <c r="AD266" s="625"/>
      <c r="AE266" s="625"/>
      <c r="AF266" s="625"/>
      <c r="AG266" s="625"/>
      <c r="AH266" s="625"/>
      <c r="AI266" s="625"/>
      <c r="AJ266" s="625"/>
      <c r="AK266" s="625"/>
      <c r="AL266" s="625"/>
      <c r="AM266" s="625"/>
      <c r="AN266" s="625"/>
      <c r="AO266" s="625"/>
      <c r="AP266" s="625"/>
      <c r="AQ266" s="625"/>
      <c r="AR266" s="625"/>
      <c r="AS266" s="625"/>
      <c r="AT266" s="625"/>
      <c r="AU266" s="625"/>
      <c r="AV266" s="625"/>
      <c r="AW266" s="625"/>
      <c r="AX266" s="625"/>
      <c r="AY266" s="625"/>
      <c r="AZ266" s="625"/>
      <c r="BA266" s="625"/>
      <c r="BB266" s="625"/>
    </row>
    <row r="267" spans="1:54" ht="12.75" customHeight="1">
      <c r="A267" s="626">
        <v>262</v>
      </c>
      <c r="B267" s="627"/>
      <c r="C267" s="628" t="s">
        <v>1099</v>
      </c>
      <c r="D267" s="629"/>
      <c r="E267" s="629"/>
      <c r="F267" s="629"/>
      <c r="G267" s="629"/>
      <c r="H267" s="629"/>
      <c r="I267" s="629"/>
      <c r="J267" s="629"/>
      <c r="K267" s="629"/>
      <c r="L267" s="629"/>
      <c r="M267" s="629"/>
      <c r="N267" s="629"/>
      <c r="O267" s="629"/>
      <c r="P267" s="629"/>
      <c r="Q267" s="629"/>
      <c r="R267" s="629"/>
      <c r="S267" s="629"/>
      <c r="T267" s="629"/>
      <c r="U267" s="630"/>
      <c r="V267" s="628" t="s">
        <v>1151</v>
      </c>
      <c r="W267" s="629"/>
      <c r="X267" s="630"/>
      <c r="Y267" s="625"/>
      <c r="Z267" s="625"/>
      <c r="AA267" s="625"/>
      <c r="AB267" s="625"/>
      <c r="AC267" s="625"/>
      <c r="AD267" s="625"/>
      <c r="AE267" s="625"/>
      <c r="AF267" s="625"/>
      <c r="AG267" s="625"/>
      <c r="AH267" s="625"/>
      <c r="AI267" s="625"/>
      <c r="AJ267" s="625"/>
      <c r="AK267" s="625"/>
      <c r="AL267" s="625"/>
      <c r="AM267" s="625"/>
      <c r="AN267" s="625"/>
      <c r="AO267" s="625"/>
      <c r="AP267" s="625"/>
      <c r="AQ267" s="625"/>
      <c r="AR267" s="625"/>
      <c r="AS267" s="625"/>
      <c r="AT267" s="625"/>
      <c r="AU267" s="625"/>
      <c r="AV267" s="625"/>
      <c r="AW267" s="625"/>
      <c r="AX267" s="625"/>
      <c r="AY267" s="625"/>
      <c r="AZ267" s="625"/>
      <c r="BA267" s="625"/>
      <c r="BB267" s="625"/>
    </row>
    <row r="268" spans="1:54" ht="12.75" customHeight="1">
      <c r="A268" s="626">
        <v>263</v>
      </c>
      <c r="B268" s="627"/>
      <c r="C268" s="628" t="s">
        <v>1100</v>
      </c>
      <c r="D268" s="629"/>
      <c r="E268" s="629"/>
      <c r="F268" s="629"/>
      <c r="G268" s="629"/>
      <c r="H268" s="629"/>
      <c r="I268" s="629"/>
      <c r="J268" s="629"/>
      <c r="K268" s="629"/>
      <c r="L268" s="629"/>
      <c r="M268" s="629"/>
      <c r="N268" s="629"/>
      <c r="O268" s="629"/>
      <c r="P268" s="629"/>
      <c r="Q268" s="629"/>
      <c r="R268" s="629"/>
      <c r="S268" s="629"/>
      <c r="T268" s="629"/>
      <c r="U268" s="630"/>
      <c r="V268" s="631" t="s">
        <v>1151</v>
      </c>
      <c r="W268" s="632"/>
      <c r="X268" s="633"/>
      <c r="Y268" s="625"/>
      <c r="Z268" s="625"/>
      <c r="AA268" s="625"/>
      <c r="AB268" s="625"/>
      <c r="AC268" s="625"/>
      <c r="AD268" s="625"/>
      <c r="AE268" s="625"/>
      <c r="AF268" s="625"/>
      <c r="AG268" s="625"/>
      <c r="AH268" s="625"/>
      <c r="AI268" s="625"/>
      <c r="AJ268" s="625"/>
      <c r="AK268" s="625"/>
      <c r="AL268" s="625"/>
      <c r="AM268" s="625"/>
      <c r="AN268" s="625"/>
      <c r="AO268" s="625"/>
      <c r="AP268" s="625"/>
      <c r="AQ268" s="625"/>
      <c r="AR268" s="625"/>
      <c r="AS268" s="625"/>
      <c r="AT268" s="625"/>
      <c r="AU268" s="625"/>
      <c r="AV268" s="625"/>
      <c r="AW268" s="625"/>
      <c r="AX268" s="625"/>
      <c r="AY268" s="625"/>
      <c r="AZ268" s="625"/>
      <c r="BA268" s="625"/>
      <c r="BB268" s="625"/>
    </row>
    <row r="269" spans="1:54" ht="12.75" customHeight="1">
      <c r="A269" s="626">
        <v>264</v>
      </c>
      <c r="B269" s="627"/>
      <c r="C269" s="668" t="s">
        <v>1152</v>
      </c>
      <c r="D269" s="669"/>
      <c r="E269" s="669"/>
      <c r="F269" s="669"/>
      <c r="G269" s="669"/>
      <c r="H269" s="669"/>
      <c r="I269" s="669"/>
      <c r="J269" s="669"/>
      <c r="K269" s="669"/>
      <c r="L269" s="669"/>
      <c r="M269" s="669"/>
      <c r="N269" s="669"/>
      <c r="O269" s="669"/>
      <c r="P269" s="669"/>
      <c r="Q269" s="669"/>
      <c r="R269" s="669"/>
      <c r="S269" s="669"/>
      <c r="T269" s="669"/>
      <c r="U269" s="670"/>
      <c r="V269" s="631" t="s">
        <v>1153</v>
      </c>
      <c r="W269" s="632"/>
      <c r="X269" s="633"/>
      <c r="Y269" s="634"/>
      <c r="Z269" s="634"/>
      <c r="AA269" s="634"/>
      <c r="AB269" s="634"/>
      <c r="AC269" s="634"/>
      <c r="AD269" s="634"/>
      <c r="AE269" s="634"/>
      <c r="AF269" s="634"/>
      <c r="AG269" s="634"/>
      <c r="AH269" s="634"/>
      <c r="AI269" s="634"/>
      <c r="AJ269" s="634"/>
      <c r="AK269" s="634"/>
      <c r="AL269" s="634"/>
      <c r="AM269" s="634"/>
      <c r="AN269" s="634"/>
      <c r="AO269" s="634"/>
      <c r="AP269" s="634"/>
      <c r="AQ269" s="634"/>
      <c r="AR269" s="634"/>
      <c r="AS269" s="634"/>
      <c r="AT269" s="634"/>
      <c r="AU269" s="634"/>
      <c r="AV269" s="634"/>
      <c r="AW269" s="634"/>
      <c r="AX269" s="634"/>
      <c r="AY269" s="634"/>
      <c r="AZ269" s="634"/>
      <c r="BA269" s="634"/>
      <c r="BB269" s="634"/>
    </row>
    <row r="270" spans="1:54" ht="12.75" customHeight="1">
      <c r="A270" s="626">
        <v>265</v>
      </c>
      <c r="B270" s="627"/>
      <c r="C270" s="668" t="s">
        <v>1154</v>
      </c>
      <c r="D270" s="669"/>
      <c r="E270" s="669"/>
      <c r="F270" s="669"/>
      <c r="G270" s="669"/>
      <c r="H270" s="669"/>
      <c r="I270" s="669"/>
      <c r="J270" s="669"/>
      <c r="K270" s="669"/>
      <c r="L270" s="669"/>
      <c r="M270" s="669"/>
      <c r="N270" s="669"/>
      <c r="O270" s="669"/>
      <c r="P270" s="669"/>
      <c r="Q270" s="669"/>
      <c r="R270" s="669"/>
      <c r="S270" s="669"/>
      <c r="T270" s="669"/>
      <c r="U270" s="670"/>
      <c r="V270" s="631" t="s">
        <v>1155</v>
      </c>
      <c r="W270" s="632"/>
      <c r="X270" s="633"/>
      <c r="Y270" s="634"/>
      <c r="Z270" s="634"/>
      <c r="AA270" s="634"/>
      <c r="AB270" s="634"/>
      <c r="AC270" s="634"/>
      <c r="AD270" s="634"/>
      <c r="AE270" s="634"/>
      <c r="AF270" s="634"/>
      <c r="AG270" s="634"/>
      <c r="AH270" s="634"/>
      <c r="AI270" s="634"/>
      <c r="AJ270" s="634"/>
      <c r="AK270" s="634"/>
      <c r="AL270" s="634"/>
      <c r="AM270" s="634"/>
      <c r="AN270" s="634"/>
      <c r="AO270" s="634"/>
      <c r="AP270" s="634"/>
      <c r="AQ270" s="634"/>
      <c r="AR270" s="634"/>
      <c r="AS270" s="634"/>
      <c r="AT270" s="634"/>
      <c r="AU270" s="634"/>
      <c r="AV270" s="634"/>
      <c r="AW270" s="634"/>
      <c r="AX270" s="634"/>
      <c r="AY270" s="634"/>
      <c r="AZ270" s="634"/>
      <c r="BA270" s="634"/>
      <c r="BB270" s="634"/>
    </row>
    <row r="271" spans="1:54" ht="25.5" customHeight="1">
      <c r="A271" s="626">
        <v>266</v>
      </c>
      <c r="B271" s="627"/>
      <c r="C271" s="628" t="s">
        <v>1156</v>
      </c>
      <c r="D271" s="629"/>
      <c r="E271" s="629"/>
      <c r="F271" s="629"/>
      <c r="G271" s="629"/>
      <c r="H271" s="629"/>
      <c r="I271" s="629"/>
      <c r="J271" s="629"/>
      <c r="K271" s="629"/>
      <c r="L271" s="629"/>
      <c r="M271" s="629"/>
      <c r="N271" s="629"/>
      <c r="O271" s="629"/>
      <c r="P271" s="629"/>
      <c r="Q271" s="629"/>
      <c r="R271" s="629"/>
      <c r="S271" s="629"/>
      <c r="T271" s="629"/>
      <c r="U271" s="630"/>
      <c r="V271" s="631" t="s">
        <v>1157</v>
      </c>
      <c r="W271" s="632"/>
      <c r="X271" s="633"/>
      <c r="Y271" s="646"/>
      <c r="Z271" s="646"/>
      <c r="AA271" s="646"/>
      <c r="AB271" s="647"/>
      <c r="AC271" s="647"/>
      <c r="AD271" s="647"/>
      <c r="AE271" s="646"/>
      <c r="AF271" s="646"/>
      <c r="AG271" s="646"/>
      <c r="AH271" s="647"/>
      <c r="AI271" s="647"/>
      <c r="AJ271" s="647"/>
      <c r="AK271" s="646"/>
      <c r="AL271" s="646"/>
      <c r="AM271" s="646"/>
      <c r="AN271" s="647"/>
      <c r="AO271" s="647"/>
      <c r="AP271" s="647"/>
      <c r="AQ271" s="646"/>
      <c r="AR271" s="646"/>
      <c r="AS271" s="646"/>
      <c r="AT271" s="647"/>
      <c r="AU271" s="647"/>
      <c r="AV271" s="647"/>
      <c r="AW271" s="646"/>
      <c r="AX271" s="646"/>
      <c r="AY271" s="646"/>
      <c r="AZ271" s="647"/>
      <c r="BA271" s="647"/>
      <c r="BB271" s="647"/>
    </row>
    <row r="272" spans="1:54" ht="12.75" customHeight="1">
      <c r="A272" s="626">
        <v>267</v>
      </c>
      <c r="B272" s="627"/>
      <c r="C272" s="628" t="s">
        <v>1090</v>
      </c>
      <c r="D272" s="629"/>
      <c r="E272" s="629"/>
      <c r="F272" s="629"/>
      <c r="G272" s="629"/>
      <c r="H272" s="629"/>
      <c r="I272" s="629"/>
      <c r="J272" s="629"/>
      <c r="K272" s="629"/>
      <c r="L272" s="629"/>
      <c r="M272" s="629"/>
      <c r="N272" s="629"/>
      <c r="O272" s="629"/>
      <c r="P272" s="629"/>
      <c r="Q272" s="629"/>
      <c r="R272" s="629"/>
      <c r="S272" s="629"/>
      <c r="T272" s="629"/>
      <c r="U272" s="630"/>
      <c r="V272" s="631" t="s">
        <v>1157</v>
      </c>
      <c r="W272" s="632"/>
      <c r="X272" s="633"/>
      <c r="Y272" s="625"/>
      <c r="Z272" s="625"/>
      <c r="AA272" s="625"/>
      <c r="AB272" s="625"/>
      <c r="AC272" s="625"/>
      <c r="AD272" s="625"/>
      <c r="AE272" s="625"/>
      <c r="AF272" s="625"/>
      <c r="AG272" s="625"/>
      <c r="AH272" s="625"/>
      <c r="AI272" s="625"/>
      <c r="AJ272" s="625"/>
      <c r="AK272" s="625"/>
      <c r="AL272" s="625"/>
      <c r="AM272" s="625"/>
      <c r="AN272" s="625"/>
      <c r="AO272" s="625"/>
      <c r="AP272" s="625"/>
      <c r="AQ272" s="625"/>
      <c r="AR272" s="625"/>
      <c r="AS272" s="625"/>
      <c r="AT272" s="625"/>
      <c r="AU272" s="625"/>
      <c r="AV272" s="625"/>
      <c r="AW272" s="625"/>
      <c r="AX272" s="625"/>
      <c r="AY272" s="625"/>
      <c r="AZ272" s="625"/>
      <c r="BA272" s="625"/>
      <c r="BB272" s="625"/>
    </row>
    <row r="273" spans="1:54" ht="12.75" customHeight="1">
      <c r="A273" s="626">
        <v>268</v>
      </c>
      <c r="B273" s="627"/>
      <c r="C273" s="628" t="s">
        <v>1091</v>
      </c>
      <c r="D273" s="629"/>
      <c r="E273" s="629"/>
      <c r="F273" s="629"/>
      <c r="G273" s="629"/>
      <c r="H273" s="629"/>
      <c r="I273" s="629"/>
      <c r="J273" s="629"/>
      <c r="K273" s="629"/>
      <c r="L273" s="629"/>
      <c r="M273" s="629"/>
      <c r="N273" s="629"/>
      <c r="O273" s="629"/>
      <c r="P273" s="629"/>
      <c r="Q273" s="629"/>
      <c r="R273" s="629"/>
      <c r="S273" s="629"/>
      <c r="T273" s="629"/>
      <c r="U273" s="630"/>
      <c r="V273" s="631" t="s">
        <v>1157</v>
      </c>
      <c r="W273" s="632"/>
      <c r="X273" s="633"/>
      <c r="Y273" s="625"/>
      <c r="Z273" s="625"/>
      <c r="AA273" s="625"/>
      <c r="AB273" s="625"/>
      <c r="AC273" s="625"/>
      <c r="AD273" s="625"/>
      <c r="AE273" s="625"/>
      <c r="AF273" s="625"/>
      <c r="AG273" s="625"/>
      <c r="AH273" s="625"/>
      <c r="AI273" s="625"/>
      <c r="AJ273" s="625"/>
      <c r="AK273" s="625"/>
      <c r="AL273" s="625"/>
      <c r="AM273" s="625"/>
      <c r="AN273" s="625"/>
      <c r="AO273" s="625"/>
      <c r="AP273" s="625"/>
      <c r="AQ273" s="625"/>
      <c r="AR273" s="625"/>
      <c r="AS273" s="625"/>
      <c r="AT273" s="625"/>
      <c r="AU273" s="625"/>
      <c r="AV273" s="625"/>
      <c r="AW273" s="625"/>
      <c r="AX273" s="625"/>
      <c r="AY273" s="625"/>
      <c r="AZ273" s="625"/>
      <c r="BA273" s="625"/>
      <c r="BB273" s="625"/>
    </row>
    <row r="274" spans="1:54" ht="12.75" customHeight="1">
      <c r="A274" s="626">
        <v>269</v>
      </c>
      <c r="B274" s="627"/>
      <c r="C274" s="628" t="s">
        <v>1092</v>
      </c>
      <c r="D274" s="629"/>
      <c r="E274" s="629"/>
      <c r="F274" s="629"/>
      <c r="G274" s="629"/>
      <c r="H274" s="629"/>
      <c r="I274" s="629"/>
      <c r="J274" s="629"/>
      <c r="K274" s="629"/>
      <c r="L274" s="629"/>
      <c r="M274" s="629"/>
      <c r="N274" s="629"/>
      <c r="O274" s="629"/>
      <c r="P274" s="629"/>
      <c r="Q274" s="629"/>
      <c r="R274" s="629"/>
      <c r="S274" s="629"/>
      <c r="T274" s="629"/>
      <c r="U274" s="630"/>
      <c r="V274" s="631" t="s">
        <v>1157</v>
      </c>
      <c r="W274" s="632"/>
      <c r="X274" s="633"/>
      <c r="Y274" s="625"/>
      <c r="Z274" s="625"/>
      <c r="AA274" s="625"/>
      <c r="AB274" s="625"/>
      <c r="AC274" s="625"/>
      <c r="AD274" s="625"/>
      <c r="AE274" s="625"/>
      <c r="AF274" s="625"/>
      <c r="AG274" s="625"/>
      <c r="AH274" s="625"/>
      <c r="AI274" s="625"/>
      <c r="AJ274" s="625"/>
      <c r="AK274" s="625"/>
      <c r="AL274" s="625"/>
      <c r="AM274" s="625"/>
      <c r="AN274" s="625"/>
      <c r="AO274" s="625"/>
      <c r="AP274" s="625"/>
      <c r="AQ274" s="625"/>
      <c r="AR274" s="625"/>
      <c r="AS274" s="625"/>
      <c r="AT274" s="625"/>
      <c r="AU274" s="625"/>
      <c r="AV274" s="625"/>
      <c r="AW274" s="625"/>
      <c r="AX274" s="625"/>
      <c r="AY274" s="625"/>
      <c r="AZ274" s="625"/>
      <c r="BA274" s="625"/>
      <c r="BB274" s="625"/>
    </row>
    <row r="275" spans="1:54" ht="12.75" customHeight="1">
      <c r="A275" s="626">
        <v>270</v>
      </c>
      <c r="B275" s="627"/>
      <c r="C275" s="628" t="s">
        <v>1093</v>
      </c>
      <c r="D275" s="629"/>
      <c r="E275" s="629"/>
      <c r="F275" s="629"/>
      <c r="G275" s="629"/>
      <c r="H275" s="629"/>
      <c r="I275" s="629"/>
      <c r="J275" s="629"/>
      <c r="K275" s="629"/>
      <c r="L275" s="629"/>
      <c r="M275" s="629"/>
      <c r="N275" s="629"/>
      <c r="O275" s="629"/>
      <c r="P275" s="629"/>
      <c r="Q275" s="629"/>
      <c r="R275" s="629"/>
      <c r="S275" s="629"/>
      <c r="T275" s="629"/>
      <c r="U275" s="630"/>
      <c r="V275" s="631" t="s">
        <v>1157</v>
      </c>
      <c r="W275" s="632"/>
      <c r="X275" s="633"/>
      <c r="Y275" s="625"/>
      <c r="Z275" s="625"/>
      <c r="AA275" s="625"/>
      <c r="AB275" s="625"/>
      <c r="AC275" s="625"/>
      <c r="AD275" s="625"/>
      <c r="AE275" s="625"/>
      <c r="AF275" s="625"/>
      <c r="AG275" s="625"/>
      <c r="AH275" s="625"/>
      <c r="AI275" s="625"/>
      <c r="AJ275" s="625"/>
      <c r="AK275" s="625"/>
      <c r="AL275" s="625"/>
      <c r="AM275" s="625"/>
      <c r="AN275" s="625"/>
      <c r="AO275" s="625"/>
      <c r="AP275" s="625"/>
      <c r="AQ275" s="625"/>
      <c r="AR275" s="625"/>
      <c r="AS275" s="625"/>
      <c r="AT275" s="625"/>
      <c r="AU275" s="625"/>
      <c r="AV275" s="625"/>
      <c r="AW275" s="625"/>
      <c r="AX275" s="625"/>
      <c r="AY275" s="625"/>
      <c r="AZ275" s="625"/>
      <c r="BA275" s="625"/>
      <c r="BB275" s="625"/>
    </row>
    <row r="276" spans="1:54" ht="12.75" customHeight="1">
      <c r="A276" s="626">
        <v>271</v>
      </c>
      <c r="B276" s="627"/>
      <c r="C276" s="628" t="s">
        <v>1094</v>
      </c>
      <c r="D276" s="629"/>
      <c r="E276" s="629"/>
      <c r="F276" s="629"/>
      <c r="G276" s="629"/>
      <c r="H276" s="629"/>
      <c r="I276" s="629"/>
      <c r="J276" s="629"/>
      <c r="K276" s="629"/>
      <c r="L276" s="629"/>
      <c r="M276" s="629"/>
      <c r="N276" s="629"/>
      <c r="O276" s="629"/>
      <c r="P276" s="629"/>
      <c r="Q276" s="629"/>
      <c r="R276" s="629"/>
      <c r="S276" s="629"/>
      <c r="T276" s="629"/>
      <c r="U276" s="630"/>
      <c r="V276" s="631" t="s">
        <v>1157</v>
      </c>
      <c r="W276" s="632"/>
      <c r="X276" s="633"/>
      <c r="Y276" s="625"/>
      <c r="Z276" s="625"/>
      <c r="AA276" s="625"/>
      <c r="AB276" s="625"/>
      <c r="AC276" s="625"/>
      <c r="AD276" s="625"/>
      <c r="AE276" s="625"/>
      <c r="AF276" s="625"/>
      <c r="AG276" s="625"/>
      <c r="AH276" s="625"/>
      <c r="AI276" s="625"/>
      <c r="AJ276" s="625"/>
      <c r="AK276" s="625"/>
      <c r="AL276" s="625"/>
      <c r="AM276" s="625"/>
      <c r="AN276" s="625"/>
      <c r="AO276" s="625"/>
      <c r="AP276" s="625"/>
      <c r="AQ276" s="625"/>
      <c r="AR276" s="625"/>
      <c r="AS276" s="625"/>
      <c r="AT276" s="625"/>
      <c r="AU276" s="625"/>
      <c r="AV276" s="625"/>
      <c r="AW276" s="625"/>
      <c r="AX276" s="625"/>
      <c r="AY276" s="625"/>
      <c r="AZ276" s="625"/>
      <c r="BA276" s="625"/>
      <c r="BB276" s="625"/>
    </row>
    <row r="277" spans="1:54" ht="25.5" customHeight="1">
      <c r="A277" s="626">
        <v>272</v>
      </c>
      <c r="B277" s="627"/>
      <c r="C277" s="628" t="s">
        <v>1095</v>
      </c>
      <c r="D277" s="629"/>
      <c r="E277" s="629"/>
      <c r="F277" s="629"/>
      <c r="G277" s="629"/>
      <c r="H277" s="629"/>
      <c r="I277" s="629"/>
      <c r="J277" s="629"/>
      <c r="K277" s="629"/>
      <c r="L277" s="629"/>
      <c r="M277" s="629"/>
      <c r="N277" s="629"/>
      <c r="O277" s="629"/>
      <c r="P277" s="629"/>
      <c r="Q277" s="629"/>
      <c r="R277" s="629"/>
      <c r="S277" s="629"/>
      <c r="T277" s="629"/>
      <c r="U277" s="630"/>
      <c r="V277" s="631" t="s">
        <v>1157</v>
      </c>
      <c r="W277" s="632"/>
      <c r="X277" s="633"/>
      <c r="Y277" s="625"/>
      <c r="Z277" s="625"/>
      <c r="AA277" s="625"/>
      <c r="AB277" s="625"/>
      <c r="AC277" s="625"/>
      <c r="AD277" s="625"/>
      <c r="AE277" s="625"/>
      <c r="AF277" s="625"/>
      <c r="AG277" s="625"/>
      <c r="AH277" s="625"/>
      <c r="AI277" s="625"/>
      <c r="AJ277" s="625"/>
      <c r="AK277" s="625"/>
      <c r="AL277" s="625"/>
      <c r="AM277" s="625"/>
      <c r="AN277" s="625"/>
      <c r="AO277" s="625"/>
      <c r="AP277" s="625"/>
      <c r="AQ277" s="625"/>
      <c r="AR277" s="625"/>
      <c r="AS277" s="625"/>
      <c r="AT277" s="625"/>
      <c r="AU277" s="625"/>
      <c r="AV277" s="625"/>
      <c r="AW277" s="625"/>
      <c r="AX277" s="625"/>
      <c r="AY277" s="625"/>
      <c r="AZ277" s="625"/>
      <c r="BA277" s="625"/>
      <c r="BB277" s="625"/>
    </row>
    <row r="278" spans="1:54" ht="12.75" customHeight="1">
      <c r="A278" s="626">
        <v>273</v>
      </c>
      <c r="B278" s="627"/>
      <c r="C278" s="628" t="s">
        <v>1096</v>
      </c>
      <c r="D278" s="629"/>
      <c r="E278" s="629"/>
      <c r="F278" s="629"/>
      <c r="G278" s="629"/>
      <c r="H278" s="629"/>
      <c r="I278" s="629"/>
      <c r="J278" s="629"/>
      <c r="K278" s="629"/>
      <c r="L278" s="629"/>
      <c r="M278" s="629"/>
      <c r="N278" s="629"/>
      <c r="O278" s="629"/>
      <c r="P278" s="629"/>
      <c r="Q278" s="629"/>
      <c r="R278" s="629"/>
      <c r="S278" s="629"/>
      <c r="T278" s="629"/>
      <c r="U278" s="630"/>
      <c r="V278" s="631" t="s">
        <v>1157</v>
      </c>
      <c r="W278" s="632"/>
      <c r="X278" s="633"/>
      <c r="Y278" s="625"/>
      <c r="Z278" s="625"/>
      <c r="AA278" s="625"/>
      <c r="AB278" s="625"/>
      <c r="AC278" s="625"/>
      <c r="AD278" s="625"/>
      <c r="AE278" s="625"/>
      <c r="AF278" s="625"/>
      <c r="AG278" s="625"/>
      <c r="AH278" s="625"/>
      <c r="AI278" s="625"/>
      <c r="AJ278" s="625"/>
      <c r="AK278" s="625"/>
      <c r="AL278" s="625"/>
      <c r="AM278" s="625"/>
      <c r="AN278" s="625"/>
      <c r="AO278" s="625"/>
      <c r="AP278" s="625"/>
      <c r="AQ278" s="625"/>
      <c r="AR278" s="625"/>
      <c r="AS278" s="625"/>
      <c r="AT278" s="625"/>
      <c r="AU278" s="625"/>
      <c r="AV278" s="625"/>
      <c r="AW278" s="625"/>
      <c r="AX278" s="625"/>
      <c r="AY278" s="625"/>
      <c r="AZ278" s="625"/>
      <c r="BA278" s="625"/>
      <c r="BB278" s="625"/>
    </row>
    <row r="279" spans="1:54" ht="12.75" customHeight="1">
      <c r="A279" s="626">
        <v>274</v>
      </c>
      <c r="B279" s="627"/>
      <c r="C279" s="628" t="s">
        <v>1097</v>
      </c>
      <c r="D279" s="629"/>
      <c r="E279" s="629"/>
      <c r="F279" s="629"/>
      <c r="G279" s="629"/>
      <c r="H279" s="629"/>
      <c r="I279" s="629"/>
      <c r="J279" s="629"/>
      <c r="K279" s="629"/>
      <c r="L279" s="629"/>
      <c r="M279" s="629"/>
      <c r="N279" s="629"/>
      <c r="O279" s="629"/>
      <c r="P279" s="629"/>
      <c r="Q279" s="629"/>
      <c r="R279" s="629"/>
      <c r="S279" s="629"/>
      <c r="T279" s="629"/>
      <c r="U279" s="630"/>
      <c r="V279" s="631" t="s">
        <v>1157</v>
      </c>
      <c r="W279" s="632"/>
      <c r="X279" s="633"/>
      <c r="Y279" s="625"/>
      <c r="Z279" s="625"/>
      <c r="AA279" s="625"/>
      <c r="AB279" s="625"/>
      <c r="AC279" s="625"/>
      <c r="AD279" s="625"/>
      <c r="AE279" s="625"/>
      <c r="AF279" s="625"/>
      <c r="AG279" s="625"/>
      <c r="AH279" s="625"/>
      <c r="AI279" s="625"/>
      <c r="AJ279" s="625"/>
      <c r="AK279" s="625"/>
      <c r="AL279" s="625"/>
      <c r="AM279" s="625"/>
      <c r="AN279" s="625"/>
      <c r="AO279" s="625"/>
      <c r="AP279" s="625"/>
      <c r="AQ279" s="625"/>
      <c r="AR279" s="625"/>
      <c r="AS279" s="625"/>
      <c r="AT279" s="625"/>
      <c r="AU279" s="625"/>
      <c r="AV279" s="625"/>
      <c r="AW279" s="625"/>
      <c r="AX279" s="625"/>
      <c r="AY279" s="625"/>
      <c r="AZ279" s="625"/>
      <c r="BA279" s="625"/>
      <c r="BB279" s="625"/>
    </row>
    <row r="280" spans="1:54" ht="12.75" customHeight="1">
      <c r="A280" s="626">
        <v>275</v>
      </c>
      <c r="B280" s="627"/>
      <c r="C280" s="628" t="s">
        <v>1099</v>
      </c>
      <c r="D280" s="629"/>
      <c r="E280" s="629"/>
      <c r="F280" s="629"/>
      <c r="G280" s="629"/>
      <c r="H280" s="629"/>
      <c r="I280" s="629"/>
      <c r="J280" s="629"/>
      <c r="K280" s="629"/>
      <c r="L280" s="629"/>
      <c r="M280" s="629"/>
      <c r="N280" s="629"/>
      <c r="O280" s="629"/>
      <c r="P280" s="629"/>
      <c r="Q280" s="629"/>
      <c r="R280" s="629"/>
      <c r="S280" s="629"/>
      <c r="T280" s="629"/>
      <c r="U280" s="630"/>
      <c r="V280" s="631" t="s">
        <v>1157</v>
      </c>
      <c r="W280" s="632"/>
      <c r="X280" s="633"/>
      <c r="Y280" s="625"/>
      <c r="Z280" s="625"/>
      <c r="AA280" s="625"/>
      <c r="AB280" s="625"/>
      <c r="AC280" s="625"/>
      <c r="AD280" s="625"/>
      <c r="AE280" s="625"/>
      <c r="AF280" s="625"/>
      <c r="AG280" s="625"/>
      <c r="AH280" s="625"/>
      <c r="AI280" s="625"/>
      <c r="AJ280" s="625"/>
      <c r="AK280" s="625"/>
      <c r="AL280" s="625"/>
      <c r="AM280" s="625"/>
      <c r="AN280" s="625"/>
      <c r="AO280" s="625"/>
      <c r="AP280" s="625"/>
      <c r="AQ280" s="625"/>
      <c r="AR280" s="625"/>
      <c r="AS280" s="625"/>
      <c r="AT280" s="625"/>
      <c r="AU280" s="625"/>
      <c r="AV280" s="625"/>
      <c r="AW280" s="625"/>
      <c r="AX280" s="625"/>
      <c r="AY280" s="625"/>
      <c r="AZ280" s="625"/>
      <c r="BA280" s="625"/>
      <c r="BB280" s="625"/>
    </row>
    <row r="281" spans="1:54" ht="12.75" customHeight="1">
      <c r="A281" s="626">
        <v>276</v>
      </c>
      <c r="B281" s="627"/>
      <c r="C281" s="628" t="s">
        <v>1100</v>
      </c>
      <c r="D281" s="629"/>
      <c r="E281" s="629"/>
      <c r="F281" s="629"/>
      <c r="G281" s="629"/>
      <c r="H281" s="629"/>
      <c r="I281" s="629"/>
      <c r="J281" s="629"/>
      <c r="K281" s="629"/>
      <c r="L281" s="629"/>
      <c r="M281" s="629"/>
      <c r="N281" s="629"/>
      <c r="O281" s="629"/>
      <c r="P281" s="629"/>
      <c r="Q281" s="629"/>
      <c r="R281" s="629"/>
      <c r="S281" s="629"/>
      <c r="T281" s="629"/>
      <c r="U281" s="630"/>
      <c r="V281" s="631" t="s">
        <v>1157</v>
      </c>
      <c r="W281" s="632"/>
      <c r="X281" s="633"/>
      <c r="Y281" s="625"/>
      <c r="Z281" s="625"/>
      <c r="AA281" s="625"/>
      <c r="AB281" s="625"/>
      <c r="AC281" s="625"/>
      <c r="AD281" s="625"/>
      <c r="AE281" s="625"/>
      <c r="AF281" s="625"/>
      <c r="AG281" s="625"/>
      <c r="AH281" s="625"/>
      <c r="AI281" s="625"/>
      <c r="AJ281" s="625"/>
      <c r="AK281" s="625"/>
      <c r="AL281" s="625"/>
      <c r="AM281" s="625"/>
      <c r="AN281" s="625"/>
      <c r="AO281" s="625"/>
      <c r="AP281" s="625"/>
      <c r="AQ281" s="625"/>
      <c r="AR281" s="625"/>
      <c r="AS281" s="625"/>
      <c r="AT281" s="625"/>
      <c r="AU281" s="625"/>
      <c r="AV281" s="625"/>
      <c r="AW281" s="625"/>
      <c r="AX281" s="625"/>
      <c r="AY281" s="625"/>
      <c r="AZ281" s="625"/>
      <c r="BA281" s="625"/>
      <c r="BB281" s="625"/>
    </row>
    <row r="282" spans="1:54" ht="25.5" customHeight="1">
      <c r="A282" s="638">
        <v>277</v>
      </c>
      <c r="B282" s="639"/>
      <c r="C282" s="672" t="s">
        <v>1158</v>
      </c>
      <c r="D282" s="673"/>
      <c r="E282" s="673"/>
      <c r="F282" s="673"/>
      <c r="G282" s="673"/>
      <c r="H282" s="673"/>
      <c r="I282" s="673"/>
      <c r="J282" s="673"/>
      <c r="K282" s="673"/>
      <c r="L282" s="673"/>
      <c r="M282" s="673"/>
      <c r="N282" s="673"/>
      <c r="O282" s="673"/>
      <c r="P282" s="673"/>
      <c r="Q282" s="673"/>
      <c r="R282" s="673"/>
      <c r="S282" s="673"/>
      <c r="T282" s="673"/>
      <c r="U282" s="674"/>
      <c r="V282" s="643" t="s">
        <v>1159</v>
      </c>
      <c r="W282" s="644"/>
      <c r="X282" s="645"/>
      <c r="Y282" s="646"/>
      <c r="Z282" s="646"/>
      <c r="AA282" s="646"/>
      <c r="AB282" s="647"/>
      <c r="AC282" s="647"/>
      <c r="AD282" s="647"/>
      <c r="AE282" s="646"/>
      <c r="AF282" s="646"/>
      <c r="AG282" s="646"/>
      <c r="AH282" s="647"/>
      <c r="AI282" s="647"/>
      <c r="AJ282" s="647"/>
      <c r="AK282" s="646"/>
      <c r="AL282" s="646"/>
      <c r="AM282" s="646"/>
      <c r="AN282" s="647"/>
      <c r="AO282" s="647"/>
      <c r="AP282" s="647"/>
      <c r="AQ282" s="646"/>
      <c r="AR282" s="646"/>
      <c r="AS282" s="646"/>
      <c r="AT282" s="647"/>
      <c r="AU282" s="647"/>
      <c r="AV282" s="647"/>
      <c r="AW282" s="646"/>
      <c r="AX282" s="646"/>
      <c r="AY282" s="646"/>
      <c r="AZ282" s="647"/>
      <c r="BA282" s="647"/>
      <c r="BB282" s="647"/>
    </row>
    <row r="283" spans="1:54" ht="25.5" customHeight="1">
      <c r="A283" s="638">
        <v>278</v>
      </c>
      <c r="B283" s="639"/>
      <c r="C283" s="640" t="s">
        <v>1160</v>
      </c>
      <c r="D283" s="641"/>
      <c r="E283" s="641"/>
      <c r="F283" s="641"/>
      <c r="G283" s="641"/>
      <c r="H283" s="641"/>
      <c r="I283" s="641"/>
      <c r="J283" s="641"/>
      <c r="K283" s="641"/>
      <c r="L283" s="641"/>
      <c r="M283" s="641"/>
      <c r="N283" s="641"/>
      <c r="O283" s="641"/>
      <c r="P283" s="641"/>
      <c r="Q283" s="641"/>
      <c r="R283" s="641"/>
      <c r="S283" s="641"/>
      <c r="T283" s="641"/>
      <c r="U283" s="642"/>
      <c r="V283" s="640" t="s">
        <v>1161</v>
      </c>
      <c r="W283" s="641"/>
      <c r="X283" s="642"/>
      <c r="Y283" s="646"/>
      <c r="Z283" s="646"/>
      <c r="AA283" s="646"/>
      <c r="AB283" s="647"/>
      <c r="AC283" s="647"/>
      <c r="AD283" s="647"/>
      <c r="AE283" s="646"/>
      <c r="AF283" s="646"/>
      <c r="AG283" s="646"/>
      <c r="AH283" s="647"/>
      <c r="AI283" s="647"/>
      <c r="AJ283" s="647"/>
      <c r="AK283" s="646"/>
      <c r="AL283" s="646"/>
      <c r="AM283" s="646"/>
      <c r="AN283" s="647"/>
      <c r="AO283" s="647"/>
      <c r="AP283" s="647"/>
      <c r="AQ283" s="646"/>
      <c r="AR283" s="646"/>
      <c r="AS283" s="646"/>
      <c r="AT283" s="647"/>
      <c r="AU283" s="647"/>
      <c r="AV283" s="647"/>
      <c r="AW283" s="646"/>
      <c r="AX283" s="646"/>
      <c r="AY283" s="646"/>
      <c r="AZ283" s="647"/>
      <c r="BA283" s="647"/>
      <c r="BB283" s="647"/>
    </row>
    <row r="284" spans="1:54" ht="25.5" customHeight="1">
      <c r="A284" s="634">
        <v>279</v>
      </c>
      <c r="B284" s="634"/>
      <c r="C284" s="676" t="s">
        <v>1162</v>
      </c>
      <c r="D284" s="676"/>
      <c r="E284" s="676"/>
      <c r="F284" s="676"/>
      <c r="G284" s="676"/>
      <c r="H284" s="676"/>
      <c r="I284" s="676"/>
      <c r="J284" s="676"/>
      <c r="K284" s="676"/>
      <c r="L284" s="676"/>
      <c r="M284" s="676"/>
      <c r="N284" s="676"/>
      <c r="O284" s="676"/>
      <c r="P284" s="676"/>
      <c r="Q284" s="676"/>
      <c r="R284" s="676"/>
      <c r="S284" s="676"/>
      <c r="T284" s="676"/>
      <c r="U284" s="676"/>
      <c r="V284" s="677" t="s">
        <v>1163</v>
      </c>
      <c r="W284" s="677"/>
      <c r="X284" s="677"/>
      <c r="Y284" s="678"/>
      <c r="Z284" s="678"/>
      <c r="AA284" s="678"/>
      <c r="AB284" s="678"/>
      <c r="AC284" s="678"/>
      <c r="AD284" s="678"/>
      <c r="AE284" s="678"/>
      <c r="AF284" s="678"/>
      <c r="AG284" s="678"/>
      <c r="AH284" s="678"/>
      <c r="AI284" s="678"/>
      <c r="AJ284" s="678"/>
      <c r="AK284" s="678"/>
      <c r="AL284" s="678"/>
      <c r="AM284" s="678"/>
      <c r="AN284" s="678"/>
      <c r="AO284" s="678"/>
      <c r="AP284" s="678"/>
      <c r="AQ284" s="678"/>
      <c r="AR284" s="678"/>
      <c r="AS284" s="678"/>
      <c r="AT284" s="678"/>
      <c r="AU284" s="678"/>
      <c r="AV284" s="678"/>
      <c r="AW284" s="678"/>
      <c r="AX284" s="678"/>
      <c r="AY284" s="678"/>
      <c r="AZ284" s="678"/>
      <c r="BA284" s="678"/>
      <c r="BB284" s="678"/>
    </row>
    <row r="285" spans="1:54" ht="12.75" customHeight="1">
      <c r="A285" s="634">
        <v>280</v>
      </c>
      <c r="B285" s="634"/>
      <c r="C285" s="679" t="s">
        <v>1164</v>
      </c>
      <c r="D285" s="679"/>
      <c r="E285" s="679"/>
      <c r="F285" s="679"/>
      <c r="G285" s="679"/>
      <c r="H285" s="679"/>
      <c r="I285" s="679"/>
      <c r="J285" s="679"/>
      <c r="K285" s="679"/>
      <c r="L285" s="679"/>
      <c r="M285" s="679"/>
      <c r="N285" s="679"/>
      <c r="O285" s="679"/>
      <c r="P285" s="679"/>
      <c r="Q285" s="679"/>
      <c r="R285" s="679"/>
      <c r="S285" s="679"/>
      <c r="T285" s="679"/>
      <c r="U285" s="679"/>
      <c r="V285" s="677" t="s">
        <v>1163</v>
      </c>
      <c r="W285" s="677"/>
      <c r="X285" s="677"/>
      <c r="Y285" s="680"/>
      <c r="Z285" s="680"/>
      <c r="AA285" s="680"/>
      <c r="AB285" s="680"/>
      <c r="AC285" s="680"/>
      <c r="AD285" s="680"/>
      <c r="AE285" s="680"/>
      <c r="AF285" s="680"/>
      <c r="AG285" s="680"/>
      <c r="AH285" s="680"/>
      <c r="AI285" s="680"/>
      <c r="AJ285" s="680"/>
      <c r="AK285" s="680"/>
      <c r="AL285" s="680"/>
      <c r="AM285" s="680"/>
      <c r="AN285" s="680"/>
      <c r="AO285" s="680"/>
      <c r="AP285" s="680"/>
      <c r="AQ285" s="680"/>
      <c r="AR285" s="680"/>
      <c r="AS285" s="680"/>
      <c r="AT285" s="680"/>
      <c r="AU285" s="680"/>
      <c r="AV285" s="680"/>
      <c r="AW285" s="680"/>
      <c r="AX285" s="680"/>
      <c r="AY285" s="680"/>
      <c r="AZ285" s="680"/>
      <c r="BA285" s="680"/>
      <c r="BB285" s="680"/>
    </row>
    <row r="286" spans="1:54" ht="25.5" customHeight="1">
      <c r="A286" s="634">
        <v>281</v>
      </c>
      <c r="B286" s="634"/>
      <c r="C286" s="676" t="s">
        <v>1165</v>
      </c>
      <c r="D286" s="676"/>
      <c r="E286" s="676"/>
      <c r="F286" s="676"/>
      <c r="G286" s="676"/>
      <c r="H286" s="676"/>
      <c r="I286" s="676"/>
      <c r="J286" s="676"/>
      <c r="K286" s="676"/>
      <c r="L286" s="676"/>
      <c r="M286" s="676"/>
      <c r="N286" s="676"/>
      <c r="O286" s="676"/>
      <c r="P286" s="676"/>
      <c r="Q286" s="676"/>
      <c r="R286" s="676"/>
      <c r="S286" s="676"/>
      <c r="T286" s="676"/>
      <c r="U286" s="676"/>
      <c r="V286" s="677" t="s">
        <v>1166</v>
      </c>
      <c r="W286" s="677"/>
      <c r="X286" s="677"/>
      <c r="Y286" s="681"/>
      <c r="Z286" s="681"/>
      <c r="AA286" s="681"/>
      <c r="AB286" s="681"/>
      <c r="AC286" s="681"/>
      <c r="AD286" s="681"/>
      <c r="AE286" s="681"/>
      <c r="AF286" s="681"/>
      <c r="AG286" s="681"/>
      <c r="AH286" s="681"/>
      <c r="AI286" s="681"/>
      <c r="AJ286" s="681"/>
      <c r="AK286" s="681"/>
      <c r="AL286" s="681"/>
      <c r="AM286" s="681"/>
      <c r="AN286" s="681"/>
      <c r="AO286" s="681"/>
      <c r="AP286" s="681"/>
      <c r="AQ286" s="681"/>
      <c r="AR286" s="681"/>
      <c r="AS286" s="681"/>
      <c r="AT286" s="681"/>
      <c r="AU286" s="681"/>
      <c r="AV286" s="681"/>
      <c r="AW286" s="681"/>
      <c r="AX286" s="681"/>
      <c r="AY286" s="681"/>
      <c r="AZ286" s="681"/>
      <c r="BA286" s="681"/>
      <c r="BB286" s="681"/>
    </row>
    <row r="287" spans="1:54" ht="12.75" customHeight="1">
      <c r="A287" s="634">
        <v>282</v>
      </c>
      <c r="B287" s="634"/>
      <c r="C287" s="676" t="s">
        <v>1167</v>
      </c>
      <c r="D287" s="676"/>
      <c r="E287" s="676"/>
      <c r="F287" s="676"/>
      <c r="G287" s="676"/>
      <c r="H287" s="676"/>
      <c r="I287" s="676"/>
      <c r="J287" s="676"/>
      <c r="K287" s="676"/>
      <c r="L287" s="676"/>
      <c r="M287" s="676"/>
      <c r="N287" s="676"/>
      <c r="O287" s="676"/>
      <c r="P287" s="676"/>
      <c r="Q287" s="676"/>
      <c r="R287" s="676"/>
      <c r="S287" s="676"/>
      <c r="T287" s="676"/>
      <c r="U287" s="676"/>
      <c r="V287" s="677" t="s">
        <v>1168</v>
      </c>
      <c r="W287" s="677"/>
      <c r="X287" s="677"/>
      <c r="Y287" s="678"/>
      <c r="Z287" s="678"/>
      <c r="AA287" s="678"/>
      <c r="AB287" s="678"/>
      <c r="AC287" s="678"/>
      <c r="AD287" s="678"/>
      <c r="AE287" s="678"/>
      <c r="AF287" s="678"/>
      <c r="AG287" s="678"/>
      <c r="AH287" s="678"/>
      <c r="AI287" s="678"/>
      <c r="AJ287" s="678"/>
      <c r="AK287" s="678"/>
      <c r="AL287" s="678"/>
      <c r="AM287" s="678"/>
      <c r="AN287" s="678"/>
      <c r="AO287" s="678"/>
      <c r="AP287" s="678"/>
      <c r="AQ287" s="678"/>
      <c r="AR287" s="678"/>
      <c r="AS287" s="678"/>
      <c r="AT287" s="678"/>
      <c r="AU287" s="678"/>
      <c r="AV287" s="678"/>
      <c r="AW287" s="678"/>
      <c r="AX287" s="678"/>
      <c r="AY287" s="678"/>
      <c r="AZ287" s="678"/>
      <c r="BA287" s="678"/>
      <c r="BB287" s="678"/>
    </row>
    <row r="288" spans="1:54" ht="12.75" customHeight="1">
      <c r="A288" s="634">
        <v>283</v>
      </c>
      <c r="B288" s="634"/>
      <c r="C288" s="679" t="s">
        <v>1164</v>
      </c>
      <c r="D288" s="679"/>
      <c r="E288" s="679"/>
      <c r="F288" s="679"/>
      <c r="G288" s="679"/>
      <c r="H288" s="679"/>
      <c r="I288" s="679"/>
      <c r="J288" s="679"/>
      <c r="K288" s="679"/>
      <c r="L288" s="679"/>
      <c r="M288" s="679"/>
      <c r="N288" s="679"/>
      <c r="O288" s="679"/>
      <c r="P288" s="679"/>
      <c r="Q288" s="679"/>
      <c r="R288" s="679"/>
      <c r="S288" s="679"/>
      <c r="T288" s="679"/>
      <c r="U288" s="679"/>
      <c r="V288" s="677" t="s">
        <v>1168</v>
      </c>
      <c r="W288" s="677"/>
      <c r="X288" s="677"/>
      <c r="Y288" s="680"/>
      <c r="Z288" s="680"/>
      <c r="AA288" s="680"/>
      <c r="AB288" s="680"/>
      <c r="AC288" s="680"/>
      <c r="AD288" s="680"/>
      <c r="AE288" s="680"/>
      <c r="AF288" s="680"/>
      <c r="AG288" s="680"/>
      <c r="AH288" s="680"/>
      <c r="AI288" s="680"/>
      <c r="AJ288" s="680"/>
      <c r="AK288" s="680"/>
      <c r="AL288" s="680"/>
      <c r="AM288" s="680"/>
      <c r="AN288" s="680"/>
      <c r="AO288" s="680"/>
      <c r="AP288" s="680"/>
      <c r="AQ288" s="680"/>
      <c r="AR288" s="680"/>
      <c r="AS288" s="680"/>
      <c r="AT288" s="680"/>
      <c r="AU288" s="680"/>
      <c r="AV288" s="680"/>
      <c r="AW288" s="680"/>
      <c r="AX288" s="680"/>
      <c r="AY288" s="680"/>
      <c r="AZ288" s="680"/>
      <c r="BA288" s="680"/>
      <c r="BB288" s="680"/>
    </row>
    <row r="289" spans="1:54" ht="25.5" customHeight="1">
      <c r="A289" s="675">
        <v>284</v>
      </c>
      <c r="B289" s="675"/>
      <c r="C289" s="682" t="s">
        <v>1169</v>
      </c>
      <c r="D289" s="682"/>
      <c r="E289" s="682"/>
      <c r="F289" s="682"/>
      <c r="G289" s="682"/>
      <c r="H289" s="682"/>
      <c r="I289" s="682"/>
      <c r="J289" s="682"/>
      <c r="K289" s="682"/>
      <c r="L289" s="682"/>
      <c r="M289" s="682"/>
      <c r="N289" s="682"/>
      <c r="O289" s="682"/>
      <c r="P289" s="682"/>
      <c r="Q289" s="682"/>
      <c r="R289" s="682"/>
      <c r="S289" s="682"/>
      <c r="T289" s="682"/>
      <c r="U289" s="682"/>
      <c r="V289" s="683" t="s">
        <v>1170</v>
      </c>
      <c r="W289" s="683"/>
      <c r="X289" s="683"/>
      <c r="Y289" s="684"/>
      <c r="Z289" s="684"/>
      <c r="AA289" s="684"/>
      <c r="AB289" s="685"/>
      <c r="AC289" s="685"/>
      <c r="AD289" s="685"/>
      <c r="AE289" s="684"/>
      <c r="AF289" s="684"/>
      <c r="AG289" s="684"/>
      <c r="AH289" s="685"/>
      <c r="AI289" s="685"/>
      <c r="AJ289" s="685"/>
      <c r="AK289" s="684"/>
      <c r="AL289" s="684"/>
      <c r="AM289" s="684"/>
      <c r="AN289" s="685"/>
      <c r="AO289" s="685"/>
      <c r="AP289" s="685"/>
      <c r="AQ289" s="684"/>
      <c r="AR289" s="684"/>
      <c r="AS289" s="684"/>
      <c r="AT289" s="685"/>
      <c r="AU289" s="685"/>
      <c r="AV289" s="685"/>
      <c r="AW289" s="684"/>
      <c r="AX289" s="684"/>
      <c r="AY289" s="684"/>
      <c r="AZ289" s="685"/>
      <c r="BA289" s="685"/>
      <c r="BB289" s="685"/>
    </row>
    <row r="290" spans="1:54" ht="12.75" customHeight="1">
      <c r="A290" s="634">
        <v>285</v>
      </c>
      <c r="B290" s="634"/>
      <c r="C290" s="686" t="s">
        <v>1171</v>
      </c>
      <c r="D290" s="686"/>
      <c r="E290" s="686"/>
      <c r="F290" s="686"/>
      <c r="G290" s="686"/>
      <c r="H290" s="686"/>
      <c r="I290" s="686"/>
      <c r="J290" s="686"/>
      <c r="K290" s="686"/>
      <c r="L290" s="686"/>
      <c r="M290" s="686"/>
      <c r="N290" s="686"/>
      <c r="O290" s="686"/>
      <c r="P290" s="686"/>
      <c r="Q290" s="686"/>
      <c r="R290" s="686"/>
      <c r="S290" s="686"/>
      <c r="T290" s="686"/>
      <c r="U290" s="686"/>
      <c r="V290" s="677" t="s">
        <v>1172</v>
      </c>
      <c r="W290" s="677"/>
      <c r="X290" s="677"/>
      <c r="Y290" s="678"/>
      <c r="Z290" s="678"/>
      <c r="AA290" s="678"/>
      <c r="AB290" s="678"/>
      <c r="AC290" s="678"/>
      <c r="AD290" s="678"/>
      <c r="AE290" s="678"/>
      <c r="AF290" s="678"/>
      <c r="AG290" s="678"/>
      <c r="AH290" s="678"/>
      <c r="AI290" s="678"/>
      <c r="AJ290" s="678"/>
      <c r="AK290" s="678"/>
      <c r="AL290" s="678"/>
      <c r="AM290" s="678"/>
      <c r="AN290" s="678"/>
      <c r="AO290" s="678"/>
      <c r="AP290" s="678"/>
      <c r="AQ290" s="678"/>
      <c r="AR290" s="678"/>
      <c r="AS290" s="678"/>
      <c r="AT290" s="678"/>
      <c r="AU290" s="678"/>
      <c r="AV290" s="678"/>
      <c r="AW290" s="678"/>
      <c r="AX290" s="678"/>
      <c r="AY290" s="678"/>
      <c r="AZ290" s="678"/>
      <c r="BA290" s="678"/>
      <c r="BB290" s="678"/>
    </row>
    <row r="291" spans="1:54" ht="12.75" customHeight="1">
      <c r="A291" s="634">
        <v>286</v>
      </c>
      <c r="B291" s="634"/>
      <c r="C291" s="679" t="s">
        <v>1173</v>
      </c>
      <c r="D291" s="679"/>
      <c r="E291" s="679"/>
      <c r="F291" s="679"/>
      <c r="G291" s="679"/>
      <c r="H291" s="679"/>
      <c r="I291" s="679"/>
      <c r="J291" s="679"/>
      <c r="K291" s="679"/>
      <c r="L291" s="679"/>
      <c r="M291" s="679"/>
      <c r="N291" s="679"/>
      <c r="O291" s="679"/>
      <c r="P291" s="679"/>
      <c r="Q291" s="679"/>
      <c r="R291" s="679"/>
      <c r="S291" s="679"/>
      <c r="T291" s="679"/>
      <c r="U291" s="679"/>
      <c r="V291" s="677" t="s">
        <v>1172</v>
      </c>
      <c r="W291" s="677"/>
      <c r="X291" s="677"/>
      <c r="Y291" s="680"/>
      <c r="Z291" s="680"/>
      <c r="AA291" s="680"/>
      <c r="AB291" s="680"/>
      <c r="AC291" s="680"/>
      <c r="AD291" s="680"/>
      <c r="AE291" s="680"/>
      <c r="AF291" s="680"/>
      <c r="AG291" s="680"/>
      <c r="AH291" s="680"/>
      <c r="AI291" s="680"/>
      <c r="AJ291" s="680"/>
      <c r="AK291" s="680"/>
      <c r="AL291" s="680"/>
      <c r="AM291" s="680"/>
      <c r="AN291" s="680"/>
      <c r="AO291" s="680"/>
      <c r="AP291" s="680"/>
      <c r="AQ291" s="680"/>
      <c r="AR291" s="680"/>
      <c r="AS291" s="680"/>
      <c r="AT291" s="680"/>
      <c r="AU291" s="680"/>
      <c r="AV291" s="680"/>
      <c r="AW291" s="680"/>
      <c r="AX291" s="680"/>
      <c r="AY291" s="680"/>
      <c r="AZ291" s="680"/>
      <c r="BA291" s="680"/>
      <c r="BB291" s="680"/>
    </row>
    <row r="292" spans="1:54" ht="12.75" customHeight="1">
      <c r="A292" s="634">
        <v>287</v>
      </c>
      <c r="B292" s="634"/>
      <c r="C292" s="679" t="s">
        <v>1174</v>
      </c>
      <c r="D292" s="679"/>
      <c r="E292" s="679"/>
      <c r="F292" s="679"/>
      <c r="G292" s="679"/>
      <c r="H292" s="679"/>
      <c r="I292" s="679"/>
      <c r="J292" s="679"/>
      <c r="K292" s="679"/>
      <c r="L292" s="679"/>
      <c r="M292" s="679"/>
      <c r="N292" s="679"/>
      <c r="O292" s="679"/>
      <c r="P292" s="679"/>
      <c r="Q292" s="679"/>
      <c r="R292" s="679"/>
      <c r="S292" s="679"/>
      <c r="T292" s="679"/>
      <c r="U292" s="679"/>
      <c r="V292" s="677" t="s">
        <v>1172</v>
      </c>
      <c r="W292" s="677"/>
      <c r="X292" s="677"/>
      <c r="Y292" s="680"/>
      <c r="Z292" s="680"/>
      <c r="AA292" s="680"/>
      <c r="AB292" s="680"/>
      <c r="AC292" s="680"/>
      <c r="AD292" s="680"/>
      <c r="AE292" s="680"/>
      <c r="AF292" s="680"/>
      <c r="AG292" s="680"/>
      <c r="AH292" s="680"/>
      <c r="AI292" s="680"/>
      <c r="AJ292" s="680"/>
      <c r="AK292" s="680"/>
      <c r="AL292" s="680"/>
      <c r="AM292" s="680"/>
      <c r="AN292" s="680"/>
      <c r="AO292" s="680"/>
      <c r="AP292" s="680"/>
      <c r="AQ292" s="680"/>
      <c r="AR292" s="680"/>
      <c r="AS292" s="680"/>
      <c r="AT292" s="680"/>
      <c r="AU292" s="680"/>
      <c r="AV292" s="680"/>
      <c r="AW292" s="680"/>
      <c r="AX292" s="680"/>
      <c r="AY292" s="680"/>
      <c r="AZ292" s="680"/>
      <c r="BA292" s="680"/>
      <c r="BB292" s="680"/>
    </row>
    <row r="293" spans="1:54" ht="12.75" customHeight="1">
      <c r="A293" s="634">
        <v>288</v>
      </c>
      <c r="B293" s="634"/>
      <c r="C293" s="679" t="s">
        <v>1175</v>
      </c>
      <c r="D293" s="679"/>
      <c r="E293" s="679"/>
      <c r="F293" s="679"/>
      <c r="G293" s="679"/>
      <c r="H293" s="679"/>
      <c r="I293" s="679"/>
      <c r="J293" s="679"/>
      <c r="K293" s="679"/>
      <c r="L293" s="679"/>
      <c r="M293" s="679"/>
      <c r="N293" s="679"/>
      <c r="O293" s="679"/>
      <c r="P293" s="679"/>
      <c r="Q293" s="679"/>
      <c r="R293" s="679"/>
      <c r="S293" s="679"/>
      <c r="T293" s="679"/>
      <c r="U293" s="679"/>
      <c r="V293" s="677" t="s">
        <v>1176</v>
      </c>
      <c r="W293" s="677"/>
      <c r="X293" s="677"/>
      <c r="Y293" s="681"/>
      <c r="Z293" s="681"/>
      <c r="AA293" s="681"/>
      <c r="AB293" s="681"/>
      <c r="AC293" s="681"/>
      <c r="AD293" s="681"/>
      <c r="AE293" s="681"/>
      <c r="AF293" s="681"/>
      <c r="AG293" s="681"/>
      <c r="AH293" s="681"/>
      <c r="AI293" s="681"/>
      <c r="AJ293" s="681"/>
      <c r="AK293" s="681"/>
      <c r="AL293" s="681"/>
      <c r="AM293" s="681"/>
      <c r="AN293" s="681"/>
      <c r="AO293" s="681"/>
      <c r="AP293" s="681"/>
      <c r="AQ293" s="681"/>
      <c r="AR293" s="681"/>
      <c r="AS293" s="681"/>
      <c r="AT293" s="681"/>
      <c r="AU293" s="681"/>
      <c r="AV293" s="681"/>
      <c r="AW293" s="681"/>
      <c r="AX293" s="681"/>
      <c r="AY293" s="681"/>
      <c r="AZ293" s="681"/>
      <c r="BA293" s="681"/>
      <c r="BB293" s="681"/>
    </row>
    <row r="294" spans="1:54" ht="12.75" customHeight="1">
      <c r="A294" s="634">
        <v>289</v>
      </c>
      <c r="B294" s="634"/>
      <c r="C294" s="679" t="s">
        <v>1177</v>
      </c>
      <c r="D294" s="679"/>
      <c r="E294" s="679"/>
      <c r="F294" s="679"/>
      <c r="G294" s="679"/>
      <c r="H294" s="679"/>
      <c r="I294" s="679"/>
      <c r="J294" s="679"/>
      <c r="K294" s="679"/>
      <c r="L294" s="679"/>
      <c r="M294" s="679"/>
      <c r="N294" s="679"/>
      <c r="O294" s="679"/>
      <c r="P294" s="679"/>
      <c r="Q294" s="679"/>
      <c r="R294" s="679"/>
      <c r="S294" s="679"/>
      <c r="T294" s="679"/>
      <c r="U294" s="679"/>
      <c r="V294" s="677" t="s">
        <v>1178</v>
      </c>
      <c r="W294" s="677"/>
      <c r="X294" s="677"/>
      <c r="Y294" s="681"/>
      <c r="Z294" s="681"/>
      <c r="AA294" s="681"/>
      <c r="AB294" s="681"/>
      <c r="AC294" s="681"/>
      <c r="AD294" s="681"/>
      <c r="AE294" s="681"/>
      <c r="AF294" s="681"/>
      <c r="AG294" s="681"/>
      <c r="AH294" s="681"/>
      <c r="AI294" s="681"/>
      <c r="AJ294" s="681"/>
      <c r="AK294" s="681"/>
      <c r="AL294" s="681"/>
      <c r="AM294" s="681"/>
      <c r="AN294" s="681"/>
      <c r="AO294" s="681"/>
      <c r="AP294" s="681"/>
      <c r="AQ294" s="681"/>
      <c r="AR294" s="681"/>
      <c r="AS294" s="681"/>
      <c r="AT294" s="681"/>
      <c r="AU294" s="681"/>
      <c r="AV294" s="681"/>
      <c r="AW294" s="681"/>
      <c r="AX294" s="681"/>
      <c r="AY294" s="681"/>
      <c r="AZ294" s="681"/>
      <c r="BA294" s="681"/>
      <c r="BB294" s="681"/>
    </row>
    <row r="295" spans="1:54" ht="25.5" customHeight="1">
      <c r="A295" s="634">
        <v>290</v>
      </c>
      <c r="B295" s="634"/>
      <c r="C295" s="676" t="s">
        <v>1179</v>
      </c>
      <c r="D295" s="676"/>
      <c r="E295" s="676"/>
      <c r="F295" s="676"/>
      <c r="G295" s="676"/>
      <c r="H295" s="676"/>
      <c r="I295" s="676"/>
      <c r="J295" s="676"/>
      <c r="K295" s="676"/>
      <c r="L295" s="676"/>
      <c r="M295" s="676"/>
      <c r="N295" s="676"/>
      <c r="O295" s="676"/>
      <c r="P295" s="676"/>
      <c r="Q295" s="676"/>
      <c r="R295" s="676"/>
      <c r="S295" s="676"/>
      <c r="T295" s="676"/>
      <c r="U295" s="676"/>
      <c r="V295" s="677" t="s">
        <v>1180</v>
      </c>
      <c r="W295" s="677"/>
      <c r="X295" s="677"/>
      <c r="Y295" s="678"/>
      <c r="Z295" s="678"/>
      <c r="AA295" s="678"/>
      <c r="AB295" s="678"/>
      <c r="AC295" s="678"/>
      <c r="AD295" s="678"/>
      <c r="AE295" s="678"/>
      <c r="AF295" s="678"/>
      <c r="AG295" s="678"/>
      <c r="AH295" s="678"/>
      <c r="AI295" s="678"/>
      <c r="AJ295" s="678"/>
      <c r="AK295" s="678"/>
      <c r="AL295" s="678"/>
      <c r="AM295" s="678"/>
      <c r="AN295" s="678"/>
      <c r="AO295" s="678"/>
      <c r="AP295" s="678"/>
      <c r="AQ295" s="678"/>
      <c r="AR295" s="678"/>
      <c r="AS295" s="678"/>
      <c r="AT295" s="678"/>
      <c r="AU295" s="678"/>
      <c r="AV295" s="678"/>
      <c r="AW295" s="678"/>
      <c r="AX295" s="678"/>
      <c r="AY295" s="678"/>
      <c r="AZ295" s="678"/>
      <c r="BA295" s="678"/>
      <c r="BB295" s="678"/>
    </row>
    <row r="296" spans="1:54" ht="12.75" customHeight="1">
      <c r="A296" s="634">
        <v>291</v>
      </c>
      <c r="B296" s="634"/>
      <c r="C296" s="679" t="s">
        <v>1164</v>
      </c>
      <c r="D296" s="679"/>
      <c r="E296" s="679"/>
      <c r="F296" s="679"/>
      <c r="G296" s="679"/>
      <c r="H296" s="679"/>
      <c r="I296" s="679"/>
      <c r="J296" s="679"/>
      <c r="K296" s="679"/>
      <c r="L296" s="679"/>
      <c r="M296" s="679"/>
      <c r="N296" s="679"/>
      <c r="O296" s="679"/>
      <c r="P296" s="679"/>
      <c r="Q296" s="679"/>
      <c r="R296" s="679"/>
      <c r="S296" s="679"/>
      <c r="T296" s="679"/>
      <c r="U296" s="679"/>
      <c r="V296" s="677" t="s">
        <v>1180</v>
      </c>
      <c r="W296" s="677"/>
      <c r="X296" s="677"/>
      <c r="Y296" s="680"/>
      <c r="Z296" s="680"/>
      <c r="AA296" s="680"/>
      <c r="AB296" s="680"/>
      <c r="AC296" s="680"/>
      <c r="AD296" s="680"/>
      <c r="AE296" s="680"/>
      <c r="AF296" s="680"/>
      <c r="AG296" s="680"/>
      <c r="AH296" s="680"/>
      <c r="AI296" s="680"/>
      <c r="AJ296" s="680"/>
      <c r="AK296" s="680"/>
      <c r="AL296" s="680"/>
      <c r="AM296" s="680"/>
      <c r="AN296" s="680"/>
      <c r="AO296" s="680"/>
      <c r="AP296" s="680"/>
      <c r="AQ296" s="680"/>
      <c r="AR296" s="680"/>
      <c r="AS296" s="680"/>
      <c r="AT296" s="680"/>
      <c r="AU296" s="680"/>
      <c r="AV296" s="680"/>
      <c r="AW296" s="680"/>
      <c r="AX296" s="680"/>
      <c r="AY296" s="680"/>
      <c r="AZ296" s="680"/>
      <c r="BA296" s="680"/>
      <c r="BB296" s="680"/>
    </row>
    <row r="297" spans="1:54" ht="12.75" customHeight="1">
      <c r="A297" s="634">
        <v>292</v>
      </c>
      <c r="B297" s="634"/>
      <c r="C297" s="679" t="s">
        <v>1173</v>
      </c>
      <c r="D297" s="679"/>
      <c r="E297" s="679"/>
      <c r="F297" s="679"/>
      <c r="G297" s="679"/>
      <c r="H297" s="679"/>
      <c r="I297" s="679"/>
      <c r="J297" s="679"/>
      <c r="K297" s="679"/>
      <c r="L297" s="679"/>
      <c r="M297" s="679"/>
      <c r="N297" s="679"/>
      <c r="O297" s="679"/>
      <c r="P297" s="679"/>
      <c r="Q297" s="679"/>
      <c r="R297" s="679"/>
      <c r="S297" s="679"/>
      <c r="T297" s="679"/>
      <c r="U297" s="679"/>
      <c r="V297" s="677" t="s">
        <v>1180</v>
      </c>
      <c r="W297" s="677"/>
      <c r="X297" s="677"/>
      <c r="Y297" s="680"/>
      <c r="Z297" s="680"/>
      <c r="AA297" s="680"/>
      <c r="AB297" s="680"/>
      <c r="AC297" s="680"/>
      <c r="AD297" s="680"/>
      <c r="AE297" s="680"/>
      <c r="AF297" s="680"/>
      <c r="AG297" s="680"/>
      <c r="AH297" s="680"/>
      <c r="AI297" s="680"/>
      <c r="AJ297" s="680"/>
      <c r="AK297" s="680"/>
      <c r="AL297" s="680"/>
      <c r="AM297" s="680"/>
      <c r="AN297" s="680"/>
      <c r="AO297" s="680"/>
      <c r="AP297" s="680"/>
      <c r="AQ297" s="680"/>
      <c r="AR297" s="680"/>
      <c r="AS297" s="680"/>
      <c r="AT297" s="680"/>
      <c r="AU297" s="680"/>
      <c r="AV297" s="680"/>
      <c r="AW297" s="680"/>
      <c r="AX297" s="680"/>
      <c r="AY297" s="680"/>
      <c r="AZ297" s="680"/>
      <c r="BA297" s="680"/>
      <c r="BB297" s="680"/>
    </row>
    <row r="298" spans="1:54" ht="12.75" customHeight="1">
      <c r="A298" s="634">
        <v>293</v>
      </c>
      <c r="B298" s="634"/>
      <c r="C298" s="679" t="s">
        <v>1174</v>
      </c>
      <c r="D298" s="679"/>
      <c r="E298" s="679"/>
      <c r="F298" s="679"/>
      <c r="G298" s="679"/>
      <c r="H298" s="679"/>
      <c r="I298" s="679"/>
      <c r="J298" s="679"/>
      <c r="K298" s="679"/>
      <c r="L298" s="679"/>
      <c r="M298" s="679"/>
      <c r="N298" s="679"/>
      <c r="O298" s="679"/>
      <c r="P298" s="679"/>
      <c r="Q298" s="679"/>
      <c r="R298" s="679"/>
      <c r="S298" s="679"/>
      <c r="T298" s="679"/>
      <c r="U298" s="679"/>
      <c r="V298" s="677" t="s">
        <v>1180</v>
      </c>
      <c r="W298" s="677"/>
      <c r="X298" s="677"/>
      <c r="Y298" s="680"/>
      <c r="Z298" s="680"/>
      <c r="AA298" s="680"/>
      <c r="AB298" s="680"/>
      <c r="AC298" s="680"/>
      <c r="AD298" s="680"/>
      <c r="AE298" s="680"/>
      <c r="AF298" s="680"/>
      <c r="AG298" s="680"/>
      <c r="AH298" s="680"/>
      <c r="AI298" s="680"/>
      <c r="AJ298" s="680"/>
      <c r="AK298" s="680"/>
      <c r="AL298" s="680"/>
      <c r="AM298" s="680"/>
      <c r="AN298" s="680"/>
      <c r="AO298" s="680"/>
      <c r="AP298" s="680"/>
      <c r="AQ298" s="680"/>
      <c r="AR298" s="680"/>
      <c r="AS298" s="680"/>
      <c r="AT298" s="680"/>
      <c r="AU298" s="680"/>
      <c r="AV298" s="680"/>
      <c r="AW298" s="680"/>
      <c r="AX298" s="680"/>
      <c r="AY298" s="680"/>
      <c r="AZ298" s="680"/>
      <c r="BA298" s="680"/>
      <c r="BB298" s="680"/>
    </row>
    <row r="299" spans="1:54" ht="12.75" customHeight="1">
      <c r="A299" s="634">
        <v>294</v>
      </c>
      <c r="B299" s="634"/>
      <c r="C299" s="679" t="s">
        <v>1181</v>
      </c>
      <c r="D299" s="679"/>
      <c r="E299" s="679"/>
      <c r="F299" s="679"/>
      <c r="G299" s="679"/>
      <c r="H299" s="679"/>
      <c r="I299" s="679"/>
      <c r="J299" s="679"/>
      <c r="K299" s="679"/>
      <c r="L299" s="679"/>
      <c r="M299" s="679"/>
      <c r="N299" s="679"/>
      <c r="O299" s="679"/>
      <c r="P299" s="679"/>
      <c r="Q299" s="679"/>
      <c r="R299" s="679"/>
      <c r="S299" s="679"/>
      <c r="T299" s="679"/>
      <c r="U299" s="679"/>
      <c r="V299" s="677" t="s">
        <v>1182</v>
      </c>
      <c r="W299" s="677"/>
      <c r="X299" s="677"/>
      <c r="Y299" s="678"/>
      <c r="Z299" s="678"/>
      <c r="AA299" s="678"/>
      <c r="AB299" s="678"/>
      <c r="AC299" s="678"/>
      <c r="AD299" s="678"/>
      <c r="AE299" s="678"/>
      <c r="AF299" s="678"/>
      <c r="AG299" s="678"/>
      <c r="AH299" s="678"/>
      <c r="AI299" s="678"/>
      <c r="AJ299" s="678"/>
      <c r="AK299" s="678"/>
      <c r="AL299" s="678"/>
      <c r="AM299" s="678"/>
      <c r="AN299" s="678"/>
      <c r="AO299" s="678"/>
      <c r="AP299" s="678"/>
      <c r="AQ299" s="678"/>
      <c r="AR299" s="678"/>
      <c r="AS299" s="678"/>
      <c r="AT299" s="678"/>
      <c r="AU299" s="678"/>
      <c r="AV299" s="678"/>
      <c r="AW299" s="678"/>
      <c r="AX299" s="678"/>
      <c r="AY299" s="678"/>
      <c r="AZ299" s="678"/>
      <c r="BA299" s="678"/>
      <c r="BB299" s="678"/>
    </row>
    <row r="300" spans="1:54" ht="12.75" customHeight="1">
      <c r="A300" s="634">
        <v>295</v>
      </c>
      <c r="B300" s="634"/>
      <c r="C300" s="679" t="s">
        <v>1183</v>
      </c>
      <c r="D300" s="679"/>
      <c r="E300" s="679"/>
      <c r="F300" s="679"/>
      <c r="G300" s="679"/>
      <c r="H300" s="679"/>
      <c r="I300" s="679"/>
      <c r="J300" s="679"/>
      <c r="K300" s="679"/>
      <c r="L300" s="679"/>
      <c r="M300" s="679"/>
      <c r="N300" s="679"/>
      <c r="O300" s="679"/>
      <c r="P300" s="679"/>
      <c r="Q300" s="679"/>
      <c r="R300" s="679"/>
      <c r="S300" s="679"/>
      <c r="T300" s="679"/>
      <c r="U300" s="679"/>
      <c r="V300" s="677" t="s">
        <v>1184</v>
      </c>
      <c r="W300" s="677"/>
      <c r="X300" s="677"/>
      <c r="Y300" s="678"/>
      <c r="Z300" s="678"/>
      <c r="AA300" s="678"/>
      <c r="AB300" s="678"/>
      <c r="AC300" s="678"/>
      <c r="AD300" s="678"/>
      <c r="AE300" s="678"/>
      <c r="AF300" s="678"/>
      <c r="AG300" s="678"/>
      <c r="AH300" s="678"/>
      <c r="AI300" s="678"/>
      <c r="AJ300" s="678"/>
      <c r="AK300" s="678"/>
      <c r="AL300" s="678"/>
      <c r="AM300" s="678"/>
      <c r="AN300" s="678"/>
      <c r="AO300" s="678"/>
      <c r="AP300" s="678"/>
      <c r="AQ300" s="678"/>
      <c r="AR300" s="678"/>
      <c r="AS300" s="678"/>
      <c r="AT300" s="678"/>
      <c r="AU300" s="678"/>
      <c r="AV300" s="678"/>
      <c r="AW300" s="678"/>
      <c r="AX300" s="678"/>
      <c r="AY300" s="678"/>
      <c r="AZ300" s="678"/>
      <c r="BA300" s="678"/>
      <c r="BB300" s="678"/>
    </row>
    <row r="301" spans="1:54" ht="12.75" customHeight="1">
      <c r="A301" s="634">
        <v>296</v>
      </c>
      <c r="B301" s="634"/>
      <c r="C301" s="679" t="s">
        <v>1164</v>
      </c>
      <c r="D301" s="679"/>
      <c r="E301" s="679"/>
      <c r="F301" s="679"/>
      <c r="G301" s="679"/>
      <c r="H301" s="679"/>
      <c r="I301" s="679"/>
      <c r="J301" s="679"/>
      <c r="K301" s="679"/>
      <c r="L301" s="679"/>
      <c r="M301" s="679"/>
      <c r="N301" s="679"/>
      <c r="O301" s="679"/>
      <c r="P301" s="679"/>
      <c r="Q301" s="679"/>
      <c r="R301" s="679"/>
      <c r="S301" s="679"/>
      <c r="T301" s="679"/>
      <c r="U301" s="679"/>
      <c r="V301" s="677" t="s">
        <v>1184</v>
      </c>
      <c r="W301" s="677"/>
      <c r="X301" s="677"/>
      <c r="Y301" s="680"/>
      <c r="Z301" s="680"/>
      <c r="AA301" s="680"/>
      <c r="AB301" s="680"/>
      <c r="AC301" s="680"/>
      <c r="AD301" s="680"/>
      <c r="AE301" s="680"/>
      <c r="AF301" s="680"/>
      <c r="AG301" s="680"/>
      <c r="AH301" s="680"/>
      <c r="AI301" s="680"/>
      <c r="AJ301" s="680"/>
      <c r="AK301" s="680"/>
      <c r="AL301" s="680"/>
      <c r="AM301" s="680"/>
      <c r="AN301" s="680"/>
      <c r="AO301" s="680"/>
      <c r="AP301" s="680"/>
      <c r="AQ301" s="680"/>
      <c r="AR301" s="680"/>
      <c r="AS301" s="680"/>
      <c r="AT301" s="680"/>
      <c r="AU301" s="680"/>
      <c r="AV301" s="680"/>
      <c r="AW301" s="680"/>
      <c r="AX301" s="680"/>
      <c r="AY301" s="680"/>
      <c r="AZ301" s="680"/>
      <c r="BA301" s="680"/>
      <c r="BB301" s="680"/>
    </row>
    <row r="302" spans="1:54" ht="25.5" customHeight="1">
      <c r="A302" s="675">
        <v>297</v>
      </c>
      <c r="B302" s="675"/>
      <c r="C302" s="682" t="s">
        <v>1185</v>
      </c>
      <c r="D302" s="682"/>
      <c r="E302" s="682"/>
      <c r="F302" s="682"/>
      <c r="G302" s="682"/>
      <c r="H302" s="682"/>
      <c r="I302" s="682"/>
      <c r="J302" s="682"/>
      <c r="K302" s="682"/>
      <c r="L302" s="682"/>
      <c r="M302" s="682"/>
      <c r="N302" s="682"/>
      <c r="O302" s="682"/>
      <c r="P302" s="682"/>
      <c r="Q302" s="682"/>
      <c r="R302" s="682"/>
      <c r="S302" s="682"/>
      <c r="T302" s="682"/>
      <c r="U302" s="682"/>
      <c r="V302" s="683" t="s">
        <v>1186</v>
      </c>
      <c r="W302" s="683"/>
      <c r="X302" s="683"/>
      <c r="Y302" s="684"/>
      <c r="Z302" s="684"/>
      <c r="AA302" s="684"/>
      <c r="AB302" s="685"/>
      <c r="AC302" s="685"/>
      <c r="AD302" s="685"/>
      <c r="AE302" s="684"/>
      <c r="AF302" s="684"/>
      <c r="AG302" s="684"/>
      <c r="AH302" s="685"/>
      <c r="AI302" s="685"/>
      <c r="AJ302" s="685"/>
      <c r="AK302" s="684"/>
      <c r="AL302" s="684"/>
      <c r="AM302" s="684"/>
      <c r="AN302" s="685"/>
      <c r="AO302" s="685"/>
      <c r="AP302" s="685"/>
      <c r="AQ302" s="684"/>
      <c r="AR302" s="684"/>
      <c r="AS302" s="684"/>
      <c r="AT302" s="685"/>
      <c r="AU302" s="685"/>
      <c r="AV302" s="685"/>
      <c r="AW302" s="684"/>
      <c r="AX302" s="684"/>
      <c r="AY302" s="684"/>
      <c r="AZ302" s="685"/>
      <c r="BA302" s="685"/>
      <c r="BB302" s="685"/>
    </row>
    <row r="303" spans="1:54" ht="12.75" customHeight="1">
      <c r="A303" s="634">
        <v>298</v>
      </c>
      <c r="B303" s="634"/>
      <c r="C303" s="686" t="s">
        <v>1187</v>
      </c>
      <c r="D303" s="686"/>
      <c r="E303" s="686"/>
      <c r="F303" s="686"/>
      <c r="G303" s="686"/>
      <c r="H303" s="686"/>
      <c r="I303" s="686"/>
      <c r="J303" s="686"/>
      <c r="K303" s="686"/>
      <c r="L303" s="686"/>
      <c r="M303" s="686"/>
      <c r="N303" s="686"/>
      <c r="O303" s="686"/>
      <c r="P303" s="686"/>
      <c r="Q303" s="686"/>
      <c r="R303" s="686"/>
      <c r="S303" s="686"/>
      <c r="T303" s="686"/>
      <c r="U303" s="686"/>
      <c r="V303" s="677" t="s">
        <v>1188</v>
      </c>
      <c r="W303" s="677"/>
      <c r="X303" s="677"/>
      <c r="Y303" s="678"/>
      <c r="Z303" s="678"/>
      <c r="AA303" s="678"/>
      <c r="AB303" s="678"/>
      <c r="AC303" s="678"/>
      <c r="AD303" s="678"/>
      <c r="AE303" s="678"/>
      <c r="AF303" s="678"/>
      <c r="AG303" s="678"/>
      <c r="AH303" s="678"/>
      <c r="AI303" s="678"/>
      <c r="AJ303" s="678"/>
      <c r="AK303" s="678"/>
      <c r="AL303" s="678"/>
      <c r="AM303" s="678"/>
      <c r="AN303" s="678"/>
      <c r="AO303" s="678"/>
      <c r="AP303" s="678"/>
      <c r="AQ303" s="678"/>
      <c r="AR303" s="678"/>
      <c r="AS303" s="678"/>
      <c r="AT303" s="678"/>
      <c r="AU303" s="678"/>
      <c r="AV303" s="678"/>
      <c r="AW303" s="678"/>
      <c r="AX303" s="678"/>
      <c r="AY303" s="678"/>
      <c r="AZ303" s="678"/>
      <c r="BA303" s="678"/>
      <c r="BB303" s="678"/>
    </row>
    <row r="304" spans="1:54" ht="12.75" customHeight="1">
      <c r="A304" s="634">
        <v>299</v>
      </c>
      <c r="B304" s="634"/>
      <c r="C304" s="686" t="s">
        <v>1189</v>
      </c>
      <c r="D304" s="686"/>
      <c r="E304" s="686"/>
      <c r="F304" s="686"/>
      <c r="G304" s="686"/>
      <c r="H304" s="686"/>
      <c r="I304" s="686"/>
      <c r="J304" s="686"/>
      <c r="K304" s="686"/>
      <c r="L304" s="686"/>
      <c r="M304" s="686"/>
      <c r="N304" s="686"/>
      <c r="O304" s="686"/>
      <c r="P304" s="686"/>
      <c r="Q304" s="686"/>
      <c r="R304" s="686"/>
      <c r="S304" s="686"/>
      <c r="T304" s="686"/>
      <c r="U304" s="686"/>
      <c r="V304" s="677" t="s">
        <v>1190</v>
      </c>
      <c r="W304" s="677"/>
      <c r="X304" s="677"/>
      <c r="Y304" s="678"/>
      <c r="Z304" s="678"/>
      <c r="AA304" s="678"/>
      <c r="AB304" s="678"/>
      <c r="AC304" s="678"/>
      <c r="AD304" s="678"/>
      <c r="AE304" s="678"/>
      <c r="AF304" s="678"/>
      <c r="AG304" s="678"/>
      <c r="AH304" s="678"/>
      <c r="AI304" s="678"/>
      <c r="AJ304" s="678"/>
      <c r="AK304" s="678"/>
      <c r="AL304" s="678"/>
      <c r="AM304" s="678"/>
      <c r="AN304" s="678"/>
      <c r="AO304" s="678"/>
      <c r="AP304" s="678"/>
      <c r="AQ304" s="678"/>
      <c r="AR304" s="678"/>
      <c r="AS304" s="678"/>
      <c r="AT304" s="678"/>
      <c r="AU304" s="678"/>
      <c r="AV304" s="678"/>
      <c r="AW304" s="678"/>
      <c r="AX304" s="678"/>
      <c r="AY304" s="678"/>
      <c r="AZ304" s="678"/>
      <c r="BA304" s="678"/>
      <c r="BB304" s="678"/>
    </row>
    <row r="305" spans="1:54" ht="12.75" customHeight="1">
      <c r="A305" s="634">
        <v>300</v>
      </c>
      <c r="B305" s="634"/>
      <c r="C305" s="686" t="s">
        <v>1191</v>
      </c>
      <c r="D305" s="686"/>
      <c r="E305" s="686"/>
      <c r="F305" s="686"/>
      <c r="G305" s="686"/>
      <c r="H305" s="686"/>
      <c r="I305" s="686"/>
      <c r="J305" s="686"/>
      <c r="K305" s="686"/>
      <c r="L305" s="686"/>
      <c r="M305" s="686"/>
      <c r="N305" s="686"/>
      <c r="O305" s="686"/>
      <c r="P305" s="686"/>
      <c r="Q305" s="686"/>
      <c r="R305" s="686"/>
      <c r="S305" s="686"/>
      <c r="T305" s="686"/>
      <c r="U305" s="686"/>
      <c r="V305" s="677" t="s">
        <v>1192</v>
      </c>
      <c r="W305" s="677"/>
      <c r="X305" s="677"/>
      <c r="Y305" s="678"/>
      <c r="Z305" s="678"/>
      <c r="AA305" s="678"/>
      <c r="AB305" s="678"/>
      <c r="AC305" s="678"/>
      <c r="AD305" s="678"/>
      <c r="AE305" s="678"/>
      <c r="AF305" s="678"/>
      <c r="AG305" s="678"/>
      <c r="AH305" s="678"/>
      <c r="AI305" s="678"/>
      <c r="AJ305" s="678"/>
      <c r="AK305" s="678"/>
      <c r="AL305" s="678"/>
      <c r="AM305" s="678"/>
      <c r="AN305" s="678"/>
      <c r="AO305" s="678"/>
      <c r="AP305" s="678"/>
      <c r="AQ305" s="678"/>
      <c r="AR305" s="678"/>
      <c r="AS305" s="678"/>
      <c r="AT305" s="678"/>
      <c r="AU305" s="678"/>
      <c r="AV305" s="678"/>
      <c r="AW305" s="678"/>
      <c r="AX305" s="678"/>
      <c r="AY305" s="678"/>
      <c r="AZ305" s="678"/>
      <c r="BA305" s="678"/>
      <c r="BB305" s="678"/>
    </row>
    <row r="306" spans="1:54" ht="12.75" customHeight="1">
      <c r="A306" s="634">
        <v>301</v>
      </c>
      <c r="B306" s="634"/>
      <c r="C306" s="686" t="s">
        <v>1193</v>
      </c>
      <c r="D306" s="686"/>
      <c r="E306" s="686"/>
      <c r="F306" s="686"/>
      <c r="G306" s="686"/>
      <c r="H306" s="686"/>
      <c r="I306" s="686"/>
      <c r="J306" s="686"/>
      <c r="K306" s="686"/>
      <c r="L306" s="686"/>
      <c r="M306" s="686"/>
      <c r="N306" s="686"/>
      <c r="O306" s="686"/>
      <c r="P306" s="686"/>
      <c r="Q306" s="686"/>
      <c r="R306" s="686"/>
      <c r="S306" s="686"/>
      <c r="T306" s="686"/>
      <c r="U306" s="686"/>
      <c r="V306" s="677" t="s">
        <v>1194</v>
      </c>
      <c r="W306" s="677"/>
      <c r="X306" s="677"/>
      <c r="Y306" s="678"/>
      <c r="Z306" s="678"/>
      <c r="AA306" s="678"/>
      <c r="AB306" s="678"/>
      <c r="AC306" s="678"/>
      <c r="AD306" s="678"/>
      <c r="AE306" s="678"/>
      <c r="AF306" s="678"/>
      <c r="AG306" s="678"/>
      <c r="AH306" s="678"/>
      <c r="AI306" s="678"/>
      <c r="AJ306" s="678"/>
      <c r="AK306" s="678"/>
      <c r="AL306" s="678"/>
      <c r="AM306" s="678"/>
      <c r="AN306" s="678"/>
      <c r="AO306" s="678"/>
      <c r="AP306" s="678"/>
      <c r="AQ306" s="678"/>
      <c r="AR306" s="678"/>
      <c r="AS306" s="678"/>
      <c r="AT306" s="678"/>
      <c r="AU306" s="678"/>
      <c r="AV306" s="678"/>
      <c r="AW306" s="678"/>
      <c r="AX306" s="678"/>
      <c r="AY306" s="678"/>
      <c r="AZ306" s="678"/>
      <c r="BA306" s="678"/>
      <c r="BB306" s="678"/>
    </row>
    <row r="307" spans="1:54" ht="12.75" customHeight="1">
      <c r="A307" s="634">
        <v>302</v>
      </c>
      <c r="B307" s="634"/>
      <c r="C307" s="686" t="s">
        <v>1195</v>
      </c>
      <c r="D307" s="686"/>
      <c r="E307" s="686"/>
      <c r="F307" s="686"/>
      <c r="G307" s="686"/>
      <c r="H307" s="686"/>
      <c r="I307" s="686"/>
      <c r="J307" s="686"/>
      <c r="K307" s="686"/>
      <c r="L307" s="686"/>
      <c r="M307" s="686"/>
      <c r="N307" s="686"/>
      <c r="O307" s="686"/>
      <c r="P307" s="686"/>
      <c r="Q307" s="686"/>
      <c r="R307" s="686"/>
      <c r="S307" s="686"/>
      <c r="T307" s="686"/>
      <c r="U307" s="686"/>
      <c r="V307" s="677" t="s">
        <v>1196</v>
      </c>
      <c r="W307" s="677"/>
      <c r="X307" s="677"/>
      <c r="Y307" s="678"/>
      <c r="Z307" s="678"/>
      <c r="AA307" s="678"/>
      <c r="AB307" s="678"/>
      <c r="AC307" s="678"/>
      <c r="AD307" s="678"/>
      <c r="AE307" s="678"/>
      <c r="AF307" s="678"/>
      <c r="AG307" s="678"/>
      <c r="AH307" s="678"/>
      <c r="AI307" s="678"/>
      <c r="AJ307" s="678"/>
      <c r="AK307" s="678"/>
      <c r="AL307" s="678"/>
      <c r="AM307" s="678"/>
      <c r="AN307" s="678"/>
      <c r="AO307" s="678"/>
      <c r="AP307" s="678"/>
      <c r="AQ307" s="678"/>
      <c r="AR307" s="678"/>
      <c r="AS307" s="678"/>
      <c r="AT307" s="678"/>
      <c r="AU307" s="678"/>
      <c r="AV307" s="678"/>
      <c r="AW307" s="678"/>
      <c r="AX307" s="678"/>
      <c r="AY307" s="678"/>
      <c r="AZ307" s="678"/>
      <c r="BA307" s="678"/>
      <c r="BB307" s="678"/>
    </row>
    <row r="308" spans="1:54" ht="12.75" customHeight="1">
      <c r="A308" s="634">
        <v>303</v>
      </c>
      <c r="B308" s="634"/>
      <c r="C308" s="686" t="s">
        <v>1197</v>
      </c>
      <c r="D308" s="686"/>
      <c r="E308" s="686"/>
      <c r="F308" s="686"/>
      <c r="G308" s="686"/>
      <c r="H308" s="686"/>
      <c r="I308" s="686"/>
      <c r="J308" s="686"/>
      <c r="K308" s="686"/>
      <c r="L308" s="686"/>
      <c r="M308" s="686"/>
      <c r="N308" s="686"/>
      <c r="O308" s="686"/>
      <c r="P308" s="686"/>
      <c r="Q308" s="686"/>
      <c r="R308" s="686"/>
      <c r="S308" s="686"/>
      <c r="T308" s="686"/>
      <c r="U308" s="686"/>
      <c r="V308" s="677" t="s">
        <v>1198</v>
      </c>
      <c r="W308" s="677"/>
      <c r="X308" s="677"/>
      <c r="Y308" s="678"/>
      <c r="Z308" s="678"/>
      <c r="AA308" s="678"/>
      <c r="AB308" s="678"/>
      <c r="AC308" s="678"/>
      <c r="AD308" s="678"/>
      <c r="AE308" s="678"/>
      <c r="AF308" s="678"/>
      <c r="AG308" s="678"/>
      <c r="AH308" s="678"/>
      <c r="AI308" s="678"/>
      <c r="AJ308" s="678"/>
      <c r="AK308" s="678"/>
      <c r="AL308" s="678"/>
      <c r="AM308" s="678"/>
      <c r="AN308" s="678"/>
      <c r="AO308" s="678"/>
      <c r="AP308" s="678"/>
      <c r="AQ308" s="678"/>
      <c r="AR308" s="678"/>
      <c r="AS308" s="678"/>
      <c r="AT308" s="678"/>
      <c r="AU308" s="678"/>
      <c r="AV308" s="678"/>
      <c r="AW308" s="678"/>
      <c r="AX308" s="678"/>
      <c r="AY308" s="678"/>
      <c r="AZ308" s="678"/>
      <c r="BA308" s="678"/>
      <c r="BB308" s="678"/>
    </row>
    <row r="309" spans="1:54" ht="12.75" customHeight="1">
      <c r="A309" s="634">
        <v>304</v>
      </c>
      <c r="B309" s="634"/>
      <c r="C309" s="686" t="s">
        <v>1199</v>
      </c>
      <c r="D309" s="686"/>
      <c r="E309" s="686"/>
      <c r="F309" s="686"/>
      <c r="G309" s="686"/>
      <c r="H309" s="686"/>
      <c r="I309" s="686"/>
      <c r="J309" s="686"/>
      <c r="K309" s="686"/>
      <c r="L309" s="686"/>
      <c r="M309" s="686"/>
      <c r="N309" s="686"/>
      <c r="O309" s="686"/>
      <c r="P309" s="686"/>
      <c r="Q309" s="686"/>
      <c r="R309" s="686"/>
      <c r="S309" s="686"/>
      <c r="T309" s="686"/>
      <c r="U309" s="686"/>
      <c r="V309" s="677" t="s">
        <v>1200</v>
      </c>
      <c r="W309" s="677"/>
      <c r="X309" s="677"/>
      <c r="Y309" s="678"/>
      <c r="Z309" s="678"/>
      <c r="AA309" s="678"/>
      <c r="AB309" s="678"/>
      <c r="AC309" s="678"/>
      <c r="AD309" s="678"/>
      <c r="AE309" s="678"/>
      <c r="AF309" s="678"/>
      <c r="AG309" s="678"/>
      <c r="AH309" s="678"/>
      <c r="AI309" s="678"/>
      <c r="AJ309" s="678"/>
      <c r="AK309" s="678"/>
      <c r="AL309" s="678"/>
      <c r="AM309" s="678"/>
      <c r="AN309" s="678"/>
      <c r="AO309" s="678"/>
      <c r="AP309" s="678"/>
      <c r="AQ309" s="678"/>
      <c r="AR309" s="678"/>
      <c r="AS309" s="678"/>
      <c r="AT309" s="678"/>
      <c r="AU309" s="678"/>
      <c r="AV309" s="678"/>
      <c r="AW309" s="678"/>
      <c r="AX309" s="678"/>
      <c r="AY309" s="678"/>
      <c r="AZ309" s="678"/>
      <c r="BA309" s="678"/>
      <c r="BB309" s="678"/>
    </row>
    <row r="310" spans="1:54" ht="12.75" customHeight="1">
      <c r="A310" s="634">
        <v>305</v>
      </c>
      <c r="B310" s="634"/>
      <c r="C310" s="686" t="s">
        <v>1201</v>
      </c>
      <c r="D310" s="686"/>
      <c r="E310" s="686"/>
      <c r="F310" s="686"/>
      <c r="G310" s="686"/>
      <c r="H310" s="686"/>
      <c r="I310" s="686"/>
      <c r="J310" s="686"/>
      <c r="K310" s="686"/>
      <c r="L310" s="686"/>
      <c r="M310" s="686"/>
      <c r="N310" s="686"/>
      <c r="O310" s="686"/>
      <c r="P310" s="686"/>
      <c r="Q310" s="686"/>
      <c r="R310" s="686"/>
      <c r="S310" s="686"/>
      <c r="T310" s="686"/>
      <c r="U310" s="686"/>
      <c r="V310" s="677" t="s">
        <v>1202</v>
      </c>
      <c r="W310" s="677"/>
      <c r="X310" s="677"/>
      <c r="Y310" s="678"/>
      <c r="Z310" s="678"/>
      <c r="AA310" s="678"/>
      <c r="AB310" s="678"/>
      <c r="AC310" s="678"/>
      <c r="AD310" s="678"/>
      <c r="AE310" s="678"/>
      <c r="AF310" s="678"/>
      <c r="AG310" s="678"/>
      <c r="AH310" s="678"/>
      <c r="AI310" s="678"/>
      <c r="AJ310" s="678"/>
      <c r="AK310" s="678"/>
      <c r="AL310" s="678"/>
      <c r="AM310" s="678"/>
      <c r="AN310" s="678"/>
      <c r="AO310" s="678"/>
      <c r="AP310" s="678"/>
      <c r="AQ310" s="678"/>
      <c r="AR310" s="678"/>
      <c r="AS310" s="678"/>
      <c r="AT310" s="678"/>
      <c r="AU310" s="678"/>
      <c r="AV310" s="678"/>
      <c r="AW310" s="678"/>
      <c r="AX310" s="678"/>
      <c r="AY310" s="678"/>
      <c r="AZ310" s="678"/>
      <c r="BA310" s="678"/>
      <c r="BB310" s="678"/>
    </row>
    <row r="311" spans="1:54" ht="12.75" customHeight="1">
      <c r="A311" s="675">
        <v>306</v>
      </c>
      <c r="B311" s="675"/>
      <c r="C311" s="687" t="s">
        <v>1203</v>
      </c>
      <c r="D311" s="687"/>
      <c r="E311" s="687"/>
      <c r="F311" s="687"/>
      <c r="G311" s="687"/>
      <c r="H311" s="687"/>
      <c r="I311" s="687"/>
      <c r="J311" s="687"/>
      <c r="K311" s="687"/>
      <c r="L311" s="687"/>
      <c r="M311" s="687"/>
      <c r="N311" s="687"/>
      <c r="O311" s="687"/>
      <c r="P311" s="687"/>
      <c r="Q311" s="687"/>
      <c r="R311" s="687"/>
      <c r="S311" s="687"/>
      <c r="T311" s="687"/>
      <c r="U311" s="687"/>
      <c r="V311" s="683" t="s">
        <v>1204</v>
      </c>
      <c r="W311" s="683"/>
      <c r="X311" s="683"/>
      <c r="Y311" s="684"/>
      <c r="Z311" s="684"/>
      <c r="AA311" s="684"/>
      <c r="AB311" s="685"/>
      <c r="AC311" s="685"/>
      <c r="AD311" s="685"/>
      <c r="AE311" s="684"/>
      <c r="AF311" s="684"/>
      <c r="AG311" s="684"/>
      <c r="AH311" s="685"/>
      <c r="AI311" s="685"/>
      <c r="AJ311" s="685"/>
      <c r="AK311" s="684"/>
      <c r="AL311" s="684"/>
      <c r="AM311" s="684"/>
      <c r="AN311" s="685"/>
      <c r="AO311" s="685"/>
      <c r="AP311" s="685"/>
      <c r="AQ311" s="684"/>
      <c r="AR311" s="684"/>
      <c r="AS311" s="684"/>
      <c r="AT311" s="685"/>
      <c r="AU311" s="685"/>
      <c r="AV311" s="685"/>
      <c r="AW311" s="684"/>
      <c r="AX311" s="684"/>
      <c r="AY311" s="684"/>
      <c r="AZ311" s="685"/>
      <c r="BA311" s="685"/>
      <c r="BB311" s="685"/>
    </row>
    <row r="312" spans="1:54" ht="12.75" customHeight="1">
      <c r="A312" s="675">
        <v>307</v>
      </c>
      <c r="B312" s="675"/>
      <c r="C312" s="687" t="s">
        <v>1205</v>
      </c>
      <c r="D312" s="687"/>
      <c r="E312" s="687"/>
      <c r="F312" s="687"/>
      <c r="G312" s="687"/>
      <c r="H312" s="687"/>
      <c r="I312" s="687"/>
      <c r="J312" s="687"/>
      <c r="K312" s="687"/>
      <c r="L312" s="687"/>
      <c r="M312" s="687"/>
      <c r="N312" s="687"/>
      <c r="O312" s="687"/>
      <c r="P312" s="687"/>
      <c r="Q312" s="687"/>
      <c r="R312" s="687"/>
      <c r="S312" s="687"/>
      <c r="T312" s="687"/>
      <c r="U312" s="687"/>
      <c r="V312" s="683" t="s">
        <v>1206</v>
      </c>
      <c r="W312" s="683"/>
      <c r="X312" s="683"/>
      <c r="Y312" s="684"/>
      <c r="Z312" s="684"/>
      <c r="AA312" s="684"/>
      <c r="AB312" s="685"/>
      <c r="AC312" s="685"/>
      <c r="AD312" s="685"/>
      <c r="AE312" s="684"/>
      <c r="AF312" s="684"/>
      <c r="AG312" s="684"/>
      <c r="AH312" s="685"/>
      <c r="AI312" s="685"/>
      <c r="AJ312" s="685"/>
      <c r="AK312" s="684"/>
      <c r="AL312" s="684"/>
      <c r="AM312" s="684"/>
      <c r="AN312" s="685"/>
      <c r="AO312" s="685"/>
      <c r="AP312" s="685"/>
      <c r="AQ312" s="684"/>
      <c r="AR312" s="684"/>
      <c r="AS312" s="684"/>
      <c r="AT312" s="685"/>
      <c r="AU312" s="685"/>
      <c r="AV312" s="685"/>
      <c r="AW312" s="684"/>
      <c r="AX312" s="684"/>
      <c r="AY312" s="684"/>
      <c r="AZ312" s="685"/>
      <c r="BA312" s="685"/>
      <c r="BB312" s="685"/>
    </row>
    <row r="313" spans="1:54" ht="12.75" customHeight="1">
      <c r="A313" s="634">
        <v>308</v>
      </c>
      <c r="B313" s="634"/>
      <c r="C313" s="686" t="s">
        <v>1207</v>
      </c>
      <c r="D313" s="686"/>
      <c r="E313" s="686"/>
      <c r="F313" s="686"/>
      <c r="G313" s="686"/>
      <c r="H313" s="686"/>
      <c r="I313" s="686"/>
      <c r="J313" s="686"/>
      <c r="K313" s="686"/>
      <c r="L313" s="686"/>
      <c r="M313" s="686"/>
      <c r="N313" s="686"/>
      <c r="O313" s="686"/>
      <c r="P313" s="686"/>
      <c r="Q313" s="686"/>
      <c r="R313" s="686"/>
      <c r="S313" s="686"/>
      <c r="T313" s="686"/>
      <c r="U313" s="686"/>
      <c r="V313" s="677" t="s">
        <v>1208</v>
      </c>
      <c r="W313" s="677"/>
      <c r="X313" s="677"/>
      <c r="Y313" s="678"/>
      <c r="Z313" s="678"/>
      <c r="AA313" s="678"/>
      <c r="AB313" s="678"/>
      <c r="AC313" s="678"/>
      <c r="AD313" s="678"/>
      <c r="AE313" s="678"/>
      <c r="AF313" s="678"/>
      <c r="AG313" s="678"/>
      <c r="AH313" s="678"/>
      <c r="AI313" s="678"/>
      <c r="AJ313" s="678"/>
      <c r="AK313" s="678"/>
      <c r="AL313" s="678"/>
      <c r="AM313" s="678"/>
      <c r="AN313" s="678"/>
      <c r="AO313" s="678"/>
      <c r="AP313" s="678"/>
      <c r="AQ313" s="678"/>
      <c r="AR313" s="678"/>
      <c r="AS313" s="678"/>
      <c r="AT313" s="678"/>
      <c r="AU313" s="678"/>
      <c r="AV313" s="678"/>
      <c r="AW313" s="678"/>
      <c r="AX313" s="678"/>
      <c r="AY313" s="678"/>
      <c r="AZ313" s="678"/>
      <c r="BA313" s="678"/>
      <c r="BB313" s="678"/>
    </row>
    <row r="314" spans="1:54" ht="12.75" customHeight="1">
      <c r="A314" s="634">
        <v>309</v>
      </c>
      <c r="B314" s="634"/>
      <c r="C314" s="676" t="s">
        <v>1209</v>
      </c>
      <c r="D314" s="676"/>
      <c r="E314" s="676"/>
      <c r="F314" s="676"/>
      <c r="G314" s="676"/>
      <c r="H314" s="676"/>
      <c r="I314" s="676"/>
      <c r="J314" s="676"/>
      <c r="K314" s="676"/>
      <c r="L314" s="676"/>
      <c r="M314" s="676"/>
      <c r="N314" s="676"/>
      <c r="O314" s="676"/>
      <c r="P314" s="676"/>
      <c r="Q314" s="676"/>
      <c r="R314" s="676"/>
      <c r="S314" s="676"/>
      <c r="T314" s="676"/>
      <c r="U314" s="676"/>
      <c r="V314" s="677" t="s">
        <v>1210</v>
      </c>
      <c r="W314" s="677"/>
      <c r="X314" s="677"/>
      <c r="Y314" s="678"/>
      <c r="Z314" s="678"/>
      <c r="AA314" s="678"/>
      <c r="AB314" s="678"/>
      <c r="AC314" s="678"/>
      <c r="AD314" s="678"/>
      <c r="AE314" s="678"/>
      <c r="AF314" s="678"/>
      <c r="AG314" s="678"/>
      <c r="AH314" s="678"/>
      <c r="AI314" s="678"/>
      <c r="AJ314" s="678"/>
      <c r="AK314" s="678"/>
      <c r="AL314" s="678"/>
      <c r="AM314" s="678"/>
      <c r="AN314" s="678"/>
      <c r="AO314" s="678"/>
      <c r="AP314" s="678"/>
      <c r="AQ314" s="678"/>
      <c r="AR314" s="678"/>
      <c r="AS314" s="678"/>
      <c r="AT314" s="678"/>
      <c r="AU314" s="678"/>
      <c r="AV314" s="678"/>
      <c r="AW314" s="678"/>
      <c r="AX314" s="678"/>
      <c r="AY314" s="678"/>
      <c r="AZ314" s="678"/>
      <c r="BA314" s="678"/>
      <c r="BB314" s="678"/>
    </row>
    <row r="315" spans="1:54" ht="12.75" customHeight="1">
      <c r="A315" s="634">
        <v>310</v>
      </c>
      <c r="B315" s="634"/>
      <c r="C315" s="686" t="s">
        <v>1211</v>
      </c>
      <c r="D315" s="686"/>
      <c r="E315" s="686"/>
      <c r="F315" s="686"/>
      <c r="G315" s="686"/>
      <c r="H315" s="686"/>
      <c r="I315" s="686"/>
      <c r="J315" s="686"/>
      <c r="K315" s="686"/>
      <c r="L315" s="686"/>
      <c r="M315" s="686"/>
      <c r="N315" s="686"/>
      <c r="O315" s="686"/>
      <c r="P315" s="686"/>
      <c r="Q315" s="686"/>
      <c r="R315" s="686"/>
      <c r="S315" s="686"/>
      <c r="T315" s="686"/>
      <c r="U315" s="686"/>
      <c r="V315" s="677" t="s">
        <v>1212</v>
      </c>
      <c r="W315" s="677"/>
      <c r="X315" s="677"/>
      <c r="Y315" s="678"/>
      <c r="Z315" s="678"/>
      <c r="AA315" s="678"/>
      <c r="AB315" s="678"/>
      <c r="AC315" s="678"/>
      <c r="AD315" s="678"/>
      <c r="AE315" s="678"/>
      <c r="AF315" s="678"/>
      <c r="AG315" s="678"/>
      <c r="AH315" s="678"/>
      <c r="AI315" s="678"/>
      <c r="AJ315" s="678"/>
      <c r="AK315" s="678"/>
      <c r="AL315" s="678"/>
      <c r="AM315" s="678"/>
      <c r="AN315" s="678"/>
      <c r="AO315" s="678"/>
      <c r="AP315" s="678"/>
      <c r="AQ315" s="678"/>
      <c r="AR315" s="678"/>
      <c r="AS315" s="678"/>
      <c r="AT315" s="678"/>
      <c r="AU315" s="678"/>
      <c r="AV315" s="678"/>
      <c r="AW315" s="678"/>
      <c r="AX315" s="678"/>
      <c r="AY315" s="678"/>
      <c r="AZ315" s="678"/>
      <c r="BA315" s="678"/>
      <c r="BB315" s="678"/>
    </row>
    <row r="316" spans="1:54" ht="12.75" customHeight="1">
      <c r="A316" s="634">
        <v>311</v>
      </c>
      <c r="B316" s="634"/>
      <c r="C316" s="679" t="s">
        <v>1164</v>
      </c>
      <c r="D316" s="679"/>
      <c r="E316" s="679"/>
      <c r="F316" s="679"/>
      <c r="G316" s="679"/>
      <c r="H316" s="679"/>
      <c r="I316" s="679"/>
      <c r="J316" s="679"/>
      <c r="K316" s="679"/>
      <c r="L316" s="679"/>
      <c r="M316" s="679"/>
      <c r="N316" s="679"/>
      <c r="O316" s="679"/>
      <c r="P316" s="679"/>
      <c r="Q316" s="679"/>
      <c r="R316" s="679"/>
      <c r="S316" s="679"/>
      <c r="T316" s="679"/>
      <c r="U316" s="679"/>
      <c r="V316" s="677" t="s">
        <v>1212</v>
      </c>
      <c r="W316" s="677"/>
      <c r="X316" s="677"/>
      <c r="Y316" s="680"/>
      <c r="Z316" s="680"/>
      <c r="AA316" s="680"/>
      <c r="AB316" s="680"/>
      <c r="AC316" s="680"/>
      <c r="AD316" s="680"/>
      <c r="AE316" s="680"/>
      <c r="AF316" s="680"/>
      <c r="AG316" s="680"/>
      <c r="AH316" s="680"/>
      <c r="AI316" s="680"/>
      <c r="AJ316" s="680"/>
      <c r="AK316" s="680"/>
      <c r="AL316" s="680"/>
      <c r="AM316" s="680"/>
      <c r="AN316" s="680"/>
      <c r="AO316" s="680"/>
      <c r="AP316" s="680"/>
      <c r="AQ316" s="680"/>
      <c r="AR316" s="680"/>
      <c r="AS316" s="680"/>
      <c r="AT316" s="680"/>
      <c r="AU316" s="680"/>
      <c r="AV316" s="680"/>
      <c r="AW316" s="680"/>
      <c r="AX316" s="680"/>
      <c r="AY316" s="680"/>
      <c r="AZ316" s="680"/>
      <c r="BA316" s="680"/>
      <c r="BB316" s="680"/>
    </row>
    <row r="317" spans="1:54" ht="25.5" customHeight="1">
      <c r="A317" s="634">
        <v>312</v>
      </c>
      <c r="B317" s="634"/>
      <c r="C317" s="676" t="s">
        <v>1213</v>
      </c>
      <c r="D317" s="676"/>
      <c r="E317" s="676"/>
      <c r="F317" s="676"/>
      <c r="G317" s="676"/>
      <c r="H317" s="676"/>
      <c r="I317" s="676"/>
      <c r="J317" s="676"/>
      <c r="K317" s="676"/>
      <c r="L317" s="676"/>
      <c r="M317" s="676"/>
      <c r="N317" s="676"/>
      <c r="O317" s="676"/>
      <c r="P317" s="676"/>
      <c r="Q317" s="676"/>
      <c r="R317" s="676"/>
      <c r="S317" s="676"/>
      <c r="T317" s="676"/>
      <c r="U317" s="676"/>
      <c r="V317" s="677" t="s">
        <v>1214</v>
      </c>
      <c r="W317" s="677"/>
      <c r="X317" s="677"/>
      <c r="Y317" s="678"/>
      <c r="Z317" s="678"/>
      <c r="AA317" s="678"/>
      <c r="AB317" s="678"/>
      <c r="AC317" s="678"/>
      <c r="AD317" s="678"/>
      <c r="AE317" s="678"/>
      <c r="AF317" s="678"/>
      <c r="AG317" s="678"/>
      <c r="AH317" s="678"/>
      <c r="AI317" s="678"/>
      <c r="AJ317" s="678"/>
      <c r="AK317" s="678"/>
      <c r="AL317" s="678"/>
      <c r="AM317" s="678"/>
      <c r="AN317" s="678"/>
      <c r="AO317" s="678"/>
      <c r="AP317" s="678"/>
      <c r="AQ317" s="678"/>
      <c r="AR317" s="678"/>
      <c r="AS317" s="678"/>
      <c r="AT317" s="678"/>
      <c r="AU317" s="678"/>
      <c r="AV317" s="678"/>
      <c r="AW317" s="678"/>
      <c r="AX317" s="678"/>
      <c r="AY317" s="678"/>
      <c r="AZ317" s="678"/>
      <c r="BA317" s="678"/>
      <c r="BB317" s="678"/>
    </row>
    <row r="318" spans="1:54" ht="25.5" customHeight="1">
      <c r="A318" s="634">
        <v>313</v>
      </c>
      <c r="B318" s="634"/>
      <c r="C318" s="679" t="s">
        <v>1215</v>
      </c>
      <c r="D318" s="679"/>
      <c r="E318" s="679"/>
      <c r="F318" s="679"/>
      <c r="G318" s="679"/>
      <c r="H318" s="679"/>
      <c r="I318" s="679"/>
      <c r="J318" s="679"/>
      <c r="K318" s="679"/>
      <c r="L318" s="679"/>
      <c r="M318" s="679"/>
      <c r="N318" s="679"/>
      <c r="O318" s="679"/>
      <c r="P318" s="679"/>
      <c r="Q318" s="679"/>
      <c r="R318" s="679"/>
      <c r="S318" s="679"/>
      <c r="T318" s="679"/>
      <c r="U318" s="679"/>
      <c r="V318" s="677" t="s">
        <v>1216</v>
      </c>
      <c r="W318" s="677"/>
      <c r="X318" s="677"/>
      <c r="Y318" s="678"/>
      <c r="Z318" s="678"/>
      <c r="AA318" s="678"/>
      <c r="AB318" s="678"/>
      <c r="AC318" s="678"/>
      <c r="AD318" s="678"/>
      <c r="AE318" s="678"/>
      <c r="AF318" s="678"/>
      <c r="AG318" s="678"/>
      <c r="AH318" s="678"/>
      <c r="AI318" s="678"/>
      <c r="AJ318" s="678"/>
      <c r="AK318" s="678"/>
      <c r="AL318" s="678"/>
      <c r="AM318" s="678"/>
      <c r="AN318" s="678"/>
      <c r="AO318" s="678"/>
      <c r="AP318" s="678"/>
      <c r="AQ318" s="678"/>
      <c r="AR318" s="678"/>
      <c r="AS318" s="678"/>
      <c r="AT318" s="678"/>
      <c r="AU318" s="678"/>
      <c r="AV318" s="678"/>
      <c r="AW318" s="678"/>
      <c r="AX318" s="678"/>
      <c r="AY318" s="678"/>
      <c r="AZ318" s="678"/>
      <c r="BA318" s="678"/>
      <c r="BB318" s="678"/>
    </row>
    <row r="319" spans="1:54" ht="12.75" customHeight="1">
      <c r="A319" s="634">
        <v>314</v>
      </c>
      <c r="B319" s="634"/>
      <c r="C319" s="679" t="s">
        <v>1164</v>
      </c>
      <c r="D319" s="679"/>
      <c r="E319" s="679"/>
      <c r="F319" s="679"/>
      <c r="G319" s="679"/>
      <c r="H319" s="679"/>
      <c r="I319" s="679"/>
      <c r="J319" s="679"/>
      <c r="K319" s="679"/>
      <c r="L319" s="679"/>
      <c r="M319" s="679"/>
      <c r="N319" s="679"/>
      <c r="O319" s="679"/>
      <c r="P319" s="679"/>
      <c r="Q319" s="679"/>
      <c r="R319" s="679"/>
      <c r="S319" s="679"/>
      <c r="T319" s="679"/>
      <c r="U319" s="679"/>
      <c r="V319" s="677" t="s">
        <v>1216</v>
      </c>
      <c r="W319" s="677"/>
      <c r="X319" s="677"/>
      <c r="Y319" s="680"/>
      <c r="Z319" s="680"/>
      <c r="AA319" s="680"/>
      <c r="AB319" s="680"/>
      <c r="AC319" s="680"/>
      <c r="AD319" s="680"/>
      <c r="AE319" s="680"/>
      <c r="AF319" s="680"/>
      <c r="AG319" s="680"/>
      <c r="AH319" s="680"/>
      <c r="AI319" s="680"/>
      <c r="AJ319" s="680"/>
      <c r="AK319" s="680"/>
      <c r="AL319" s="680"/>
      <c r="AM319" s="680"/>
      <c r="AN319" s="680"/>
      <c r="AO319" s="680"/>
      <c r="AP319" s="680"/>
      <c r="AQ319" s="680"/>
      <c r="AR319" s="680"/>
      <c r="AS319" s="680"/>
      <c r="AT319" s="680"/>
      <c r="AU319" s="680"/>
      <c r="AV319" s="680"/>
      <c r="AW319" s="680"/>
      <c r="AX319" s="680"/>
      <c r="AY319" s="680"/>
      <c r="AZ319" s="680"/>
      <c r="BA319" s="680"/>
      <c r="BB319" s="680"/>
    </row>
    <row r="320" spans="1:54" ht="25.5" customHeight="1">
      <c r="A320" s="675">
        <v>315</v>
      </c>
      <c r="B320" s="675"/>
      <c r="C320" s="682" t="s">
        <v>1217</v>
      </c>
      <c r="D320" s="682"/>
      <c r="E320" s="682"/>
      <c r="F320" s="682"/>
      <c r="G320" s="682"/>
      <c r="H320" s="682"/>
      <c r="I320" s="682"/>
      <c r="J320" s="682"/>
      <c r="K320" s="682"/>
      <c r="L320" s="682"/>
      <c r="M320" s="682"/>
      <c r="N320" s="682"/>
      <c r="O320" s="682"/>
      <c r="P320" s="682"/>
      <c r="Q320" s="682"/>
      <c r="R320" s="682"/>
      <c r="S320" s="682"/>
      <c r="T320" s="682"/>
      <c r="U320" s="682"/>
      <c r="V320" s="683" t="s">
        <v>1218</v>
      </c>
      <c r="W320" s="683"/>
      <c r="X320" s="683"/>
      <c r="Y320" s="684"/>
      <c r="Z320" s="684"/>
      <c r="AA320" s="684"/>
      <c r="AB320" s="685"/>
      <c r="AC320" s="685"/>
      <c r="AD320" s="685"/>
      <c r="AE320" s="684"/>
      <c r="AF320" s="684"/>
      <c r="AG320" s="684"/>
      <c r="AH320" s="685"/>
      <c r="AI320" s="685"/>
      <c r="AJ320" s="685"/>
      <c r="AK320" s="684"/>
      <c r="AL320" s="684"/>
      <c r="AM320" s="684"/>
      <c r="AN320" s="685"/>
      <c r="AO320" s="685"/>
      <c r="AP320" s="685"/>
      <c r="AQ320" s="684"/>
      <c r="AR320" s="684"/>
      <c r="AS320" s="684"/>
      <c r="AT320" s="685"/>
      <c r="AU320" s="685"/>
      <c r="AV320" s="685"/>
      <c r="AW320" s="684"/>
      <c r="AX320" s="684"/>
      <c r="AY320" s="684"/>
      <c r="AZ320" s="685"/>
      <c r="BA320" s="685"/>
      <c r="BB320" s="685"/>
    </row>
    <row r="321" spans="1:54" ht="12.75" customHeight="1">
      <c r="A321" s="634">
        <v>316</v>
      </c>
      <c r="B321" s="634"/>
      <c r="C321" s="679" t="s">
        <v>1219</v>
      </c>
      <c r="D321" s="679"/>
      <c r="E321" s="679"/>
      <c r="F321" s="679"/>
      <c r="G321" s="679"/>
      <c r="H321" s="679"/>
      <c r="I321" s="679"/>
      <c r="J321" s="679"/>
      <c r="K321" s="679"/>
      <c r="L321" s="679"/>
      <c r="M321" s="679"/>
      <c r="N321" s="679"/>
      <c r="O321" s="679"/>
      <c r="P321" s="679"/>
      <c r="Q321" s="679"/>
      <c r="R321" s="679"/>
      <c r="S321" s="679"/>
      <c r="T321" s="679"/>
      <c r="U321" s="679"/>
      <c r="V321" s="677" t="s">
        <v>1220</v>
      </c>
      <c r="W321" s="677"/>
      <c r="X321" s="677"/>
      <c r="Y321" s="678"/>
      <c r="Z321" s="678"/>
      <c r="AA321" s="678"/>
      <c r="AB321" s="678"/>
      <c r="AC321" s="678"/>
      <c r="AD321" s="678"/>
      <c r="AE321" s="678"/>
      <c r="AF321" s="678"/>
      <c r="AG321" s="678"/>
      <c r="AH321" s="678"/>
      <c r="AI321" s="678"/>
      <c r="AJ321" s="678"/>
      <c r="AK321" s="678"/>
      <c r="AL321" s="678"/>
      <c r="AM321" s="678"/>
      <c r="AN321" s="678"/>
      <c r="AO321" s="678"/>
      <c r="AP321" s="678"/>
      <c r="AQ321" s="678"/>
      <c r="AR321" s="678"/>
      <c r="AS321" s="678"/>
      <c r="AT321" s="678"/>
      <c r="AU321" s="678"/>
      <c r="AV321" s="678"/>
      <c r="AW321" s="678"/>
      <c r="AX321" s="678"/>
      <c r="AY321" s="678"/>
      <c r="AZ321" s="678"/>
      <c r="BA321" s="678"/>
      <c r="BB321" s="678"/>
    </row>
    <row r="322" spans="1:54" ht="13.5" customHeight="1">
      <c r="A322" s="634">
        <v>317</v>
      </c>
      <c r="B322" s="634"/>
      <c r="C322" s="679" t="s">
        <v>1221</v>
      </c>
      <c r="D322" s="679"/>
      <c r="E322" s="679"/>
      <c r="F322" s="679"/>
      <c r="G322" s="679"/>
      <c r="H322" s="679"/>
      <c r="I322" s="679"/>
      <c r="J322" s="679"/>
      <c r="K322" s="679"/>
      <c r="L322" s="679"/>
      <c r="M322" s="679"/>
      <c r="N322" s="679"/>
      <c r="O322" s="679"/>
      <c r="P322" s="679"/>
      <c r="Q322" s="679"/>
      <c r="R322" s="679"/>
      <c r="S322" s="679"/>
      <c r="T322" s="679"/>
      <c r="U322" s="679"/>
      <c r="V322" s="677" t="s">
        <v>1222</v>
      </c>
      <c r="W322" s="677"/>
      <c r="X322" s="677"/>
      <c r="Y322" s="678"/>
      <c r="Z322" s="678"/>
      <c r="AA322" s="678"/>
      <c r="AB322" s="678"/>
      <c r="AC322" s="678"/>
      <c r="AD322" s="678"/>
      <c r="AE322" s="678"/>
      <c r="AF322" s="678"/>
      <c r="AG322" s="678"/>
      <c r="AH322" s="678"/>
      <c r="AI322" s="678"/>
      <c r="AJ322" s="678"/>
      <c r="AK322" s="678"/>
      <c r="AL322" s="678"/>
      <c r="AM322" s="678"/>
      <c r="AN322" s="678"/>
      <c r="AO322" s="678"/>
      <c r="AP322" s="678"/>
      <c r="AQ322" s="678"/>
      <c r="AR322" s="678"/>
      <c r="AS322" s="678"/>
      <c r="AT322" s="678"/>
      <c r="AU322" s="678"/>
      <c r="AV322" s="678"/>
      <c r="AW322" s="678"/>
      <c r="AX322" s="678"/>
      <c r="AY322" s="678"/>
      <c r="AZ322" s="678"/>
      <c r="BA322" s="678"/>
      <c r="BB322" s="678"/>
    </row>
    <row r="323" spans="1:54" ht="12.75" customHeight="1">
      <c r="A323" s="675">
        <v>318</v>
      </c>
      <c r="B323" s="675"/>
      <c r="C323" s="687" t="s">
        <v>1223</v>
      </c>
      <c r="D323" s="687"/>
      <c r="E323" s="687"/>
      <c r="F323" s="687"/>
      <c r="G323" s="687"/>
      <c r="H323" s="687"/>
      <c r="I323" s="687"/>
      <c r="J323" s="687"/>
      <c r="K323" s="687"/>
      <c r="L323" s="687"/>
      <c r="M323" s="687"/>
      <c r="N323" s="687"/>
      <c r="O323" s="687"/>
      <c r="P323" s="687"/>
      <c r="Q323" s="687"/>
      <c r="R323" s="687"/>
      <c r="S323" s="687"/>
      <c r="T323" s="687"/>
      <c r="U323" s="687"/>
      <c r="V323" s="683" t="s">
        <v>1224</v>
      </c>
      <c r="W323" s="683"/>
      <c r="X323" s="683"/>
      <c r="Y323" s="684"/>
      <c r="Z323" s="684"/>
      <c r="AA323" s="684"/>
      <c r="AB323" s="685"/>
      <c r="AC323" s="685"/>
      <c r="AD323" s="685"/>
      <c r="AE323" s="684"/>
      <c r="AF323" s="684"/>
      <c r="AG323" s="684"/>
      <c r="AH323" s="685"/>
      <c r="AI323" s="685"/>
      <c r="AJ323" s="685"/>
      <c r="AK323" s="684"/>
      <c r="AL323" s="684"/>
      <c r="AM323" s="684"/>
      <c r="AN323" s="685"/>
      <c r="AO323" s="685"/>
      <c r="AP323" s="685"/>
      <c r="AQ323" s="684"/>
      <c r="AR323" s="684"/>
      <c r="AS323" s="684"/>
      <c r="AT323" s="685"/>
      <c r="AU323" s="685"/>
      <c r="AV323" s="685"/>
      <c r="AW323" s="684"/>
      <c r="AX323" s="684"/>
      <c r="AY323" s="684"/>
      <c r="AZ323" s="685"/>
      <c r="BA323" s="685"/>
      <c r="BB323" s="685"/>
    </row>
    <row r="324" spans="1:54" ht="12.75" customHeight="1">
      <c r="A324" s="675">
        <v>319</v>
      </c>
      <c r="B324" s="675"/>
      <c r="C324" s="688" t="s">
        <v>1225</v>
      </c>
      <c r="D324" s="688"/>
      <c r="E324" s="688"/>
      <c r="F324" s="688"/>
      <c r="G324" s="688"/>
      <c r="H324" s="688"/>
      <c r="I324" s="688"/>
      <c r="J324" s="688"/>
      <c r="K324" s="688"/>
      <c r="L324" s="688"/>
      <c r="M324" s="688"/>
      <c r="N324" s="688"/>
      <c r="O324" s="688"/>
      <c r="P324" s="688"/>
      <c r="Q324" s="688"/>
      <c r="R324" s="688"/>
      <c r="S324" s="688"/>
      <c r="T324" s="688"/>
      <c r="U324" s="688"/>
      <c r="V324" s="688" t="s">
        <v>1226</v>
      </c>
      <c r="W324" s="688"/>
      <c r="X324" s="688"/>
      <c r="Y324" s="646"/>
      <c r="Z324" s="646"/>
      <c r="AA324" s="646"/>
      <c r="AB324" s="647"/>
      <c r="AC324" s="689"/>
      <c r="AD324" s="689"/>
      <c r="AE324" s="646"/>
      <c r="AF324" s="646"/>
      <c r="AG324" s="646"/>
      <c r="AH324" s="647"/>
      <c r="AI324" s="689"/>
      <c r="AJ324" s="689"/>
      <c r="AK324" s="646"/>
      <c r="AL324" s="646"/>
      <c r="AM324" s="646"/>
      <c r="AN324" s="647"/>
      <c r="AO324" s="689"/>
      <c r="AP324" s="689"/>
      <c r="AQ324" s="646"/>
      <c r="AR324" s="646"/>
      <c r="AS324" s="646"/>
      <c r="AT324" s="647"/>
      <c r="AU324" s="689"/>
      <c r="AV324" s="689"/>
      <c r="AW324" s="646"/>
      <c r="AX324" s="646"/>
      <c r="AY324" s="646"/>
      <c r="AZ324" s="647"/>
      <c r="BA324" s="689"/>
      <c r="BB324" s="689"/>
    </row>
    <row r="325" spans="1:54" ht="25.5" customHeight="1">
      <c r="A325" s="675">
        <v>320</v>
      </c>
      <c r="B325" s="675"/>
      <c r="C325" s="688" t="s">
        <v>1227</v>
      </c>
      <c r="D325" s="688"/>
      <c r="E325" s="688"/>
      <c r="F325" s="688"/>
      <c r="G325" s="688"/>
      <c r="H325" s="688"/>
      <c r="I325" s="688"/>
      <c r="J325" s="688"/>
      <c r="K325" s="688"/>
      <c r="L325" s="688"/>
      <c r="M325" s="688"/>
      <c r="N325" s="688"/>
      <c r="O325" s="688"/>
      <c r="P325" s="688"/>
      <c r="Q325" s="688"/>
      <c r="R325" s="688"/>
      <c r="S325" s="688"/>
      <c r="T325" s="688"/>
      <c r="U325" s="688"/>
      <c r="V325" s="690"/>
      <c r="W325" s="690"/>
      <c r="X325" s="690"/>
      <c r="Y325" s="634"/>
      <c r="Z325" s="634"/>
      <c r="AA325" s="634"/>
      <c r="AB325" s="634"/>
      <c r="AC325" s="634"/>
      <c r="AD325" s="634"/>
      <c r="AE325" s="634"/>
      <c r="AF325" s="634"/>
      <c r="AG325" s="634"/>
      <c r="AH325" s="634"/>
      <c r="AI325" s="634"/>
      <c r="AJ325" s="634"/>
      <c r="AK325" s="634"/>
      <c r="AL325" s="634"/>
      <c r="AM325" s="634"/>
      <c r="AN325" s="634"/>
      <c r="AO325" s="634"/>
      <c r="AP325" s="634"/>
      <c r="AQ325" s="634"/>
      <c r="AR325" s="634"/>
      <c r="AS325" s="634"/>
      <c r="AT325" s="634"/>
      <c r="AU325" s="634"/>
      <c r="AV325" s="634"/>
      <c r="AW325" s="634"/>
      <c r="AX325" s="634"/>
      <c r="AY325" s="634"/>
      <c r="AZ325" s="634"/>
      <c r="BA325" s="634"/>
      <c r="BB325" s="634"/>
    </row>
    <row r="326" spans="1:54" ht="25.5" customHeight="1">
      <c r="A326" s="675">
        <v>321</v>
      </c>
      <c r="B326" s="675"/>
      <c r="C326" s="688" t="s">
        <v>1228</v>
      </c>
      <c r="D326" s="688"/>
      <c r="E326" s="688"/>
      <c r="F326" s="688"/>
      <c r="G326" s="688"/>
      <c r="H326" s="688"/>
      <c r="I326" s="688"/>
      <c r="J326" s="688"/>
      <c r="K326" s="688"/>
      <c r="L326" s="688"/>
      <c r="M326" s="688"/>
      <c r="N326" s="688"/>
      <c r="O326" s="688"/>
      <c r="P326" s="688"/>
      <c r="Q326" s="688"/>
      <c r="R326" s="688"/>
      <c r="S326" s="688"/>
      <c r="T326" s="688"/>
      <c r="U326" s="688"/>
      <c r="V326" s="690"/>
      <c r="W326" s="690"/>
      <c r="X326" s="690"/>
      <c r="Y326" s="634"/>
      <c r="Z326" s="634"/>
      <c r="AA326" s="634"/>
      <c r="AB326" s="634"/>
      <c r="AC326" s="634"/>
      <c r="AD326" s="634"/>
      <c r="AE326" s="634"/>
      <c r="AF326" s="634"/>
      <c r="AG326" s="634"/>
      <c r="AH326" s="634"/>
      <c r="AI326" s="634"/>
      <c r="AJ326" s="634"/>
      <c r="AK326" s="634"/>
      <c r="AL326" s="634"/>
      <c r="AM326" s="634"/>
      <c r="AN326" s="634"/>
      <c r="AO326" s="634"/>
      <c r="AP326" s="634"/>
      <c r="AQ326" s="634"/>
      <c r="AR326" s="634"/>
      <c r="AS326" s="634"/>
      <c r="AT326" s="634"/>
      <c r="AU326" s="634"/>
      <c r="AV326" s="634"/>
      <c r="AW326" s="634"/>
      <c r="AX326" s="634"/>
      <c r="AY326" s="634"/>
      <c r="AZ326" s="634"/>
      <c r="BA326" s="634"/>
      <c r="BB326" s="634"/>
    </row>
    <row r="327" spans="1:54" ht="12.75" customHeight="1">
      <c r="A327" s="675">
        <v>322</v>
      </c>
      <c r="B327" s="675"/>
      <c r="C327" s="688" t="s">
        <v>1229</v>
      </c>
      <c r="D327" s="688"/>
      <c r="E327" s="688"/>
      <c r="F327" s="688"/>
      <c r="G327" s="688"/>
      <c r="H327" s="688"/>
      <c r="I327" s="688"/>
      <c r="J327" s="688"/>
      <c r="K327" s="688"/>
      <c r="L327" s="688"/>
      <c r="M327" s="688"/>
      <c r="N327" s="688"/>
      <c r="O327" s="688"/>
      <c r="P327" s="688"/>
      <c r="Q327" s="688"/>
      <c r="R327" s="688"/>
      <c r="S327" s="688"/>
      <c r="T327" s="688"/>
      <c r="U327" s="688"/>
      <c r="V327" s="690"/>
      <c r="W327" s="690"/>
      <c r="X327" s="690"/>
      <c r="Y327" s="634"/>
      <c r="Z327" s="634"/>
      <c r="AA327" s="634"/>
      <c r="AB327" s="634"/>
      <c r="AC327" s="634"/>
      <c r="AD327" s="634"/>
      <c r="AE327" s="634"/>
      <c r="AF327" s="634"/>
      <c r="AG327" s="634"/>
      <c r="AH327" s="634"/>
      <c r="AI327" s="634"/>
      <c r="AJ327" s="634"/>
      <c r="AK327" s="634"/>
      <c r="AL327" s="634"/>
      <c r="AM327" s="634"/>
      <c r="AN327" s="634"/>
      <c r="AO327" s="634"/>
      <c r="AP327" s="634"/>
      <c r="AQ327" s="634"/>
      <c r="AR327" s="634"/>
      <c r="AS327" s="634"/>
      <c r="AT327" s="634"/>
      <c r="AU327" s="634"/>
      <c r="AV327" s="634"/>
      <c r="AW327" s="634"/>
      <c r="AX327" s="634"/>
      <c r="AY327" s="634"/>
      <c r="AZ327" s="634"/>
      <c r="BA327" s="634"/>
      <c r="BB327" s="634"/>
    </row>
    <row r="328" spans="1:54" ht="25.5" customHeight="1">
      <c r="A328" s="675">
        <v>323</v>
      </c>
      <c r="B328" s="675"/>
      <c r="C328" s="688" t="s">
        <v>1230</v>
      </c>
      <c r="D328" s="688"/>
      <c r="E328" s="688"/>
      <c r="F328" s="688"/>
      <c r="G328" s="688"/>
      <c r="H328" s="688"/>
      <c r="I328" s="688"/>
      <c r="J328" s="688"/>
      <c r="K328" s="688"/>
      <c r="L328" s="688"/>
      <c r="M328" s="688"/>
      <c r="N328" s="688"/>
      <c r="O328" s="688"/>
      <c r="P328" s="688"/>
      <c r="Q328" s="688"/>
      <c r="R328" s="688"/>
      <c r="S328" s="688"/>
      <c r="T328" s="688"/>
      <c r="U328" s="688"/>
      <c r="V328" s="690"/>
      <c r="W328" s="690"/>
      <c r="X328" s="690"/>
      <c r="Y328" s="634"/>
      <c r="Z328" s="634"/>
      <c r="AA328" s="634"/>
      <c r="AB328" s="634"/>
      <c r="AC328" s="634"/>
      <c r="AD328" s="634"/>
      <c r="AE328" s="634"/>
      <c r="AF328" s="634"/>
      <c r="AG328" s="634"/>
      <c r="AH328" s="634"/>
      <c r="AI328" s="634"/>
      <c r="AJ328" s="634"/>
      <c r="AK328" s="634"/>
      <c r="AL328" s="634"/>
      <c r="AM328" s="634"/>
      <c r="AN328" s="634"/>
      <c r="AO328" s="634"/>
      <c r="AP328" s="634"/>
      <c r="AQ328" s="634"/>
      <c r="AR328" s="634"/>
      <c r="AS328" s="634"/>
      <c r="AT328" s="634"/>
      <c r="AU328" s="634"/>
      <c r="AV328" s="634"/>
      <c r="AW328" s="634"/>
      <c r="AX328" s="634"/>
      <c r="AY328" s="634"/>
      <c r="AZ328" s="634"/>
      <c r="BA328" s="634"/>
      <c r="BB328" s="634"/>
    </row>
  </sheetData>
  <sheetProtection/>
  <mergeCells count="2602">
    <mergeCell ref="AQ327:AV327"/>
    <mergeCell ref="AW327:BB327"/>
    <mergeCell ref="AQ328:AV328"/>
    <mergeCell ref="AW328:BB328"/>
    <mergeCell ref="A328:B328"/>
    <mergeCell ref="C328:U328"/>
    <mergeCell ref="V328:X328"/>
    <mergeCell ref="Y328:AD328"/>
    <mergeCell ref="AE328:AJ328"/>
    <mergeCell ref="AK328:AP328"/>
    <mergeCell ref="A327:B327"/>
    <mergeCell ref="C327:U327"/>
    <mergeCell ref="V327:X327"/>
    <mergeCell ref="Y327:AD327"/>
    <mergeCell ref="AE327:AJ327"/>
    <mergeCell ref="AK327:AP327"/>
    <mergeCell ref="AQ325:AV325"/>
    <mergeCell ref="AW325:BB325"/>
    <mergeCell ref="A326:B326"/>
    <mergeCell ref="C326:U326"/>
    <mergeCell ref="V326:X326"/>
    <mergeCell ref="Y326:AD326"/>
    <mergeCell ref="AE326:AJ326"/>
    <mergeCell ref="AK326:AP326"/>
    <mergeCell ref="AQ326:AV326"/>
    <mergeCell ref="AW326:BB326"/>
    <mergeCell ref="A325:B325"/>
    <mergeCell ref="C325:U325"/>
    <mergeCell ref="V325:X325"/>
    <mergeCell ref="Y325:AD325"/>
    <mergeCell ref="AE325:AJ325"/>
    <mergeCell ref="AK325:AP325"/>
    <mergeCell ref="AQ323:AV323"/>
    <mergeCell ref="AW323:BB323"/>
    <mergeCell ref="A324:B324"/>
    <mergeCell ref="C324:U324"/>
    <mergeCell ref="V324:X324"/>
    <mergeCell ref="Y324:AD324"/>
    <mergeCell ref="AE324:AJ324"/>
    <mergeCell ref="AK324:AP324"/>
    <mergeCell ref="AQ324:AV324"/>
    <mergeCell ref="AW324:BB324"/>
    <mergeCell ref="A323:B323"/>
    <mergeCell ref="C323:U323"/>
    <mergeCell ref="V323:X323"/>
    <mergeCell ref="Y323:AD323"/>
    <mergeCell ref="AE323:AJ323"/>
    <mergeCell ref="AK323:AP323"/>
    <mergeCell ref="AQ321:AV321"/>
    <mergeCell ref="AW321:BB321"/>
    <mergeCell ref="A322:B322"/>
    <mergeCell ref="C322:U322"/>
    <mergeCell ref="V322:X322"/>
    <mergeCell ref="Y322:AD322"/>
    <mergeCell ref="AE322:AJ322"/>
    <mergeCell ref="AK322:AP322"/>
    <mergeCell ref="AQ322:AV322"/>
    <mergeCell ref="AW322:BB322"/>
    <mergeCell ref="A321:B321"/>
    <mergeCell ref="C321:U321"/>
    <mergeCell ref="V321:X321"/>
    <mergeCell ref="Y321:AD321"/>
    <mergeCell ref="AE321:AJ321"/>
    <mergeCell ref="AK321:AP321"/>
    <mergeCell ref="AQ319:AV319"/>
    <mergeCell ref="AW319:BB319"/>
    <mergeCell ref="A320:B320"/>
    <mergeCell ref="C320:U320"/>
    <mergeCell ref="V320:X320"/>
    <mergeCell ref="Y320:AD320"/>
    <mergeCell ref="AE320:AJ320"/>
    <mergeCell ref="AK320:AP320"/>
    <mergeCell ref="AQ320:AV320"/>
    <mergeCell ref="AW320:BB320"/>
    <mergeCell ref="A319:B319"/>
    <mergeCell ref="C319:U319"/>
    <mergeCell ref="V319:X319"/>
    <mergeCell ref="Y319:AD319"/>
    <mergeCell ref="AE319:AJ319"/>
    <mergeCell ref="AK319:AP319"/>
    <mergeCell ref="AQ317:AV317"/>
    <mergeCell ref="AW317:BB317"/>
    <mergeCell ref="A318:B318"/>
    <mergeCell ref="C318:U318"/>
    <mergeCell ref="V318:X318"/>
    <mergeCell ref="Y318:AD318"/>
    <mergeCell ref="AE318:AJ318"/>
    <mergeCell ref="AK318:AP318"/>
    <mergeCell ref="AQ318:AV318"/>
    <mergeCell ref="AW318:BB318"/>
    <mergeCell ref="A317:B317"/>
    <mergeCell ref="C317:U317"/>
    <mergeCell ref="V317:X317"/>
    <mergeCell ref="Y317:AD317"/>
    <mergeCell ref="AE317:AJ317"/>
    <mergeCell ref="AK317:AP317"/>
    <mergeCell ref="AQ315:AV315"/>
    <mergeCell ref="AW315:BB315"/>
    <mergeCell ref="A316:B316"/>
    <mergeCell ref="C316:U316"/>
    <mergeCell ref="V316:X316"/>
    <mergeCell ref="Y316:AD316"/>
    <mergeCell ref="AE316:AJ316"/>
    <mergeCell ref="AK316:AP316"/>
    <mergeCell ref="AQ316:AV316"/>
    <mergeCell ref="AW316:BB316"/>
    <mergeCell ref="A315:B315"/>
    <mergeCell ref="C315:U315"/>
    <mergeCell ref="V315:X315"/>
    <mergeCell ref="Y315:AD315"/>
    <mergeCell ref="AE315:AJ315"/>
    <mergeCell ref="AK315:AP315"/>
    <mergeCell ref="AQ313:AV313"/>
    <mergeCell ref="AW313:BB313"/>
    <mergeCell ref="A314:B314"/>
    <mergeCell ref="C314:U314"/>
    <mergeCell ref="V314:X314"/>
    <mergeCell ref="Y314:AD314"/>
    <mergeCell ref="AE314:AJ314"/>
    <mergeCell ref="AK314:AP314"/>
    <mergeCell ref="AQ314:AV314"/>
    <mergeCell ref="AW314:BB314"/>
    <mergeCell ref="A313:B313"/>
    <mergeCell ref="C313:U313"/>
    <mergeCell ref="V313:X313"/>
    <mergeCell ref="Y313:AD313"/>
    <mergeCell ref="AE313:AJ313"/>
    <mergeCell ref="AK313:AP313"/>
    <mergeCell ref="AQ311:AV311"/>
    <mergeCell ref="AW311:BB311"/>
    <mergeCell ref="A312:B312"/>
    <mergeCell ref="C312:U312"/>
    <mergeCell ref="V312:X312"/>
    <mergeCell ref="Y312:AD312"/>
    <mergeCell ref="AE312:AJ312"/>
    <mergeCell ref="AK312:AP312"/>
    <mergeCell ref="AQ312:AV312"/>
    <mergeCell ref="AW312:BB312"/>
    <mergeCell ref="A311:B311"/>
    <mergeCell ref="C311:U311"/>
    <mergeCell ref="V311:X311"/>
    <mergeCell ref="Y311:AD311"/>
    <mergeCell ref="AE311:AJ311"/>
    <mergeCell ref="AK311:AP311"/>
    <mergeCell ref="AQ309:AV309"/>
    <mergeCell ref="AW309:BB309"/>
    <mergeCell ref="A310:B310"/>
    <mergeCell ref="C310:U310"/>
    <mergeCell ref="V310:X310"/>
    <mergeCell ref="Y310:AD310"/>
    <mergeCell ref="AE310:AJ310"/>
    <mergeCell ref="AK310:AP310"/>
    <mergeCell ref="AQ310:AV310"/>
    <mergeCell ref="AW310:BB310"/>
    <mergeCell ref="A309:B309"/>
    <mergeCell ref="C309:U309"/>
    <mergeCell ref="V309:X309"/>
    <mergeCell ref="Y309:AD309"/>
    <mergeCell ref="AE309:AJ309"/>
    <mergeCell ref="AK309:AP309"/>
    <mergeCell ref="AQ307:AV307"/>
    <mergeCell ref="AW307:BB307"/>
    <mergeCell ref="A308:B308"/>
    <mergeCell ref="C308:U308"/>
    <mergeCell ref="V308:X308"/>
    <mergeCell ref="Y308:AD308"/>
    <mergeCell ref="AE308:AJ308"/>
    <mergeCell ref="AK308:AP308"/>
    <mergeCell ref="AQ308:AV308"/>
    <mergeCell ref="AW308:BB308"/>
    <mergeCell ref="A307:B307"/>
    <mergeCell ref="C307:U307"/>
    <mergeCell ref="V307:X307"/>
    <mergeCell ref="Y307:AD307"/>
    <mergeCell ref="AE307:AJ307"/>
    <mergeCell ref="AK307:AP307"/>
    <mergeCell ref="AQ305:AV305"/>
    <mergeCell ref="AW305:BB305"/>
    <mergeCell ref="A306:B306"/>
    <mergeCell ref="C306:U306"/>
    <mergeCell ref="V306:X306"/>
    <mergeCell ref="Y306:AD306"/>
    <mergeCell ref="AE306:AJ306"/>
    <mergeCell ref="AK306:AP306"/>
    <mergeCell ref="AQ306:AV306"/>
    <mergeCell ref="AW306:BB306"/>
    <mergeCell ref="A305:B305"/>
    <mergeCell ref="C305:U305"/>
    <mergeCell ref="V305:X305"/>
    <mergeCell ref="Y305:AD305"/>
    <mergeCell ref="AE305:AJ305"/>
    <mergeCell ref="AK305:AP305"/>
    <mergeCell ref="AQ303:AV303"/>
    <mergeCell ref="AW303:BB303"/>
    <mergeCell ref="A304:B304"/>
    <mergeCell ref="C304:U304"/>
    <mergeCell ref="V304:X304"/>
    <mergeCell ref="Y304:AD304"/>
    <mergeCell ref="AE304:AJ304"/>
    <mergeCell ref="AK304:AP304"/>
    <mergeCell ref="AQ304:AV304"/>
    <mergeCell ref="AW304:BB304"/>
    <mergeCell ref="A303:B303"/>
    <mergeCell ref="C303:U303"/>
    <mergeCell ref="V303:X303"/>
    <mergeCell ref="Y303:AD303"/>
    <mergeCell ref="AE303:AJ303"/>
    <mergeCell ref="AK303:AP303"/>
    <mergeCell ref="AQ301:AV301"/>
    <mergeCell ref="AW301:BB301"/>
    <mergeCell ref="A302:B302"/>
    <mergeCell ref="C302:U302"/>
    <mergeCell ref="V302:X302"/>
    <mergeCell ref="Y302:AD302"/>
    <mergeCell ref="AE302:AJ302"/>
    <mergeCell ref="AK302:AP302"/>
    <mergeCell ref="AQ302:AV302"/>
    <mergeCell ref="AW302:BB302"/>
    <mergeCell ref="A301:B301"/>
    <mergeCell ref="C301:U301"/>
    <mergeCell ref="V301:X301"/>
    <mergeCell ref="Y301:AD301"/>
    <mergeCell ref="AE301:AJ301"/>
    <mergeCell ref="AK301:AP301"/>
    <mergeCell ref="AQ299:AV299"/>
    <mergeCell ref="AW299:BB299"/>
    <mergeCell ref="A300:B300"/>
    <mergeCell ref="C300:U300"/>
    <mergeCell ref="V300:X300"/>
    <mergeCell ref="Y300:AD300"/>
    <mergeCell ref="AE300:AJ300"/>
    <mergeCell ref="AK300:AP300"/>
    <mergeCell ref="AQ300:AV300"/>
    <mergeCell ref="AW300:BB300"/>
    <mergeCell ref="A299:B299"/>
    <mergeCell ref="C299:U299"/>
    <mergeCell ref="V299:X299"/>
    <mergeCell ref="Y299:AD299"/>
    <mergeCell ref="AE299:AJ299"/>
    <mergeCell ref="AK299:AP299"/>
    <mergeCell ref="AQ297:AV297"/>
    <mergeCell ref="AW297:BB297"/>
    <mergeCell ref="A298:B298"/>
    <mergeCell ref="C298:U298"/>
    <mergeCell ref="V298:X298"/>
    <mergeCell ref="Y298:AD298"/>
    <mergeCell ref="AE298:AJ298"/>
    <mergeCell ref="AK298:AP298"/>
    <mergeCell ref="AQ298:AV298"/>
    <mergeCell ref="AW298:BB298"/>
    <mergeCell ref="A297:B297"/>
    <mergeCell ref="C297:U297"/>
    <mergeCell ref="V297:X297"/>
    <mergeCell ref="Y297:AD297"/>
    <mergeCell ref="AE297:AJ297"/>
    <mergeCell ref="AK297:AP297"/>
    <mergeCell ref="AQ295:AV295"/>
    <mergeCell ref="AW295:BB295"/>
    <mergeCell ref="A296:B296"/>
    <mergeCell ref="C296:U296"/>
    <mergeCell ref="V296:X296"/>
    <mergeCell ref="Y296:AD296"/>
    <mergeCell ref="AE296:AJ296"/>
    <mergeCell ref="AK296:AP296"/>
    <mergeCell ref="AQ296:AV296"/>
    <mergeCell ref="AW296:BB296"/>
    <mergeCell ref="A295:B295"/>
    <mergeCell ref="C295:U295"/>
    <mergeCell ref="V295:X295"/>
    <mergeCell ref="Y295:AD295"/>
    <mergeCell ref="AE295:AJ295"/>
    <mergeCell ref="AK295:AP295"/>
    <mergeCell ref="AQ293:AV293"/>
    <mergeCell ref="AW293:BB293"/>
    <mergeCell ref="A294:B294"/>
    <mergeCell ref="C294:U294"/>
    <mergeCell ref="V294:X294"/>
    <mergeCell ref="Y294:AD294"/>
    <mergeCell ref="AE294:AJ294"/>
    <mergeCell ref="AK294:AP294"/>
    <mergeCell ref="AQ294:AV294"/>
    <mergeCell ref="AW294:BB294"/>
    <mergeCell ref="A293:B293"/>
    <mergeCell ref="C293:U293"/>
    <mergeCell ref="V293:X293"/>
    <mergeCell ref="Y293:AD293"/>
    <mergeCell ref="AE293:AJ293"/>
    <mergeCell ref="AK293:AP293"/>
    <mergeCell ref="AQ291:AV291"/>
    <mergeCell ref="AW291:BB291"/>
    <mergeCell ref="A292:B292"/>
    <mergeCell ref="C292:U292"/>
    <mergeCell ref="V292:X292"/>
    <mergeCell ref="Y292:AD292"/>
    <mergeCell ref="AE292:AJ292"/>
    <mergeCell ref="AK292:AP292"/>
    <mergeCell ref="AQ292:AV292"/>
    <mergeCell ref="AW292:BB292"/>
    <mergeCell ref="A291:B291"/>
    <mergeCell ref="C291:U291"/>
    <mergeCell ref="V291:X291"/>
    <mergeCell ref="Y291:AD291"/>
    <mergeCell ref="AE291:AJ291"/>
    <mergeCell ref="AK291:AP291"/>
    <mergeCell ref="AQ289:AV289"/>
    <mergeCell ref="AW289:BB289"/>
    <mergeCell ref="A290:B290"/>
    <mergeCell ref="C290:U290"/>
    <mergeCell ref="V290:X290"/>
    <mergeCell ref="Y290:AD290"/>
    <mergeCell ref="AE290:AJ290"/>
    <mergeCell ref="AK290:AP290"/>
    <mergeCell ref="AQ290:AV290"/>
    <mergeCell ref="AW290:BB290"/>
    <mergeCell ref="A289:B289"/>
    <mergeCell ref="C289:U289"/>
    <mergeCell ref="V289:X289"/>
    <mergeCell ref="Y289:AD289"/>
    <mergeCell ref="AE289:AJ289"/>
    <mergeCell ref="AK289:AP289"/>
    <mergeCell ref="AQ287:AV287"/>
    <mergeCell ref="AW287:BB287"/>
    <mergeCell ref="A288:B288"/>
    <mergeCell ref="C288:U288"/>
    <mergeCell ref="V288:X288"/>
    <mergeCell ref="Y288:AD288"/>
    <mergeCell ref="AE288:AJ288"/>
    <mergeCell ref="AK288:AP288"/>
    <mergeCell ref="AQ288:AV288"/>
    <mergeCell ref="AW288:BB288"/>
    <mergeCell ref="A287:B287"/>
    <mergeCell ref="C287:U287"/>
    <mergeCell ref="V287:X287"/>
    <mergeCell ref="Y287:AD287"/>
    <mergeCell ref="AE287:AJ287"/>
    <mergeCell ref="AK287:AP287"/>
    <mergeCell ref="AQ285:AV285"/>
    <mergeCell ref="AW285:BB285"/>
    <mergeCell ref="A286:B286"/>
    <mergeCell ref="C286:U286"/>
    <mergeCell ref="V286:X286"/>
    <mergeCell ref="Y286:AD286"/>
    <mergeCell ref="AE286:AJ286"/>
    <mergeCell ref="AK286:AP286"/>
    <mergeCell ref="AQ286:AV286"/>
    <mergeCell ref="AW286:BB286"/>
    <mergeCell ref="A285:B285"/>
    <mergeCell ref="C285:U285"/>
    <mergeCell ref="V285:X285"/>
    <mergeCell ref="Y285:AD285"/>
    <mergeCell ref="AE285:AJ285"/>
    <mergeCell ref="AK285:AP285"/>
    <mergeCell ref="AQ283:AV283"/>
    <mergeCell ref="AW283:BB283"/>
    <mergeCell ref="A284:B284"/>
    <mergeCell ref="C284:U284"/>
    <mergeCell ref="V284:X284"/>
    <mergeCell ref="Y284:AD284"/>
    <mergeCell ref="AE284:AJ284"/>
    <mergeCell ref="AK284:AP284"/>
    <mergeCell ref="AQ284:AV284"/>
    <mergeCell ref="AW284:BB284"/>
    <mergeCell ref="A283:B283"/>
    <mergeCell ref="C283:U283"/>
    <mergeCell ref="V283:X283"/>
    <mergeCell ref="Y283:AD283"/>
    <mergeCell ref="AE283:AJ283"/>
    <mergeCell ref="AK283:AP283"/>
    <mergeCell ref="AQ281:AV281"/>
    <mergeCell ref="AW281:BB281"/>
    <mergeCell ref="A282:B282"/>
    <mergeCell ref="C282:U282"/>
    <mergeCell ref="V282:X282"/>
    <mergeCell ref="Y282:AD282"/>
    <mergeCell ref="AE282:AJ282"/>
    <mergeCell ref="AK282:AP282"/>
    <mergeCell ref="AQ282:AV282"/>
    <mergeCell ref="AW282:BB282"/>
    <mergeCell ref="A281:B281"/>
    <mergeCell ref="C281:U281"/>
    <mergeCell ref="V281:X281"/>
    <mergeCell ref="Y281:AD281"/>
    <mergeCell ref="AE281:AJ281"/>
    <mergeCell ref="AK281:AP281"/>
    <mergeCell ref="AQ279:AV279"/>
    <mergeCell ref="AW279:BB279"/>
    <mergeCell ref="A280:B280"/>
    <mergeCell ref="C280:U280"/>
    <mergeCell ref="V280:X280"/>
    <mergeCell ref="Y280:AD280"/>
    <mergeCell ref="AE280:AJ280"/>
    <mergeCell ref="AK280:AP280"/>
    <mergeCell ref="AQ280:AV280"/>
    <mergeCell ref="AW280:BB280"/>
    <mergeCell ref="A279:B279"/>
    <mergeCell ref="C279:U279"/>
    <mergeCell ref="V279:X279"/>
    <mergeCell ref="Y279:AD279"/>
    <mergeCell ref="AE279:AJ279"/>
    <mergeCell ref="AK279:AP279"/>
    <mergeCell ref="AQ277:AV277"/>
    <mergeCell ref="AW277:BB277"/>
    <mergeCell ref="A278:B278"/>
    <mergeCell ref="C278:U278"/>
    <mergeCell ref="V278:X278"/>
    <mergeCell ref="Y278:AD278"/>
    <mergeCell ref="AE278:AJ278"/>
    <mergeCell ref="AK278:AP278"/>
    <mergeCell ref="AQ278:AV278"/>
    <mergeCell ref="AW278:BB278"/>
    <mergeCell ref="A277:B277"/>
    <mergeCell ref="C277:U277"/>
    <mergeCell ref="V277:X277"/>
    <mergeCell ref="Y277:AD277"/>
    <mergeCell ref="AE277:AJ277"/>
    <mergeCell ref="AK277:AP277"/>
    <mergeCell ref="AQ275:AV275"/>
    <mergeCell ref="AW275:BB275"/>
    <mergeCell ref="A276:B276"/>
    <mergeCell ref="C276:U276"/>
    <mergeCell ref="V276:X276"/>
    <mergeCell ref="Y276:AD276"/>
    <mergeCell ref="AE276:AJ276"/>
    <mergeCell ref="AK276:AP276"/>
    <mergeCell ref="AQ276:AV276"/>
    <mergeCell ref="AW276:BB276"/>
    <mergeCell ref="A275:B275"/>
    <mergeCell ref="C275:U275"/>
    <mergeCell ref="V275:X275"/>
    <mergeCell ref="Y275:AD275"/>
    <mergeCell ref="AE275:AJ275"/>
    <mergeCell ref="AK275:AP275"/>
    <mergeCell ref="AQ273:AV273"/>
    <mergeCell ref="AW273:BB273"/>
    <mergeCell ref="A274:B274"/>
    <mergeCell ref="C274:U274"/>
    <mergeCell ref="V274:X274"/>
    <mergeCell ref="Y274:AD274"/>
    <mergeCell ref="AE274:AJ274"/>
    <mergeCell ref="AK274:AP274"/>
    <mergeCell ref="AQ274:AV274"/>
    <mergeCell ref="AW274:BB274"/>
    <mergeCell ref="A273:B273"/>
    <mergeCell ref="C273:U273"/>
    <mergeCell ref="V273:X273"/>
    <mergeCell ref="Y273:AD273"/>
    <mergeCell ref="AE273:AJ273"/>
    <mergeCell ref="AK273:AP273"/>
    <mergeCell ref="AQ271:AV271"/>
    <mergeCell ref="AW271:BB271"/>
    <mergeCell ref="A272:B272"/>
    <mergeCell ref="C272:U272"/>
    <mergeCell ref="V272:X272"/>
    <mergeCell ref="Y272:AD272"/>
    <mergeCell ref="AE272:AJ272"/>
    <mergeCell ref="AK272:AP272"/>
    <mergeCell ref="AQ272:AV272"/>
    <mergeCell ref="AW272:BB272"/>
    <mergeCell ref="A271:B271"/>
    <mergeCell ref="C271:U271"/>
    <mergeCell ref="V271:X271"/>
    <mergeCell ref="Y271:AD271"/>
    <mergeCell ref="AE271:AJ271"/>
    <mergeCell ref="AK271:AP271"/>
    <mergeCell ref="AQ269:AV269"/>
    <mergeCell ref="AW269:BB269"/>
    <mergeCell ref="A270:B270"/>
    <mergeCell ref="C270:U270"/>
    <mergeCell ref="V270:X270"/>
    <mergeCell ref="Y270:AD270"/>
    <mergeCell ref="AE270:AJ270"/>
    <mergeCell ref="AK270:AP270"/>
    <mergeCell ref="AQ270:AV270"/>
    <mergeCell ref="AW270:BB270"/>
    <mergeCell ref="A269:B269"/>
    <mergeCell ref="C269:U269"/>
    <mergeCell ref="V269:X269"/>
    <mergeCell ref="Y269:AD269"/>
    <mergeCell ref="AE269:AJ269"/>
    <mergeCell ref="AK269:AP269"/>
    <mergeCell ref="AQ267:AV267"/>
    <mergeCell ref="AW267:BB267"/>
    <mergeCell ref="A268:B268"/>
    <mergeCell ref="C268:U268"/>
    <mergeCell ref="V268:X268"/>
    <mergeCell ref="Y268:AD268"/>
    <mergeCell ref="AE268:AJ268"/>
    <mergeCell ref="AK268:AP268"/>
    <mergeCell ref="AQ268:AV268"/>
    <mergeCell ref="AW268:BB268"/>
    <mergeCell ref="A267:B267"/>
    <mergeCell ref="C267:U267"/>
    <mergeCell ref="V267:X267"/>
    <mergeCell ref="Y267:AD267"/>
    <mergeCell ref="AE267:AJ267"/>
    <mergeCell ref="AK267:AP267"/>
    <mergeCell ref="AQ265:AV265"/>
    <mergeCell ref="AW265:BB265"/>
    <mergeCell ref="A266:B266"/>
    <mergeCell ref="C266:U266"/>
    <mergeCell ref="V266:X266"/>
    <mergeCell ref="Y266:AD266"/>
    <mergeCell ref="AE266:AJ266"/>
    <mergeCell ref="AK266:AP266"/>
    <mergeCell ref="AQ266:AV266"/>
    <mergeCell ref="AW266:BB266"/>
    <mergeCell ref="A265:B265"/>
    <mergeCell ref="C265:U265"/>
    <mergeCell ref="V265:X265"/>
    <mergeCell ref="Y265:AD265"/>
    <mergeCell ref="AE265:AJ265"/>
    <mergeCell ref="AK265:AP265"/>
    <mergeCell ref="AQ263:AV263"/>
    <mergeCell ref="AW263:BB263"/>
    <mergeCell ref="A264:B264"/>
    <mergeCell ref="C264:U264"/>
    <mergeCell ref="V264:X264"/>
    <mergeCell ref="Y264:AD264"/>
    <mergeCell ref="AE264:AJ264"/>
    <mergeCell ref="AK264:AP264"/>
    <mergeCell ref="AQ264:AV264"/>
    <mergeCell ref="AW264:BB264"/>
    <mergeCell ref="A263:B263"/>
    <mergeCell ref="C263:U263"/>
    <mergeCell ref="V263:X263"/>
    <mergeCell ref="Y263:AD263"/>
    <mergeCell ref="AE263:AJ263"/>
    <mergeCell ref="AK263:AP263"/>
    <mergeCell ref="AQ261:AV261"/>
    <mergeCell ref="AW261:BB261"/>
    <mergeCell ref="A262:B262"/>
    <mergeCell ref="C262:U262"/>
    <mergeCell ref="V262:X262"/>
    <mergeCell ref="Y262:AD262"/>
    <mergeCell ref="AE262:AJ262"/>
    <mergeCell ref="AK262:AP262"/>
    <mergeCell ref="AQ262:AV262"/>
    <mergeCell ref="AW262:BB262"/>
    <mergeCell ref="A261:B261"/>
    <mergeCell ref="C261:U261"/>
    <mergeCell ref="V261:X261"/>
    <mergeCell ref="Y261:AD261"/>
    <mergeCell ref="AE261:AJ261"/>
    <mergeCell ref="AK261:AP261"/>
    <mergeCell ref="AQ259:AV259"/>
    <mergeCell ref="AW259:BB259"/>
    <mergeCell ref="A260:B260"/>
    <mergeCell ref="C260:U260"/>
    <mergeCell ref="V260:X260"/>
    <mergeCell ref="Y260:AD260"/>
    <mergeCell ref="AE260:AJ260"/>
    <mergeCell ref="AK260:AP260"/>
    <mergeCell ref="AQ260:AV260"/>
    <mergeCell ref="AW260:BB260"/>
    <mergeCell ref="A259:B259"/>
    <mergeCell ref="C259:U259"/>
    <mergeCell ref="V259:X259"/>
    <mergeCell ref="Y259:AD259"/>
    <mergeCell ref="AE259:AJ259"/>
    <mergeCell ref="AK259:AP259"/>
    <mergeCell ref="AQ257:AV257"/>
    <mergeCell ref="AW257:BB257"/>
    <mergeCell ref="A258:B258"/>
    <mergeCell ref="C258:U258"/>
    <mergeCell ref="V258:X258"/>
    <mergeCell ref="Y258:AD258"/>
    <mergeCell ref="AE258:AJ258"/>
    <mergeCell ref="AK258:AP258"/>
    <mergeCell ref="AQ258:AV258"/>
    <mergeCell ref="AW258:BB258"/>
    <mergeCell ref="A257:B257"/>
    <mergeCell ref="C257:U257"/>
    <mergeCell ref="V257:X257"/>
    <mergeCell ref="Y257:AD257"/>
    <mergeCell ref="AE257:AJ257"/>
    <mergeCell ref="AK257:AP257"/>
    <mergeCell ref="AQ255:AV255"/>
    <mergeCell ref="AW255:BB255"/>
    <mergeCell ref="A256:B256"/>
    <mergeCell ref="C256:U256"/>
    <mergeCell ref="V256:X256"/>
    <mergeCell ref="Y256:AD256"/>
    <mergeCell ref="AE256:AJ256"/>
    <mergeCell ref="AK256:AP256"/>
    <mergeCell ref="AQ256:AV256"/>
    <mergeCell ref="AW256:BB256"/>
    <mergeCell ref="A255:B255"/>
    <mergeCell ref="C255:U255"/>
    <mergeCell ref="V255:X255"/>
    <mergeCell ref="Y255:AD255"/>
    <mergeCell ref="AE255:AJ255"/>
    <mergeCell ref="AK255:AP255"/>
    <mergeCell ref="AQ253:AV253"/>
    <mergeCell ref="AW253:BB253"/>
    <mergeCell ref="A254:B254"/>
    <mergeCell ref="C254:U254"/>
    <mergeCell ref="V254:X254"/>
    <mergeCell ref="Y254:AD254"/>
    <mergeCell ref="AE254:AJ254"/>
    <mergeCell ref="AK254:AP254"/>
    <mergeCell ref="AQ254:AV254"/>
    <mergeCell ref="AW254:BB254"/>
    <mergeCell ref="A253:B253"/>
    <mergeCell ref="C253:U253"/>
    <mergeCell ref="V253:X253"/>
    <mergeCell ref="Y253:AD253"/>
    <mergeCell ref="AE253:AJ253"/>
    <mergeCell ref="AK253:AP253"/>
    <mergeCell ref="AQ251:AV251"/>
    <mergeCell ref="AW251:BB251"/>
    <mergeCell ref="A252:B252"/>
    <mergeCell ref="C252:U252"/>
    <mergeCell ref="V252:X252"/>
    <mergeCell ref="Y252:AD252"/>
    <mergeCell ref="AE252:AJ252"/>
    <mergeCell ref="AK252:AP252"/>
    <mergeCell ref="AQ252:AV252"/>
    <mergeCell ref="AW252:BB252"/>
    <mergeCell ref="A251:B251"/>
    <mergeCell ref="C251:U251"/>
    <mergeCell ref="V251:X251"/>
    <mergeCell ref="Y251:AD251"/>
    <mergeCell ref="AE251:AJ251"/>
    <mergeCell ref="AK251:AP251"/>
    <mergeCell ref="AQ249:AV249"/>
    <mergeCell ref="AW249:BB249"/>
    <mergeCell ref="A250:B250"/>
    <mergeCell ref="C250:U250"/>
    <mergeCell ref="V250:X250"/>
    <mergeCell ref="Y250:AD250"/>
    <mergeCell ref="AE250:AJ250"/>
    <mergeCell ref="AK250:AP250"/>
    <mergeCell ref="AQ250:AV250"/>
    <mergeCell ref="AW250:BB250"/>
    <mergeCell ref="A249:B249"/>
    <mergeCell ref="C249:U249"/>
    <mergeCell ref="V249:X249"/>
    <mergeCell ref="Y249:AD249"/>
    <mergeCell ref="AE249:AJ249"/>
    <mergeCell ref="AK249:AP249"/>
    <mergeCell ref="AQ247:AV247"/>
    <mergeCell ref="AW247:BB247"/>
    <mergeCell ref="A248:B248"/>
    <mergeCell ref="C248:U248"/>
    <mergeCell ref="V248:X248"/>
    <mergeCell ref="Y248:AD248"/>
    <mergeCell ref="AE248:AJ248"/>
    <mergeCell ref="AK248:AP248"/>
    <mergeCell ref="AQ248:AV248"/>
    <mergeCell ref="AW248:BB248"/>
    <mergeCell ref="A247:B247"/>
    <mergeCell ref="C247:U247"/>
    <mergeCell ref="V247:X247"/>
    <mergeCell ref="Y247:AD247"/>
    <mergeCell ref="AE247:AJ247"/>
    <mergeCell ref="AK247:AP247"/>
    <mergeCell ref="AQ245:AV245"/>
    <mergeCell ref="AW245:BB245"/>
    <mergeCell ref="A246:B246"/>
    <mergeCell ref="C246:U246"/>
    <mergeCell ref="V246:X246"/>
    <mergeCell ref="Y246:AD246"/>
    <mergeCell ref="AE246:AJ246"/>
    <mergeCell ref="AK246:AP246"/>
    <mergeCell ref="AQ246:AV246"/>
    <mergeCell ref="AW246:BB246"/>
    <mergeCell ref="A245:B245"/>
    <mergeCell ref="C245:U245"/>
    <mergeCell ref="V245:X245"/>
    <mergeCell ref="Y245:AD245"/>
    <mergeCell ref="AE245:AJ245"/>
    <mergeCell ref="AK245:AP245"/>
    <mergeCell ref="AQ243:AV243"/>
    <mergeCell ref="AW243:BB243"/>
    <mergeCell ref="A244:B244"/>
    <mergeCell ref="C244:U244"/>
    <mergeCell ref="V244:X244"/>
    <mergeCell ref="Y244:AD244"/>
    <mergeCell ref="AE244:AJ244"/>
    <mergeCell ref="AK244:AP244"/>
    <mergeCell ref="AQ244:AV244"/>
    <mergeCell ref="AW244:BB244"/>
    <mergeCell ref="A243:B243"/>
    <mergeCell ref="C243:U243"/>
    <mergeCell ref="V243:X243"/>
    <mergeCell ref="Y243:AD243"/>
    <mergeCell ref="AE243:AJ243"/>
    <mergeCell ref="AK243:AP243"/>
    <mergeCell ref="AQ241:AV241"/>
    <mergeCell ref="AW241:BB241"/>
    <mergeCell ref="A242:B242"/>
    <mergeCell ref="C242:U242"/>
    <mergeCell ref="V242:X242"/>
    <mergeCell ref="Y242:AD242"/>
    <mergeCell ref="AE242:AJ242"/>
    <mergeCell ref="AK242:AP242"/>
    <mergeCell ref="AQ242:AV242"/>
    <mergeCell ref="AW242:BB242"/>
    <mergeCell ref="A241:B241"/>
    <mergeCell ref="C241:U241"/>
    <mergeCell ref="V241:X241"/>
    <mergeCell ref="Y241:AD241"/>
    <mergeCell ref="AE241:AJ241"/>
    <mergeCell ref="AK241:AP241"/>
    <mergeCell ref="AQ239:AV239"/>
    <mergeCell ref="AW239:BB239"/>
    <mergeCell ref="A240:B240"/>
    <mergeCell ref="C240:U240"/>
    <mergeCell ref="V240:X240"/>
    <mergeCell ref="Y240:AD240"/>
    <mergeCell ref="AE240:AJ240"/>
    <mergeCell ref="AK240:AP240"/>
    <mergeCell ref="AQ240:AV240"/>
    <mergeCell ref="AW240:BB240"/>
    <mergeCell ref="A239:B239"/>
    <mergeCell ref="C239:U239"/>
    <mergeCell ref="V239:X239"/>
    <mergeCell ref="Y239:AD239"/>
    <mergeCell ref="AE239:AJ239"/>
    <mergeCell ref="AK239:AP239"/>
    <mergeCell ref="AQ237:AV237"/>
    <mergeCell ref="AW237:BB237"/>
    <mergeCell ref="A238:B238"/>
    <mergeCell ref="C238:U238"/>
    <mergeCell ref="V238:X238"/>
    <mergeCell ref="Y238:AD238"/>
    <mergeCell ref="AE238:AJ238"/>
    <mergeCell ref="AK238:AP238"/>
    <mergeCell ref="AQ238:AV238"/>
    <mergeCell ref="AW238:BB238"/>
    <mergeCell ref="A237:B237"/>
    <mergeCell ref="C237:U237"/>
    <mergeCell ref="V237:X237"/>
    <mergeCell ref="Y237:AD237"/>
    <mergeCell ref="AE237:AJ237"/>
    <mergeCell ref="AK237:AP237"/>
    <mergeCell ref="AQ235:AV235"/>
    <mergeCell ref="AW235:BB235"/>
    <mergeCell ref="A236:B236"/>
    <mergeCell ref="C236:U236"/>
    <mergeCell ref="V236:X236"/>
    <mergeCell ref="Y236:AD236"/>
    <mergeCell ref="AE236:AJ236"/>
    <mergeCell ref="AK236:AP236"/>
    <mergeCell ref="AQ236:AV236"/>
    <mergeCell ref="AW236:BB236"/>
    <mergeCell ref="A235:B235"/>
    <mergeCell ref="C235:U235"/>
    <mergeCell ref="V235:X235"/>
    <mergeCell ref="Y235:AD235"/>
    <mergeCell ref="AE235:AJ235"/>
    <mergeCell ref="AK235:AP235"/>
    <mergeCell ref="AQ233:AV233"/>
    <mergeCell ref="AW233:BB233"/>
    <mergeCell ref="A234:B234"/>
    <mergeCell ref="C234:U234"/>
    <mergeCell ref="V234:X234"/>
    <mergeCell ref="Y234:AD234"/>
    <mergeCell ref="AE234:AJ234"/>
    <mergeCell ref="AK234:AP234"/>
    <mergeCell ref="AQ234:AV234"/>
    <mergeCell ref="AW234:BB234"/>
    <mergeCell ref="A233:B233"/>
    <mergeCell ref="C233:U233"/>
    <mergeCell ref="V233:X233"/>
    <mergeCell ref="Y233:AD233"/>
    <mergeCell ref="AE233:AJ233"/>
    <mergeCell ref="AK233:AP233"/>
    <mergeCell ref="AQ231:AV231"/>
    <mergeCell ref="AW231:BB231"/>
    <mergeCell ref="A232:B232"/>
    <mergeCell ref="C232:U232"/>
    <mergeCell ref="V232:X232"/>
    <mergeCell ref="Y232:AD232"/>
    <mergeCell ref="AE232:AJ232"/>
    <mergeCell ref="AK232:AP232"/>
    <mergeCell ref="AQ232:AV232"/>
    <mergeCell ref="AW232:BB232"/>
    <mergeCell ref="A231:B231"/>
    <mergeCell ref="C231:U231"/>
    <mergeCell ref="V231:X231"/>
    <mergeCell ref="Y231:AD231"/>
    <mergeCell ref="AE231:AJ231"/>
    <mergeCell ref="AK231:AP231"/>
    <mergeCell ref="AQ229:AV229"/>
    <mergeCell ref="AW229:BB229"/>
    <mergeCell ref="A230:B230"/>
    <mergeCell ref="C230:U230"/>
    <mergeCell ref="V230:X230"/>
    <mergeCell ref="Y230:AD230"/>
    <mergeCell ref="AE230:AJ230"/>
    <mergeCell ref="AK230:AP230"/>
    <mergeCell ref="AQ230:AV230"/>
    <mergeCell ref="AW230:BB230"/>
    <mergeCell ref="A229:B229"/>
    <mergeCell ref="C229:U229"/>
    <mergeCell ref="V229:X229"/>
    <mergeCell ref="Y229:AD229"/>
    <mergeCell ref="AE229:AJ229"/>
    <mergeCell ref="AK229:AP229"/>
    <mergeCell ref="AQ227:AV227"/>
    <mergeCell ref="AW227:BB227"/>
    <mergeCell ref="A228:B228"/>
    <mergeCell ref="C228:U228"/>
    <mergeCell ref="V228:X228"/>
    <mergeCell ref="Y228:AD228"/>
    <mergeCell ref="AE228:AJ228"/>
    <mergeCell ref="AK228:AP228"/>
    <mergeCell ref="AQ228:AV228"/>
    <mergeCell ref="AW228:BB228"/>
    <mergeCell ref="A227:B227"/>
    <mergeCell ref="C227:U227"/>
    <mergeCell ref="V227:X227"/>
    <mergeCell ref="Y227:AD227"/>
    <mergeCell ref="AE227:AJ227"/>
    <mergeCell ref="AK227:AP227"/>
    <mergeCell ref="AQ225:AV225"/>
    <mergeCell ref="AW225:BB225"/>
    <mergeCell ref="A226:B226"/>
    <mergeCell ref="C226:U226"/>
    <mergeCell ref="V226:X226"/>
    <mergeCell ref="Y226:AD226"/>
    <mergeCell ref="AE226:AJ226"/>
    <mergeCell ref="AK226:AP226"/>
    <mergeCell ref="AQ226:AV226"/>
    <mergeCell ref="AW226:BB226"/>
    <mergeCell ref="A225:B225"/>
    <mergeCell ref="C225:U225"/>
    <mergeCell ref="V225:X225"/>
    <mergeCell ref="Y225:AD225"/>
    <mergeCell ref="AE225:AJ225"/>
    <mergeCell ref="AK225:AP225"/>
    <mergeCell ref="AQ223:AV223"/>
    <mergeCell ref="AW223:BB223"/>
    <mergeCell ref="A224:B224"/>
    <mergeCell ref="C224:U224"/>
    <mergeCell ref="V224:X224"/>
    <mergeCell ref="Y224:AD224"/>
    <mergeCell ref="AE224:AJ224"/>
    <mergeCell ref="AK224:AP224"/>
    <mergeCell ref="AQ224:AV224"/>
    <mergeCell ref="AW224:BB224"/>
    <mergeCell ref="A223:B223"/>
    <mergeCell ref="C223:U223"/>
    <mergeCell ref="V223:X223"/>
    <mergeCell ref="Y223:AD223"/>
    <mergeCell ref="AE223:AJ223"/>
    <mergeCell ref="AK223:AP223"/>
    <mergeCell ref="AQ221:AV221"/>
    <mergeCell ref="AW221:BB221"/>
    <mergeCell ref="A222:B222"/>
    <mergeCell ref="C222:U222"/>
    <mergeCell ref="V222:X222"/>
    <mergeCell ref="Y222:AD222"/>
    <mergeCell ref="AE222:AJ222"/>
    <mergeCell ref="AK222:AP222"/>
    <mergeCell ref="AQ222:AV222"/>
    <mergeCell ref="AW222:BB222"/>
    <mergeCell ref="A221:B221"/>
    <mergeCell ref="C221:U221"/>
    <mergeCell ref="V221:X221"/>
    <mergeCell ref="Y221:AD221"/>
    <mergeCell ref="AE221:AJ221"/>
    <mergeCell ref="AK221:AP221"/>
    <mergeCell ref="AQ219:AV219"/>
    <mergeCell ref="AW219:BB219"/>
    <mergeCell ref="A220:B220"/>
    <mergeCell ref="C220:U220"/>
    <mergeCell ref="V220:X220"/>
    <mergeCell ref="Y220:AD220"/>
    <mergeCell ref="AE220:AJ220"/>
    <mergeCell ref="AK220:AP220"/>
    <mergeCell ref="AQ220:AV220"/>
    <mergeCell ref="AW220:BB220"/>
    <mergeCell ref="A219:B219"/>
    <mergeCell ref="C219:U219"/>
    <mergeCell ref="V219:X219"/>
    <mergeCell ref="Y219:AD219"/>
    <mergeCell ref="AE219:AJ219"/>
    <mergeCell ref="AK219:AP219"/>
    <mergeCell ref="AQ217:AV217"/>
    <mergeCell ref="AW217:BB217"/>
    <mergeCell ref="A218:B218"/>
    <mergeCell ref="C218:U218"/>
    <mergeCell ref="V218:X218"/>
    <mergeCell ref="Y218:AD218"/>
    <mergeCell ref="AE218:AJ218"/>
    <mergeCell ref="AK218:AP218"/>
    <mergeCell ref="AQ218:AV218"/>
    <mergeCell ref="AW218:BB218"/>
    <mergeCell ref="A217:B217"/>
    <mergeCell ref="C217:U217"/>
    <mergeCell ref="V217:X217"/>
    <mergeCell ref="Y217:AD217"/>
    <mergeCell ref="AE217:AJ217"/>
    <mergeCell ref="AK217:AP217"/>
    <mergeCell ref="AQ215:AV215"/>
    <mergeCell ref="AW215:BB215"/>
    <mergeCell ref="A216:B216"/>
    <mergeCell ref="C216:U216"/>
    <mergeCell ref="V216:X216"/>
    <mergeCell ref="Y216:AD216"/>
    <mergeCell ref="AE216:AJ216"/>
    <mergeCell ref="AK216:AP216"/>
    <mergeCell ref="AQ216:AV216"/>
    <mergeCell ref="AW216:BB216"/>
    <mergeCell ref="A215:B215"/>
    <mergeCell ref="C215:U215"/>
    <mergeCell ref="V215:X215"/>
    <mergeCell ref="Y215:AD215"/>
    <mergeCell ref="AE215:AJ215"/>
    <mergeCell ref="AK215:AP215"/>
    <mergeCell ref="AQ213:AV213"/>
    <mergeCell ref="AW213:BB213"/>
    <mergeCell ref="A214:B214"/>
    <mergeCell ref="C214:U214"/>
    <mergeCell ref="V214:X214"/>
    <mergeCell ref="Y214:AD214"/>
    <mergeCell ref="AE214:AJ214"/>
    <mergeCell ref="AK214:AP214"/>
    <mergeCell ref="AQ214:AV214"/>
    <mergeCell ref="AW214:BB214"/>
    <mergeCell ref="A213:B213"/>
    <mergeCell ref="C213:U213"/>
    <mergeCell ref="V213:X213"/>
    <mergeCell ref="Y213:AD213"/>
    <mergeCell ref="AE213:AJ213"/>
    <mergeCell ref="AK213:AP213"/>
    <mergeCell ref="AQ211:AV211"/>
    <mergeCell ref="AW211:BB211"/>
    <mergeCell ref="A212:B212"/>
    <mergeCell ref="C212:U212"/>
    <mergeCell ref="V212:X212"/>
    <mergeCell ref="Y212:AD212"/>
    <mergeCell ref="AE212:AJ212"/>
    <mergeCell ref="AK212:AP212"/>
    <mergeCell ref="AQ212:AV212"/>
    <mergeCell ref="AW212:BB212"/>
    <mergeCell ref="A211:B211"/>
    <mergeCell ref="C211:U211"/>
    <mergeCell ref="V211:X211"/>
    <mergeCell ref="Y211:AD211"/>
    <mergeCell ref="AE211:AJ211"/>
    <mergeCell ref="AK211:AP211"/>
    <mergeCell ref="AQ209:AV209"/>
    <mergeCell ref="AW209:BB209"/>
    <mergeCell ref="A210:B210"/>
    <mergeCell ref="C210:U210"/>
    <mergeCell ref="V210:X210"/>
    <mergeCell ref="Y210:AD210"/>
    <mergeCell ref="AE210:AJ210"/>
    <mergeCell ref="AK210:AP210"/>
    <mergeCell ref="AQ210:AV210"/>
    <mergeCell ref="AW210:BB210"/>
    <mergeCell ref="A209:B209"/>
    <mergeCell ref="C209:U209"/>
    <mergeCell ref="V209:X209"/>
    <mergeCell ref="Y209:AD209"/>
    <mergeCell ref="AE209:AJ209"/>
    <mergeCell ref="AK209:AP209"/>
    <mergeCell ref="AQ207:AV207"/>
    <mergeCell ref="AW207:BB207"/>
    <mergeCell ref="A208:B208"/>
    <mergeCell ref="C208:U208"/>
    <mergeCell ref="V208:X208"/>
    <mergeCell ref="Y208:AD208"/>
    <mergeCell ref="AE208:AJ208"/>
    <mergeCell ref="AK208:AP208"/>
    <mergeCell ref="AQ208:AV208"/>
    <mergeCell ref="AW208:BB208"/>
    <mergeCell ref="A207:B207"/>
    <mergeCell ref="C207:U207"/>
    <mergeCell ref="V207:X207"/>
    <mergeCell ref="Y207:AD207"/>
    <mergeCell ref="AE207:AJ207"/>
    <mergeCell ref="AK207:AP207"/>
    <mergeCell ref="AQ205:AV205"/>
    <mergeCell ref="AW205:BB205"/>
    <mergeCell ref="A206:B206"/>
    <mergeCell ref="C206:U206"/>
    <mergeCell ref="V206:X206"/>
    <mergeCell ref="Y206:AD206"/>
    <mergeCell ref="AE206:AJ206"/>
    <mergeCell ref="AK206:AP206"/>
    <mergeCell ref="AQ206:AV206"/>
    <mergeCell ref="AW206:BB206"/>
    <mergeCell ref="A205:B205"/>
    <mergeCell ref="C205:U205"/>
    <mergeCell ref="V205:X205"/>
    <mergeCell ref="Y205:AD205"/>
    <mergeCell ref="AE205:AJ205"/>
    <mergeCell ref="AK205:AP205"/>
    <mergeCell ref="AQ203:AV203"/>
    <mergeCell ref="AW203:BB203"/>
    <mergeCell ref="A204:B204"/>
    <mergeCell ref="C204:U204"/>
    <mergeCell ref="V204:X204"/>
    <mergeCell ref="Y204:AD204"/>
    <mergeCell ref="AE204:AJ204"/>
    <mergeCell ref="AK204:AP204"/>
    <mergeCell ref="AQ204:AV204"/>
    <mergeCell ref="AW204:BB204"/>
    <mergeCell ref="A203:B203"/>
    <mergeCell ref="C203:U203"/>
    <mergeCell ref="V203:X203"/>
    <mergeCell ref="Y203:AD203"/>
    <mergeCell ref="AE203:AJ203"/>
    <mergeCell ref="AK203:AP203"/>
    <mergeCell ref="AQ201:AV201"/>
    <mergeCell ref="AW201:BB201"/>
    <mergeCell ref="A202:B202"/>
    <mergeCell ref="C202:U202"/>
    <mergeCell ref="V202:X202"/>
    <mergeCell ref="Y202:AD202"/>
    <mergeCell ref="AE202:AJ202"/>
    <mergeCell ref="AK202:AP202"/>
    <mergeCell ref="AQ202:AV202"/>
    <mergeCell ref="AW202:BB202"/>
    <mergeCell ref="A201:B201"/>
    <mergeCell ref="C201:U201"/>
    <mergeCell ref="V201:X201"/>
    <mergeCell ref="Y201:AD201"/>
    <mergeCell ref="AE201:AJ201"/>
    <mergeCell ref="AK201:AP201"/>
    <mergeCell ref="AQ199:AV199"/>
    <mergeCell ref="AW199:BB199"/>
    <mergeCell ref="A200:B200"/>
    <mergeCell ref="C200:U200"/>
    <mergeCell ref="V200:X200"/>
    <mergeCell ref="Y200:AD200"/>
    <mergeCell ref="AE200:AJ200"/>
    <mergeCell ref="AK200:AP200"/>
    <mergeCell ref="AQ200:AV200"/>
    <mergeCell ref="AW200:BB200"/>
    <mergeCell ref="A199:B199"/>
    <mergeCell ref="C199:U199"/>
    <mergeCell ref="V199:X199"/>
    <mergeCell ref="Y199:AD199"/>
    <mergeCell ref="AE199:AJ199"/>
    <mergeCell ref="AK199:AP199"/>
    <mergeCell ref="AQ197:AV197"/>
    <mergeCell ref="AW197:BB197"/>
    <mergeCell ref="A198:B198"/>
    <mergeCell ref="C198:U198"/>
    <mergeCell ref="V198:X198"/>
    <mergeCell ref="Y198:AD198"/>
    <mergeCell ref="AE198:AJ198"/>
    <mergeCell ref="AK198:AP198"/>
    <mergeCell ref="AQ198:AV198"/>
    <mergeCell ref="AW198:BB198"/>
    <mergeCell ref="A197:B197"/>
    <mergeCell ref="C197:U197"/>
    <mergeCell ref="V197:X197"/>
    <mergeCell ref="Y197:AD197"/>
    <mergeCell ref="AE197:AJ197"/>
    <mergeCell ref="AK197:AP197"/>
    <mergeCell ref="AQ195:AV195"/>
    <mergeCell ref="AW195:BB195"/>
    <mergeCell ref="A196:B196"/>
    <mergeCell ref="C196:U196"/>
    <mergeCell ref="V196:X196"/>
    <mergeCell ref="Y196:AD196"/>
    <mergeCell ref="AE196:AJ196"/>
    <mergeCell ref="AK196:AP196"/>
    <mergeCell ref="AQ196:AV196"/>
    <mergeCell ref="AW196:BB196"/>
    <mergeCell ref="A195:B195"/>
    <mergeCell ref="C195:U195"/>
    <mergeCell ref="V195:X195"/>
    <mergeCell ref="Y195:AD195"/>
    <mergeCell ref="AE195:AJ195"/>
    <mergeCell ref="AK195:AP195"/>
    <mergeCell ref="AQ193:AV193"/>
    <mergeCell ref="AW193:BB193"/>
    <mergeCell ref="A194:B194"/>
    <mergeCell ref="C194:U194"/>
    <mergeCell ref="V194:X194"/>
    <mergeCell ref="Y194:AD194"/>
    <mergeCell ref="AE194:AJ194"/>
    <mergeCell ref="AK194:AP194"/>
    <mergeCell ref="AQ194:AV194"/>
    <mergeCell ref="AW194:BB194"/>
    <mergeCell ref="A193:B193"/>
    <mergeCell ref="C193:U193"/>
    <mergeCell ref="V193:X193"/>
    <mergeCell ref="Y193:AD193"/>
    <mergeCell ref="AE193:AJ193"/>
    <mergeCell ref="AK193:AP193"/>
    <mergeCell ref="AQ191:AV191"/>
    <mergeCell ref="AW191:BB191"/>
    <mergeCell ref="A192:B192"/>
    <mergeCell ref="C192:U192"/>
    <mergeCell ref="V192:X192"/>
    <mergeCell ref="Y192:AD192"/>
    <mergeCell ref="AE192:AJ192"/>
    <mergeCell ref="AK192:AP192"/>
    <mergeCell ref="AQ192:AV192"/>
    <mergeCell ref="AW192:BB192"/>
    <mergeCell ref="A191:B191"/>
    <mergeCell ref="C191:U191"/>
    <mergeCell ref="V191:X191"/>
    <mergeCell ref="Y191:AD191"/>
    <mergeCell ref="AE191:AJ191"/>
    <mergeCell ref="AK191:AP191"/>
    <mergeCell ref="AQ189:AV189"/>
    <mergeCell ref="AW189:BB189"/>
    <mergeCell ref="A190:B190"/>
    <mergeCell ref="C190:U190"/>
    <mergeCell ref="V190:X190"/>
    <mergeCell ref="Y190:AD190"/>
    <mergeCell ref="AE190:AJ190"/>
    <mergeCell ref="AK190:AP190"/>
    <mergeCell ref="AQ190:AV190"/>
    <mergeCell ref="AW190:BB190"/>
    <mergeCell ref="A189:B189"/>
    <mergeCell ref="C189:U189"/>
    <mergeCell ref="V189:X189"/>
    <mergeCell ref="Y189:AD189"/>
    <mergeCell ref="AE189:AJ189"/>
    <mergeCell ref="AK189:AP189"/>
    <mergeCell ref="AQ187:AV187"/>
    <mergeCell ref="AW187:BB187"/>
    <mergeCell ref="A188:B188"/>
    <mergeCell ref="C188:U188"/>
    <mergeCell ref="V188:X188"/>
    <mergeCell ref="Y188:AD188"/>
    <mergeCell ref="AE188:AJ188"/>
    <mergeCell ref="AK188:AP188"/>
    <mergeCell ref="AQ188:AV188"/>
    <mergeCell ref="AW188:BB188"/>
    <mergeCell ref="A187:B187"/>
    <mergeCell ref="C187:U187"/>
    <mergeCell ref="V187:X187"/>
    <mergeCell ref="Y187:AD187"/>
    <mergeCell ref="AE187:AJ187"/>
    <mergeCell ref="AK187:AP187"/>
    <mergeCell ref="AQ185:AV185"/>
    <mergeCell ref="AW185:BB185"/>
    <mergeCell ref="A186:B186"/>
    <mergeCell ref="C186:U186"/>
    <mergeCell ref="V186:X186"/>
    <mergeCell ref="Y186:AD186"/>
    <mergeCell ref="AE186:AJ186"/>
    <mergeCell ref="AK186:AP186"/>
    <mergeCell ref="AQ186:AV186"/>
    <mergeCell ref="AW186:BB186"/>
    <mergeCell ref="A185:B185"/>
    <mergeCell ref="C185:U185"/>
    <mergeCell ref="V185:X185"/>
    <mergeCell ref="Y185:AD185"/>
    <mergeCell ref="AE185:AJ185"/>
    <mergeCell ref="AK185:AP185"/>
    <mergeCell ref="AQ183:AV183"/>
    <mergeCell ref="AW183:BB183"/>
    <mergeCell ref="A184:B184"/>
    <mergeCell ref="C184:U184"/>
    <mergeCell ref="V184:X184"/>
    <mergeCell ref="Y184:AD184"/>
    <mergeCell ref="AE184:AJ184"/>
    <mergeCell ref="AK184:AP184"/>
    <mergeCell ref="AQ184:AV184"/>
    <mergeCell ref="AW184:BB184"/>
    <mergeCell ref="A183:B183"/>
    <mergeCell ref="C183:U183"/>
    <mergeCell ref="V183:X183"/>
    <mergeCell ref="Y183:AD183"/>
    <mergeCell ref="AE183:AJ183"/>
    <mergeCell ref="AK183:AP183"/>
    <mergeCell ref="AQ181:AV181"/>
    <mergeCell ref="AW181:BB181"/>
    <mergeCell ref="A182:B182"/>
    <mergeCell ref="C182:U182"/>
    <mergeCell ref="V182:X182"/>
    <mergeCell ref="Y182:AD182"/>
    <mergeCell ref="AE182:AJ182"/>
    <mergeCell ref="AK182:AP182"/>
    <mergeCell ref="AQ182:AV182"/>
    <mergeCell ref="AW182:BB182"/>
    <mergeCell ref="A181:B181"/>
    <mergeCell ref="C181:U181"/>
    <mergeCell ref="V181:X181"/>
    <mergeCell ref="Y181:AD181"/>
    <mergeCell ref="AE181:AJ181"/>
    <mergeCell ref="AK181:AP181"/>
    <mergeCell ref="AQ179:AV179"/>
    <mergeCell ref="AW179:BB179"/>
    <mergeCell ref="A180:B180"/>
    <mergeCell ref="C180:U180"/>
    <mergeCell ref="V180:X180"/>
    <mergeCell ref="Y180:AD180"/>
    <mergeCell ref="AE180:AJ180"/>
    <mergeCell ref="AK180:AP180"/>
    <mergeCell ref="AQ180:AV180"/>
    <mergeCell ref="AW180:BB180"/>
    <mergeCell ref="A179:B179"/>
    <mergeCell ref="C179:U179"/>
    <mergeCell ref="V179:X179"/>
    <mergeCell ref="Y179:AD179"/>
    <mergeCell ref="AE179:AJ179"/>
    <mergeCell ref="AK179:AP179"/>
    <mergeCell ref="AQ177:AV177"/>
    <mergeCell ref="AW177:BB177"/>
    <mergeCell ref="A178:B178"/>
    <mergeCell ref="C178:U178"/>
    <mergeCell ref="V178:X178"/>
    <mergeCell ref="Y178:AD178"/>
    <mergeCell ref="AE178:AJ178"/>
    <mergeCell ref="AK178:AP178"/>
    <mergeCell ref="AQ178:AV178"/>
    <mergeCell ref="AW178:BB178"/>
    <mergeCell ref="A177:B177"/>
    <mergeCell ref="C177:U177"/>
    <mergeCell ref="V177:X177"/>
    <mergeCell ref="Y177:AD177"/>
    <mergeCell ref="AE177:AJ177"/>
    <mergeCell ref="AK177:AP177"/>
    <mergeCell ref="AQ175:AV175"/>
    <mergeCell ref="AW175:BB175"/>
    <mergeCell ref="A176:B176"/>
    <mergeCell ref="C176:U176"/>
    <mergeCell ref="V176:X176"/>
    <mergeCell ref="Y176:AD176"/>
    <mergeCell ref="AE176:AJ176"/>
    <mergeCell ref="AK176:AP176"/>
    <mergeCell ref="AQ176:AV176"/>
    <mergeCell ref="AW176:BB176"/>
    <mergeCell ref="A175:B175"/>
    <mergeCell ref="C175:U175"/>
    <mergeCell ref="V175:X175"/>
    <mergeCell ref="Y175:AD175"/>
    <mergeCell ref="AE175:AJ175"/>
    <mergeCell ref="AK175:AP175"/>
    <mergeCell ref="AQ173:AV173"/>
    <mergeCell ref="AW173:BB173"/>
    <mergeCell ref="A174:B174"/>
    <mergeCell ref="C174:U174"/>
    <mergeCell ref="V174:X174"/>
    <mergeCell ref="Y174:AD174"/>
    <mergeCell ref="AE174:AJ174"/>
    <mergeCell ref="AK174:AP174"/>
    <mergeCell ref="AQ174:AV174"/>
    <mergeCell ref="AW174:BB174"/>
    <mergeCell ref="A173:B173"/>
    <mergeCell ref="C173:U173"/>
    <mergeCell ref="V173:X173"/>
    <mergeCell ref="Y173:AD173"/>
    <mergeCell ref="AE173:AJ173"/>
    <mergeCell ref="AK173:AP173"/>
    <mergeCell ref="AQ171:AV171"/>
    <mergeCell ref="AW171:BB171"/>
    <mergeCell ref="A172:B172"/>
    <mergeCell ref="C172:U172"/>
    <mergeCell ref="V172:X172"/>
    <mergeCell ref="Y172:AD172"/>
    <mergeCell ref="AE172:AJ172"/>
    <mergeCell ref="AK172:AP172"/>
    <mergeCell ref="AQ172:AV172"/>
    <mergeCell ref="AW172:BB172"/>
    <mergeCell ref="A171:B171"/>
    <mergeCell ref="C171:U171"/>
    <mergeCell ref="V171:X171"/>
    <mergeCell ref="Y171:AD171"/>
    <mergeCell ref="AE171:AJ171"/>
    <mergeCell ref="AK171:AP171"/>
    <mergeCell ref="AQ169:AV169"/>
    <mergeCell ref="AW169:BB169"/>
    <mergeCell ref="A170:B170"/>
    <mergeCell ref="C170:U170"/>
    <mergeCell ref="V170:X170"/>
    <mergeCell ref="Y170:AD170"/>
    <mergeCell ref="AE170:AJ170"/>
    <mergeCell ref="AK170:AP170"/>
    <mergeCell ref="AQ170:AV170"/>
    <mergeCell ref="AW170:BB170"/>
    <mergeCell ref="A169:B169"/>
    <mergeCell ref="C169:U169"/>
    <mergeCell ref="V169:X169"/>
    <mergeCell ref="Y169:AD169"/>
    <mergeCell ref="AE169:AJ169"/>
    <mergeCell ref="AK169:AP169"/>
    <mergeCell ref="AQ167:AV167"/>
    <mergeCell ref="AW167:BB167"/>
    <mergeCell ref="A168:B168"/>
    <mergeCell ref="C168:U168"/>
    <mergeCell ref="V168:X168"/>
    <mergeCell ref="Y168:AD168"/>
    <mergeCell ref="AE168:AJ168"/>
    <mergeCell ref="AK168:AP168"/>
    <mergeCell ref="AQ168:AV168"/>
    <mergeCell ref="AW168:BB168"/>
    <mergeCell ref="A167:B167"/>
    <mergeCell ref="C167:U167"/>
    <mergeCell ref="V167:X167"/>
    <mergeCell ref="Y167:AD167"/>
    <mergeCell ref="AE167:AJ167"/>
    <mergeCell ref="AK167:AP167"/>
    <mergeCell ref="AQ165:AV165"/>
    <mergeCell ref="AW165:BB165"/>
    <mergeCell ref="A166:B166"/>
    <mergeCell ref="C166:U166"/>
    <mergeCell ref="V166:X166"/>
    <mergeCell ref="Y166:AD166"/>
    <mergeCell ref="AE166:AJ166"/>
    <mergeCell ref="AK166:AP166"/>
    <mergeCell ref="AQ166:AV166"/>
    <mergeCell ref="AW166:BB166"/>
    <mergeCell ref="A165:B165"/>
    <mergeCell ref="C165:U165"/>
    <mergeCell ref="V165:X165"/>
    <mergeCell ref="Y165:AD165"/>
    <mergeCell ref="AE165:AJ165"/>
    <mergeCell ref="AK165:AP165"/>
    <mergeCell ref="AQ163:AV163"/>
    <mergeCell ref="AW163:BB163"/>
    <mergeCell ref="A164:B164"/>
    <mergeCell ref="C164:U164"/>
    <mergeCell ref="V164:X164"/>
    <mergeCell ref="Y164:AD164"/>
    <mergeCell ref="AE164:AJ164"/>
    <mergeCell ref="AK164:AP164"/>
    <mergeCell ref="AQ164:AV164"/>
    <mergeCell ref="AW164:BB164"/>
    <mergeCell ref="A163:B163"/>
    <mergeCell ref="C163:U163"/>
    <mergeCell ref="V163:X163"/>
    <mergeCell ref="Y163:AD163"/>
    <mergeCell ref="AE163:AJ163"/>
    <mergeCell ref="AK163:AP163"/>
    <mergeCell ref="AQ161:AV161"/>
    <mergeCell ref="AW161:BB161"/>
    <mergeCell ref="A162:B162"/>
    <mergeCell ref="C162:U162"/>
    <mergeCell ref="V162:X162"/>
    <mergeCell ref="Y162:AD162"/>
    <mergeCell ref="AE162:AJ162"/>
    <mergeCell ref="AK162:AP162"/>
    <mergeCell ref="AQ162:AV162"/>
    <mergeCell ref="AW162:BB162"/>
    <mergeCell ref="A161:B161"/>
    <mergeCell ref="C161:U161"/>
    <mergeCell ref="V161:X161"/>
    <mergeCell ref="Y161:AD161"/>
    <mergeCell ref="AE161:AJ161"/>
    <mergeCell ref="AK161:AP161"/>
    <mergeCell ref="AQ159:AV159"/>
    <mergeCell ref="AW159:BB159"/>
    <mergeCell ref="A160:B160"/>
    <mergeCell ref="C160:U160"/>
    <mergeCell ref="V160:X160"/>
    <mergeCell ref="Y160:AD160"/>
    <mergeCell ref="AE160:AJ160"/>
    <mergeCell ref="AK160:AP160"/>
    <mergeCell ref="AQ160:AV160"/>
    <mergeCell ref="AW160:BB160"/>
    <mergeCell ref="A159:B159"/>
    <mergeCell ref="C159:U159"/>
    <mergeCell ref="V159:X159"/>
    <mergeCell ref="Y159:AD159"/>
    <mergeCell ref="AE159:AJ159"/>
    <mergeCell ref="AK159:AP159"/>
    <mergeCell ref="AQ157:AV157"/>
    <mergeCell ref="AW157:BB157"/>
    <mergeCell ref="A158:B158"/>
    <mergeCell ref="C158:U158"/>
    <mergeCell ref="V158:X158"/>
    <mergeCell ref="Y158:AD158"/>
    <mergeCell ref="AE158:AJ158"/>
    <mergeCell ref="AK158:AP158"/>
    <mergeCell ref="AQ158:AV158"/>
    <mergeCell ref="AW158:BB158"/>
    <mergeCell ref="A157:B157"/>
    <mergeCell ref="C157:U157"/>
    <mergeCell ref="V157:X157"/>
    <mergeCell ref="Y157:AD157"/>
    <mergeCell ref="AE157:AJ157"/>
    <mergeCell ref="AK157:AP157"/>
    <mergeCell ref="AQ155:AV155"/>
    <mergeCell ref="AW155:BB155"/>
    <mergeCell ref="A156:B156"/>
    <mergeCell ref="C156:U156"/>
    <mergeCell ref="V156:X156"/>
    <mergeCell ref="Y156:AD156"/>
    <mergeCell ref="AE156:AJ156"/>
    <mergeCell ref="AK156:AP156"/>
    <mergeCell ref="AQ156:AV156"/>
    <mergeCell ref="AW156:BB156"/>
    <mergeCell ref="A155:B155"/>
    <mergeCell ref="C155:U155"/>
    <mergeCell ref="V155:X155"/>
    <mergeCell ref="Y155:AD155"/>
    <mergeCell ref="AE155:AJ155"/>
    <mergeCell ref="AK155:AP155"/>
    <mergeCell ref="AQ153:AV153"/>
    <mergeCell ref="AW153:BB153"/>
    <mergeCell ref="A154:B154"/>
    <mergeCell ref="C154:U154"/>
    <mergeCell ref="V154:X154"/>
    <mergeCell ref="Y154:AD154"/>
    <mergeCell ref="AE154:AJ154"/>
    <mergeCell ref="AK154:AP154"/>
    <mergeCell ref="AQ154:AV154"/>
    <mergeCell ref="AW154:BB154"/>
    <mergeCell ref="A153:B153"/>
    <mergeCell ref="C153:U153"/>
    <mergeCell ref="V153:X153"/>
    <mergeCell ref="Y153:AD153"/>
    <mergeCell ref="AE153:AJ153"/>
    <mergeCell ref="AK153:AP153"/>
    <mergeCell ref="AQ151:AV151"/>
    <mergeCell ref="AW151:BB151"/>
    <mergeCell ref="A152:B152"/>
    <mergeCell ref="C152:U152"/>
    <mergeCell ref="V152:X152"/>
    <mergeCell ref="Y152:AD152"/>
    <mergeCell ref="AE152:AJ152"/>
    <mergeCell ref="AK152:AP152"/>
    <mergeCell ref="AQ152:AV152"/>
    <mergeCell ref="AW152:BB152"/>
    <mergeCell ref="A151:B151"/>
    <mergeCell ref="C151:U151"/>
    <mergeCell ref="V151:X151"/>
    <mergeCell ref="Y151:AD151"/>
    <mergeCell ref="AE151:AJ151"/>
    <mergeCell ref="AK151:AP151"/>
    <mergeCell ref="AQ149:AV149"/>
    <mergeCell ref="AW149:BB149"/>
    <mergeCell ref="A150:B150"/>
    <mergeCell ref="C150:U150"/>
    <mergeCell ref="V150:X150"/>
    <mergeCell ref="Y150:AD150"/>
    <mergeCell ref="AE150:AJ150"/>
    <mergeCell ref="AK150:AP150"/>
    <mergeCell ref="AQ150:AV150"/>
    <mergeCell ref="AW150:BB150"/>
    <mergeCell ref="A149:B149"/>
    <mergeCell ref="C149:U149"/>
    <mergeCell ref="V149:X149"/>
    <mergeCell ref="Y149:AD149"/>
    <mergeCell ref="AE149:AJ149"/>
    <mergeCell ref="AK149:AP149"/>
    <mergeCell ref="AQ147:AV147"/>
    <mergeCell ref="AW147:BB147"/>
    <mergeCell ref="A148:B148"/>
    <mergeCell ref="C148:U148"/>
    <mergeCell ref="V148:X148"/>
    <mergeCell ref="Y148:AD148"/>
    <mergeCell ref="AE148:AJ148"/>
    <mergeCell ref="AK148:AP148"/>
    <mergeCell ref="AQ148:AV148"/>
    <mergeCell ref="AW148:BB148"/>
    <mergeCell ref="A147:B147"/>
    <mergeCell ref="C147:U147"/>
    <mergeCell ref="V147:X147"/>
    <mergeCell ref="Y147:AD147"/>
    <mergeCell ref="AE147:AJ147"/>
    <mergeCell ref="AK147:AP147"/>
    <mergeCell ref="AQ145:AV145"/>
    <mergeCell ref="AW145:BB145"/>
    <mergeCell ref="A146:B146"/>
    <mergeCell ref="C146:U146"/>
    <mergeCell ref="V146:X146"/>
    <mergeCell ref="Y146:AD146"/>
    <mergeCell ref="AE146:AJ146"/>
    <mergeCell ref="AK146:AP146"/>
    <mergeCell ref="AQ146:AV146"/>
    <mergeCell ref="AW146:BB146"/>
    <mergeCell ref="A145:B145"/>
    <mergeCell ref="C145:U145"/>
    <mergeCell ref="V145:X145"/>
    <mergeCell ref="Y145:AD145"/>
    <mergeCell ref="AE145:AJ145"/>
    <mergeCell ref="AK145:AP145"/>
    <mergeCell ref="AQ143:AV143"/>
    <mergeCell ref="AW143:BB143"/>
    <mergeCell ref="A144:B144"/>
    <mergeCell ref="C144:U144"/>
    <mergeCell ref="V144:X144"/>
    <mergeCell ref="Y144:AD144"/>
    <mergeCell ref="AE144:AJ144"/>
    <mergeCell ref="AK144:AP144"/>
    <mergeCell ref="AQ144:AV144"/>
    <mergeCell ref="AW144:BB144"/>
    <mergeCell ref="A143:B143"/>
    <mergeCell ref="C143:U143"/>
    <mergeCell ref="V143:X143"/>
    <mergeCell ref="Y143:AD143"/>
    <mergeCell ref="AE143:AJ143"/>
    <mergeCell ref="AK143:AP143"/>
    <mergeCell ref="AQ141:AV141"/>
    <mergeCell ref="AW141:BB141"/>
    <mergeCell ref="A142:B142"/>
    <mergeCell ref="C142:U142"/>
    <mergeCell ref="V142:X142"/>
    <mergeCell ref="Y142:AD142"/>
    <mergeCell ref="AE142:AJ142"/>
    <mergeCell ref="AK142:AP142"/>
    <mergeCell ref="AQ142:AV142"/>
    <mergeCell ref="AW142:BB142"/>
    <mergeCell ref="A141:B141"/>
    <mergeCell ref="C141:U141"/>
    <mergeCell ref="V141:X141"/>
    <mergeCell ref="Y141:AD141"/>
    <mergeCell ref="AE141:AJ141"/>
    <mergeCell ref="AK141:AP141"/>
    <mergeCell ref="AQ139:AV139"/>
    <mergeCell ref="AW139:BB139"/>
    <mergeCell ref="A140:B140"/>
    <mergeCell ref="C140:U140"/>
    <mergeCell ref="V140:X140"/>
    <mergeCell ref="Y140:AD140"/>
    <mergeCell ref="AE140:AJ140"/>
    <mergeCell ref="AK140:AP140"/>
    <mergeCell ref="AQ140:AV140"/>
    <mergeCell ref="AW140:BB140"/>
    <mergeCell ref="A139:B139"/>
    <mergeCell ref="C139:U139"/>
    <mergeCell ref="V139:X139"/>
    <mergeCell ref="Y139:AD139"/>
    <mergeCell ref="AE139:AJ139"/>
    <mergeCell ref="AK139:AP139"/>
    <mergeCell ref="AQ137:AV137"/>
    <mergeCell ref="AW137:BB137"/>
    <mergeCell ref="A138:B138"/>
    <mergeCell ref="C138:U138"/>
    <mergeCell ref="V138:X138"/>
    <mergeCell ref="Y138:AD138"/>
    <mergeCell ref="AE138:AJ138"/>
    <mergeCell ref="AK138:AP138"/>
    <mergeCell ref="AQ138:AV138"/>
    <mergeCell ref="AW138:BB138"/>
    <mergeCell ref="A137:B137"/>
    <mergeCell ref="C137:U137"/>
    <mergeCell ref="V137:X137"/>
    <mergeCell ref="Y137:AD137"/>
    <mergeCell ref="AE137:AJ137"/>
    <mergeCell ref="AK137:AP137"/>
    <mergeCell ref="AQ135:AV135"/>
    <mergeCell ref="AW135:BB135"/>
    <mergeCell ref="A136:B136"/>
    <mergeCell ref="C136:U136"/>
    <mergeCell ref="V136:X136"/>
    <mergeCell ref="Y136:AD136"/>
    <mergeCell ref="AE136:AJ136"/>
    <mergeCell ref="AK136:AP136"/>
    <mergeCell ref="AQ136:AV136"/>
    <mergeCell ref="AW136:BB136"/>
    <mergeCell ref="A135:B135"/>
    <mergeCell ref="C135:U135"/>
    <mergeCell ref="V135:X135"/>
    <mergeCell ref="Y135:AD135"/>
    <mergeCell ref="AE135:AJ135"/>
    <mergeCell ref="AK135:AP135"/>
    <mergeCell ref="AQ133:AV133"/>
    <mergeCell ref="AW133:BB133"/>
    <mergeCell ref="A134:B134"/>
    <mergeCell ref="C134:U134"/>
    <mergeCell ref="V134:X134"/>
    <mergeCell ref="Y134:AD134"/>
    <mergeCell ref="AE134:AJ134"/>
    <mergeCell ref="AK134:AP134"/>
    <mergeCell ref="AQ134:AV134"/>
    <mergeCell ref="AW134:BB134"/>
    <mergeCell ref="A133:B133"/>
    <mergeCell ref="C133:U133"/>
    <mergeCell ref="V133:X133"/>
    <mergeCell ref="Y133:AD133"/>
    <mergeCell ref="AE133:AJ133"/>
    <mergeCell ref="AK133:AP133"/>
    <mergeCell ref="AQ131:AV131"/>
    <mergeCell ref="AW131:BB131"/>
    <mergeCell ref="A132:B132"/>
    <mergeCell ref="C132:U132"/>
    <mergeCell ref="V132:X132"/>
    <mergeCell ref="Y132:AD132"/>
    <mergeCell ref="AE132:AJ132"/>
    <mergeCell ref="AK132:AP132"/>
    <mergeCell ref="AQ132:AV132"/>
    <mergeCell ref="AW132:BB132"/>
    <mergeCell ref="A131:B131"/>
    <mergeCell ref="C131:U131"/>
    <mergeCell ref="V131:X131"/>
    <mergeCell ref="Y131:AD131"/>
    <mergeCell ref="AE131:AJ131"/>
    <mergeCell ref="AK131:AP131"/>
    <mergeCell ref="AQ129:AV129"/>
    <mergeCell ref="AW129:BB129"/>
    <mergeCell ref="A130:B130"/>
    <mergeCell ref="C130:U130"/>
    <mergeCell ref="V130:X130"/>
    <mergeCell ref="Y130:AD130"/>
    <mergeCell ref="AE130:AJ130"/>
    <mergeCell ref="AK130:AP130"/>
    <mergeCell ref="AQ130:AV130"/>
    <mergeCell ref="AW130:BB130"/>
    <mergeCell ref="A129:B129"/>
    <mergeCell ref="C129:U129"/>
    <mergeCell ref="V129:X129"/>
    <mergeCell ref="Y129:AD129"/>
    <mergeCell ref="AE129:AJ129"/>
    <mergeCell ref="AK129:AP129"/>
    <mergeCell ref="AQ127:AV127"/>
    <mergeCell ref="AW127:BB127"/>
    <mergeCell ref="A128:B128"/>
    <mergeCell ref="C128:U128"/>
    <mergeCell ref="V128:X128"/>
    <mergeCell ref="Y128:AD128"/>
    <mergeCell ref="AE128:AJ128"/>
    <mergeCell ref="AK128:AP128"/>
    <mergeCell ref="AQ128:AV128"/>
    <mergeCell ref="AW128:BB128"/>
    <mergeCell ref="A127:B127"/>
    <mergeCell ref="C127:U127"/>
    <mergeCell ref="V127:X127"/>
    <mergeCell ref="Y127:AD127"/>
    <mergeCell ref="AE127:AJ127"/>
    <mergeCell ref="AK127:AP127"/>
    <mergeCell ref="AQ125:AV125"/>
    <mergeCell ref="AW125:BB125"/>
    <mergeCell ref="A126:B126"/>
    <mergeCell ref="C126:U126"/>
    <mergeCell ref="V126:X126"/>
    <mergeCell ref="Y126:AD126"/>
    <mergeCell ref="AE126:AJ126"/>
    <mergeCell ref="AK126:AP126"/>
    <mergeCell ref="AQ126:AV126"/>
    <mergeCell ref="AW126:BB126"/>
    <mergeCell ref="A125:B125"/>
    <mergeCell ref="C125:U125"/>
    <mergeCell ref="V125:X125"/>
    <mergeCell ref="Y125:AD125"/>
    <mergeCell ref="AE125:AJ125"/>
    <mergeCell ref="AK125:AP125"/>
    <mergeCell ref="AQ123:AV123"/>
    <mergeCell ref="AW123:BB123"/>
    <mergeCell ref="A124:B124"/>
    <mergeCell ref="C124:U124"/>
    <mergeCell ref="V124:X124"/>
    <mergeCell ref="Y124:AD124"/>
    <mergeCell ref="AE124:AJ124"/>
    <mergeCell ref="AK124:AP124"/>
    <mergeCell ref="AQ124:AV124"/>
    <mergeCell ref="AW124:BB124"/>
    <mergeCell ref="A123:B123"/>
    <mergeCell ref="C123:U123"/>
    <mergeCell ref="V123:X123"/>
    <mergeCell ref="Y123:AD123"/>
    <mergeCell ref="AE123:AJ123"/>
    <mergeCell ref="AK123:AP123"/>
    <mergeCell ref="AQ121:AV121"/>
    <mergeCell ref="AW121:BB121"/>
    <mergeCell ref="A122:B122"/>
    <mergeCell ref="C122:U122"/>
    <mergeCell ref="V122:X122"/>
    <mergeCell ref="Y122:AD122"/>
    <mergeCell ref="AE122:AJ122"/>
    <mergeCell ref="AK122:AP122"/>
    <mergeCell ref="AQ122:AV122"/>
    <mergeCell ref="AW122:BB122"/>
    <mergeCell ref="A121:B121"/>
    <mergeCell ref="C121:U121"/>
    <mergeCell ref="V121:X121"/>
    <mergeCell ref="Y121:AD121"/>
    <mergeCell ref="AE121:AJ121"/>
    <mergeCell ref="AK121:AP121"/>
    <mergeCell ref="AQ119:AV119"/>
    <mergeCell ref="AW119:BB119"/>
    <mergeCell ref="A120:B120"/>
    <mergeCell ref="C120:U120"/>
    <mergeCell ref="V120:X120"/>
    <mergeCell ref="Y120:AD120"/>
    <mergeCell ref="AE120:AJ120"/>
    <mergeCell ref="AK120:AP120"/>
    <mergeCell ref="AQ120:AV120"/>
    <mergeCell ref="AW120:BB120"/>
    <mergeCell ref="A119:B119"/>
    <mergeCell ref="C119:U119"/>
    <mergeCell ref="V119:X119"/>
    <mergeCell ref="Y119:AD119"/>
    <mergeCell ref="AE119:AJ119"/>
    <mergeCell ref="AK119:AP119"/>
    <mergeCell ref="AQ117:AV117"/>
    <mergeCell ref="AW117:BB117"/>
    <mergeCell ref="A118:B118"/>
    <mergeCell ref="C118:U118"/>
    <mergeCell ref="V118:X118"/>
    <mergeCell ref="Y118:AD118"/>
    <mergeCell ref="AE118:AJ118"/>
    <mergeCell ref="AK118:AP118"/>
    <mergeCell ref="AQ118:AV118"/>
    <mergeCell ref="AW118:BB118"/>
    <mergeCell ref="A117:B117"/>
    <mergeCell ref="C117:U117"/>
    <mergeCell ref="V117:X117"/>
    <mergeCell ref="Y117:AD117"/>
    <mergeCell ref="AE117:AJ117"/>
    <mergeCell ref="AK117:AP117"/>
    <mergeCell ref="AQ115:AV115"/>
    <mergeCell ref="AW115:BB115"/>
    <mergeCell ref="A116:B116"/>
    <mergeCell ref="C116:U116"/>
    <mergeCell ref="V116:X116"/>
    <mergeCell ref="Y116:AD116"/>
    <mergeCell ref="AE116:AJ116"/>
    <mergeCell ref="AK116:AP116"/>
    <mergeCell ref="AQ116:AV116"/>
    <mergeCell ref="AW116:BB116"/>
    <mergeCell ref="A115:B115"/>
    <mergeCell ref="C115:U115"/>
    <mergeCell ref="V115:X115"/>
    <mergeCell ref="Y115:AD115"/>
    <mergeCell ref="AE115:AJ115"/>
    <mergeCell ref="AK115:AP115"/>
    <mergeCell ref="AQ113:AV113"/>
    <mergeCell ref="AW113:BB113"/>
    <mergeCell ref="A114:B114"/>
    <mergeCell ref="C114:U114"/>
    <mergeCell ref="V114:X114"/>
    <mergeCell ref="Y114:AD114"/>
    <mergeCell ref="AE114:AJ114"/>
    <mergeCell ref="AK114:AP114"/>
    <mergeCell ref="AQ114:AV114"/>
    <mergeCell ref="AW114:BB114"/>
    <mergeCell ref="A113:B113"/>
    <mergeCell ref="C113:U113"/>
    <mergeCell ref="V113:X113"/>
    <mergeCell ref="Y113:AD113"/>
    <mergeCell ref="AE113:AJ113"/>
    <mergeCell ref="AK113:AP113"/>
    <mergeCell ref="AQ111:AV111"/>
    <mergeCell ref="AW111:BB111"/>
    <mergeCell ref="A112:B112"/>
    <mergeCell ref="C112:U112"/>
    <mergeCell ref="V112:X112"/>
    <mergeCell ref="Y112:AD112"/>
    <mergeCell ref="AE112:AJ112"/>
    <mergeCell ref="AK112:AP112"/>
    <mergeCell ref="AQ112:AV112"/>
    <mergeCell ref="AW112:BB112"/>
    <mergeCell ref="A111:B111"/>
    <mergeCell ref="C111:U111"/>
    <mergeCell ref="V111:X111"/>
    <mergeCell ref="Y111:AD111"/>
    <mergeCell ref="AE111:AJ111"/>
    <mergeCell ref="AK111:AP111"/>
    <mergeCell ref="AQ109:AV109"/>
    <mergeCell ref="AW109:BB109"/>
    <mergeCell ref="A110:B110"/>
    <mergeCell ref="C110:U110"/>
    <mergeCell ref="V110:X110"/>
    <mergeCell ref="Y110:AD110"/>
    <mergeCell ref="AE110:AJ110"/>
    <mergeCell ref="AK110:AP110"/>
    <mergeCell ref="AQ110:AV110"/>
    <mergeCell ref="AW110:BB110"/>
    <mergeCell ref="A109:B109"/>
    <mergeCell ref="C109:U109"/>
    <mergeCell ref="V109:X109"/>
    <mergeCell ref="Y109:AD109"/>
    <mergeCell ref="AE109:AJ109"/>
    <mergeCell ref="AK109:AP109"/>
    <mergeCell ref="AQ107:AV107"/>
    <mergeCell ref="AW107:BB107"/>
    <mergeCell ref="A108:B108"/>
    <mergeCell ref="C108:U108"/>
    <mergeCell ref="V108:X108"/>
    <mergeCell ref="Y108:AD108"/>
    <mergeCell ref="AE108:AJ108"/>
    <mergeCell ref="AK108:AP108"/>
    <mergeCell ref="AQ108:AV108"/>
    <mergeCell ref="AW108:BB108"/>
    <mergeCell ref="A107:B107"/>
    <mergeCell ref="C107:U107"/>
    <mergeCell ref="V107:X107"/>
    <mergeCell ref="Y107:AD107"/>
    <mergeCell ref="AE107:AJ107"/>
    <mergeCell ref="AK107:AP107"/>
    <mergeCell ref="AQ105:AV105"/>
    <mergeCell ref="AW105:BB105"/>
    <mergeCell ref="A106:B106"/>
    <mergeCell ref="C106:U106"/>
    <mergeCell ref="V106:X106"/>
    <mergeCell ref="Y106:AD106"/>
    <mergeCell ref="AE106:AJ106"/>
    <mergeCell ref="AK106:AP106"/>
    <mergeCell ref="AQ106:AV106"/>
    <mergeCell ref="AW106:BB106"/>
    <mergeCell ref="A105:B105"/>
    <mergeCell ref="C105:U105"/>
    <mergeCell ref="V105:X105"/>
    <mergeCell ref="Y105:AD105"/>
    <mergeCell ref="AE105:AJ105"/>
    <mergeCell ref="AK105:AP105"/>
    <mergeCell ref="AQ103:AV103"/>
    <mergeCell ref="AW103:BB103"/>
    <mergeCell ref="A104:B104"/>
    <mergeCell ref="C104:U104"/>
    <mergeCell ref="V104:X104"/>
    <mergeCell ref="Y104:AD104"/>
    <mergeCell ref="AE104:AJ104"/>
    <mergeCell ref="AK104:AP104"/>
    <mergeCell ref="AQ104:AV104"/>
    <mergeCell ref="AW104:BB104"/>
    <mergeCell ref="A103:B103"/>
    <mergeCell ref="C103:U103"/>
    <mergeCell ref="V103:X103"/>
    <mergeCell ref="Y103:AD103"/>
    <mergeCell ref="AE103:AJ103"/>
    <mergeCell ref="AK103:AP103"/>
    <mergeCell ref="AQ101:AV101"/>
    <mergeCell ref="AW101:BB101"/>
    <mergeCell ref="A102:B102"/>
    <mergeCell ref="C102:U102"/>
    <mergeCell ref="V102:X102"/>
    <mergeCell ref="Y102:AD102"/>
    <mergeCell ref="AE102:AJ102"/>
    <mergeCell ref="AK102:AP102"/>
    <mergeCell ref="AQ102:AV102"/>
    <mergeCell ref="AW102:BB102"/>
    <mergeCell ref="A101:B101"/>
    <mergeCell ref="C101:U101"/>
    <mergeCell ref="V101:X101"/>
    <mergeCell ref="Y101:AD101"/>
    <mergeCell ref="AE101:AJ101"/>
    <mergeCell ref="AK101:AP101"/>
    <mergeCell ref="AQ99:AV99"/>
    <mergeCell ref="AW99:BB99"/>
    <mergeCell ref="A100:B100"/>
    <mergeCell ref="C100:U100"/>
    <mergeCell ref="V100:X100"/>
    <mergeCell ref="Y100:AD100"/>
    <mergeCell ref="AE100:AJ100"/>
    <mergeCell ref="AK100:AP100"/>
    <mergeCell ref="AQ100:AV100"/>
    <mergeCell ref="AW100:BB100"/>
    <mergeCell ref="A99:B99"/>
    <mergeCell ref="C99:U99"/>
    <mergeCell ref="V99:X99"/>
    <mergeCell ref="Y99:AD99"/>
    <mergeCell ref="AE99:AJ99"/>
    <mergeCell ref="AK99:AP99"/>
    <mergeCell ref="AQ97:AV97"/>
    <mergeCell ref="AW97:BB97"/>
    <mergeCell ref="A98:B98"/>
    <mergeCell ref="C98:U98"/>
    <mergeCell ref="V98:X98"/>
    <mergeCell ref="Y98:AD98"/>
    <mergeCell ref="AE98:AJ98"/>
    <mergeCell ref="AK98:AP98"/>
    <mergeCell ref="AQ98:AV98"/>
    <mergeCell ref="AW98:BB98"/>
    <mergeCell ref="A97:B97"/>
    <mergeCell ref="C97:U97"/>
    <mergeCell ref="V97:X97"/>
    <mergeCell ref="Y97:AD97"/>
    <mergeCell ref="AE97:AJ97"/>
    <mergeCell ref="AK97:AP97"/>
    <mergeCell ref="AQ95:AV95"/>
    <mergeCell ref="AW95:BB95"/>
    <mergeCell ref="A96:B96"/>
    <mergeCell ref="C96:U96"/>
    <mergeCell ref="V96:X96"/>
    <mergeCell ref="Y96:AD96"/>
    <mergeCell ref="AE96:AJ96"/>
    <mergeCell ref="AK96:AP96"/>
    <mergeCell ref="AQ96:AV96"/>
    <mergeCell ref="AW96:BB96"/>
    <mergeCell ref="A95:B95"/>
    <mergeCell ref="C95:U95"/>
    <mergeCell ref="V95:X95"/>
    <mergeCell ref="Y95:AD95"/>
    <mergeCell ref="AE95:AJ95"/>
    <mergeCell ref="AK95:AP95"/>
    <mergeCell ref="AQ93:AV93"/>
    <mergeCell ref="AW93:BB93"/>
    <mergeCell ref="A94:B94"/>
    <mergeCell ref="C94:U94"/>
    <mergeCell ref="V94:X94"/>
    <mergeCell ref="Y94:AD94"/>
    <mergeCell ref="AE94:AJ94"/>
    <mergeCell ref="AK94:AP94"/>
    <mergeCell ref="AQ94:AV94"/>
    <mergeCell ref="AW94:BB94"/>
    <mergeCell ref="A93:B93"/>
    <mergeCell ref="C93:U93"/>
    <mergeCell ref="V93:X93"/>
    <mergeCell ref="Y93:AD93"/>
    <mergeCell ref="AE93:AJ93"/>
    <mergeCell ref="AK93:AP93"/>
    <mergeCell ref="AQ91:AV91"/>
    <mergeCell ref="AW91:BB91"/>
    <mergeCell ref="A92:B92"/>
    <mergeCell ref="C92:U92"/>
    <mergeCell ref="V92:X92"/>
    <mergeCell ref="Y92:AD92"/>
    <mergeCell ref="AE92:AJ92"/>
    <mergeCell ref="AK92:AP92"/>
    <mergeCell ref="AQ92:AV92"/>
    <mergeCell ref="AW92:BB92"/>
    <mergeCell ref="A91:B91"/>
    <mergeCell ref="C91:U91"/>
    <mergeCell ref="V91:X91"/>
    <mergeCell ref="Y91:AD91"/>
    <mergeCell ref="AE91:AJ91"/>
    <mergeCell ref="AK91:AP91"/>
    <mergeCell ref="AQ89:AV89"/>
    <mergeCell ref="AW89:BB89"/>
    <mergeCell ref="A90:B90"/>
    <mergeCell ref="C90:U90"/>
    <mergeCell ref="V90:X90"/>
    <mergeCell ref="Y90:AD90"/>
    <mergeCell ref="AE90:AJ90"/>
    <mergeCell ref="AK90:AP90"/>
    <mergeCell ref="AQ90:AV90"/>
    <mergeCell ref="AW90:BB90"/>
    <mergeCell ref="A89:B89"/>
    <mergeCell ref="C89:U89"/>
    <mergeCell ref="V89:X89"/>
    <mergeCell ref="Y89:AD89"/>
    <mergeCell ref="AE89:AJ89"/>
    <mergeCell ref="AK89:AP89"/>
    <mergeCell ref="AQ87:AV87"/>
    <mergeCell ref="AW87:BB87"/>
    <mergeCell ref="A88:B88"/>
    <mergeCell ref="C88:U88"/>
    <mergeCell ref="V88:X88"/>
    <mergeCell ref="Y88:AD88"/>
    <mergeCell ref="AE88:AJ88"/>
    <mergeCell ref="AK88:AP88"/>
    <mergeCell ref="AQ88:AV88"/>
    <mergeCell ref="AW88:BB88"/>
    <mergeCell ref="A87:B87"/>
    <mergeCell ref="C87:U87"/>
    <mergeCell ref="V87:X87"/>
    <mergeCell ref="Y87:AD87"/>
    <mergeCell ref="AE87:AJ87"/>
    <mergeCell ref="AK87:AP87"/>
    <mergeCell ref="AQ85:AV85"/>
    <mergeCell ref="AW85:BB85"/>
    <mergeCell ref="A86:B86"/>
    <mergeCell ref="C86:U86"/>
    <mergeCell ref="V86:X86"/>
    <mergeCell ref="Y86:AD86"/>
    <mergeCell ref="AE86:AJ86"/>
    <mergeCell ref="AK86:AP86"/>
    <mergeCell ref="AQ86:AV86"/>
    <mergeCell ref="AW86:BB86"/>
    <mergeCell ref="A85:B85"/>
    <mergeCell ref="C85:U85"/>
    <mergeCell ref="V85:X85"/>
    <mergeCell ref="Y85:AD85"/>
    <mergeCell ref="AE85:AJ85"/>
    <mergeCell ref="AK85:AP85"/>
    <mergeCell ref="AQ83:AV83"/>
    <mergeCell ref="AW83:BB83"/>
    <mergeCell ref="A84:B84"/>
    <mergeCell ref="C84:U84"/>
    <mergeCell ref="V84:X84"/>
    <mergeCell ref="Y84:AD84"/>
    <mergeCell ref="AE84:AJ84"/>
    <mergeCell ref="AK84:AP84"/>
    <mergeCell ref="AQ84:AV84"/>
    <mergeCell ref="AW84:BB84"/>
    <mergeCell ref="A83:B83"/>
    <mergeCell ref="C83:U83"/>
    <mergeCell ref="V83:X83"/>
    <mergeCell ref="Y83:AD83"/>
    <mergeCell ref="AE83:AJ83"/>
    <mergeCell ref="AK83:AP83"/>
    <mergeCell ref="AQ81:AV81"/>
    <mergeCell ref="AW81:BB81"/>
    <mergeCell ref="A82:B82"/>
    <mergeCell ref="C82:U82"/>
    <mergeCell ref="V82:X82"/>
    <mergeCell ref="Y82:AD82"/>
    <mergeCell ref="AE82:AJ82"/>
    <mergeCell ref="AK82:AP82"/>
    <mergeCell ref="AQ82:AV82"/>
    <mergeCell ref="AW82:BB82"/>
    <mergeCell ref="A81:B81"/>
    <mergeCell ref="C81:U81"/>
    <mergeCell ref="V81:X81"/>
    <mergeCell ref="Y81:AD81"/>
    <mergeCell ref="AE81:AJ81"/>
    <mergeCell ref="AK81:AP81"/>
    <mergeCell ref="AQ79:AV79"/>
    <mergeCell ref="AW79:BB79"/>
    <mergeCell ref="A80:B80"/>
    <mergeCell ref="C80:U80"/>
    <mergeCell ref="V80:X80"/>
    <mergeCell ref="Y80:AD80"/>
    <mergeCell ref="AE80:AJ80"/>
    <mergeCell ref="AK80:AP80"/>
    <mergeCell ref="AQ80:AV80"/>
    <mergeCell ref="AW80:BB80"/>
    <mergeCell ref="A79:B79"/>
    <mergeCell ref="C79:U79"/>
    <mergeCell ref="V79:X79"/>
    <mergeCell ref="Y79:AD79"/>
    <mergeCell ref="AE79:AJ79"/>
    <mergeCell ref="AK79:AP79"/>
    <mergeCell ref="AQ77:AV77"/>
    <mergeCell ref="AW77:BB77"/>
    <mergeCell ref="A78:B78"/>
    <mergeCell ref="C78:U78"/>
    <mergeCell ref="V78:X78"/>
    <mergeCell ref="Y78:AD78"/>
    <mergeCell ref="AE78:AJ78"/>
    <mergeCell ref="AK78:AP78"/>
    <mergeCell ref="AQ78:AV78"/>
    <mergeCell ref="AW78:BB78"/>
    <mergeCell ref="A77:B77"/>
    <mergeCell ref="C77:U77"/>
    <mergeCell ref="V77:X77"/>
    <mergeCell ref="Y77:AD77"/>
    <mergeCell ref="AE77:AJ77"/>
    <mergeCell ref="AK77:AP77"/>
    <mergeCell ref="AQ75:AV75"/>
    <mergeCell ref="AW75:BB75"/>
    <mergeCell ref="A76:B76"/>
    <mergeCell ref="C76:U76"/>
    <mergeCell ref="V76:X76"/>
    <mergeCell ref="Y76:AD76"/>
    <mergeCell ref="AE76:AJ76"/>
    <mergeCell ref="AK76:AP76"/>
    <mergeCell ref="AQ76:AV76"/>
    <mergeCell ref="AW76:BB76"/>
    <mergeCell ref="A75:B75"/>
    <mergeCell ref="C75:U75"/>
    <mergeCell ref="V75:X75"/>
    <mergeCell ref="Y75:AD75"/>
    <mergeCell ref="AE75:AJ75"/>
    <mergeCell ref="AK75:AP75"/>
    <mergeCell ref="AQ73:AV73"/>
    <mergeCell ref="AW73:BB73"/>
    <mergeCell ref="A74:B74"/>
    <mergeCell ref="C74:U74"/>
    <mergeCell ref="V74:X74"/>
    <mergeCell ref="Y74:AD74"/>
    <mergeCell ref="AE74:AJ74"/>
    <mergeCell ref="AK74:AP74"/>
    <mergeCell ref="AQ74:AV74"/>
    <mergeCell ref="AW74:BB74"/>
    <mergeCell ref="A73:B73"/>
    <mergeCell ref="C73:U73"/>
    <mergeCell ref="V73:X73"/>
    <mergeCell ref="Y73:AD73"/>
    <mergeCell ref="AE73:AJ73"/>
    <mergeCell ref="AK73:AP73"/>
    <mergeCell ref="AQ71:AV71"/>
    <mergeCell ref="AW71:BB71"/>
    <mergeCell ref="A72:B72"/>
    <mergeCell ref="C72:U72"/>
    <mergeCell ref="V72:X72"/>
    <mergeCell ref="Y72:AD72"/>
    <mergeCell ref="AE72:AJ72"/>
    <mergeCell ref="AK72:AP72"/>
    <mergeCell ref="AQ72:AV72"/>
    <mergeCell ref="AW72:BB72"/>
    <mergeCell ref="A71:B71"/>
    <mergeCell ref="C71:U71"/>
    <mergeCell ref="V71:X71"/>
    <mergeCell ref="Y71:AD71"/>
    <mergeCell ref="AE71:AJ71"/>
    <mergeCell ref="AK71:AP71"/>
    <mergeCell ref="AQ69:AV69"/>
    <mergeCell ref="AW69:BB69"/>
    <mergeCell ref="A70:B70"/>
    <mergeCell ref="C70:U70"/>
    <mergeCell ref="V70:X70"/>
    <mergeCell ref="Y70:AD70"/>
    <mergeCell ref="AE70:AJ70"/>
    <mergeCell ref="AK70:AP70"/>
    <mergeCell ref="AQ70:AV70"/>
    <mergeCell ref="AW70:BB70"/>
    <mergeCell ref="A69:B69"/>
    <mergeCell ref="C69:U69"/>
    <mergeCell ref="V69:X69"/>
    <mergeCell ref="Y69:AD69"/>
    <mergeCell ref="AE69:AJ69"/>
    <mergeCell ref="AK69:AP69"/>
    <mergeCell ref="AQ67:AV67"/>
    <mergeCell ref="AW67:BB67"/>
    <mergeCell ref="A68:B68"/>
    <mergeCell ref="C68:U68"/>
    <mergeCell ref="V68:X68"/>
    <mergeCell ref="Y68:AD68"/>
    <mergeCell ref="AE68:AJ68"/>
    <mergeCell ref="AK68:AP68"/>
    <mergeCell ref="AQ68:AV68"/>
    <mergeCell ref="AW68:BB68"/>
    <mergeCell ref="A67:B67"/>
    <mergeCell ref="C67:U67"/>
    <mergeCell ref="V67:X67"/>
    <mergeCell ref="Y67:AD67"/>
    <mergeCell ref="AE67:AJ67"/>
    <mergeCell ref="AK67:AP67"/>
    <mergeCell ref="AQ65:AV65"/>
    <mergeCell ref="AW65:BB65"/>
    <mergeCell ref="A66:B66"/>
    <mergeCell ref="C66:U66"/>
    <mergeCell ref="V66:X66"/>
    <mergeCell ref="Y66:AD66"/>
    <mergeCell ref="AE66:AJ66"/>
    <mergeCell ref="AK66:AP66"/>
    <mergeCell ref="AQ66:AV66"/>
    <mergeCell ref="AW66:BB66"/>
    <mergeCell ref="A65:B65"/>
    <mergeCell ref="C65:U65"/>
    <mergeCell ref="V65:X65"/>
    <mergeCell ref="Y65:AD65"/>
    <mergeCell ref="AE65:AJ65"/>
    <mergeCell ref="AK65:AP65"/>
    <mergeCell ref="AQ63:AV63"/>
    <mergeCell ref="AW63:BB63"/>
    <mergeCell ref="A64:B64"/>
    <mergeCell ref="C64:U64"/>
    <mergeCell ref="V64:X64"/>
    <mergeCell ref="Y64:AD64"/>
    <mergeCell ref="AE64:AJ64"/>
    <mergeCell ref="AK64:AP64"/>
    <mergeCell ref="AQ64:AV64"/>
    <mergeCell ref="AW64:BB64"/>
    <mergeCell ref="A63:B63"/>
    <mergeCell ref="C63:U63"/>
    <mergeCell ref="V63:X63"/>
    <mergeCell ref="Y63:AD63"/>
    <mergeCell ref="AE63:AJ63"/>
    <mergeCell ref="AK63:AP63"/>
    <mergeCell ref="AQ61:AV61"/>
    <mergeCell ref="AW61:BB61"/>
    <mergeCell ref="A62:B62"/>
    <mergeCell ref="C62:U62"/>
    <mergeCell ref="V62:X62"/>
    <mergeCell ref="Y62:AD62"/>
    <mergeCell ref="AE62:AJ62"/>
    <mergeCell ref="AK62:AP62"/>
    <mergeCell ref="AQ62:AV62"/>
    <mergeCell ref="AW62:BB62"/>
    <mergeCell ref="A61:B61"/>
    <mergeCell ref="C61:U61"/>
    <mergeCell ref="V61:X61"/>
    <mergeCell ref="Y61:AD61"/>
    <mergeCell ref="AE61:AJ61"/>
    <mergeCell ref="AK61:AP61"/>
    <mergeCell ref="AQ59:AV59"/>
    <mergeCell ref="AW59:BB59"/>
    <mergeCell ref="A60:B60"/>
    <mergeCell ref="C60:U60"/>
    <mergeCell ref="V60:X60"/>
    <mergeCell ref="Y60:AD60"/>
    <mergeCell ref="AE60:AJ60"/>
    <mergeCell ref="AK60:AP60"/>
    <mergeCell ref="AQ60:AV60"/>
    <mergeCell ref="AW60:BB60"/>
    <mergeCell ref="A59:B59"/>
    <mergeCell ref="C59:U59"/>
    <mergeCell ref="V59:X59"/>
    <mergeCell ref="Y59:AD59"/>
    <mergeCell ref="AE59:AJ59"/>
    <mergeCell ref="AK59:AP59"/>
    <mergeCell ref="AQ57:AV57"/>
    <mergeCell ref="AW57:BB57"/>
    <mergeCell ref="A58:B58"/>
    <mergeCell ref="C58:U58"/>
    <mergeCell ref="V58:X58"/>
    <mergeCell ref="Y58:AD58"/>
    <mergeCell ref="AE58:AJ58"/>
    <mergeCell ref="AK58:AP58"/>
    <mergeCell ref="AQ58:AV58"/>
    <mergeCell ref="AW58:BB58"/>
    <mergeCell ref="A57:B57"/>
    <mergeCell ref="C57:U57"/>
    <mergeCell ref="V57:X57"/>
    <mergeCell ref="Y57:AD57"/>
    <mergeCell ref="AE57:AJ57"/>
    <mergeCell ref="AK57:AP57"/>
    <mergeCell ref="AQ55:AV55"/>
    <mergeCell ref="AW55:BB55"/>
    <mergeCell ref="A56:B56"/>
    <mergeCell ref="C56:U56"/>
    <mergeCell ref="V56:X56"/>
    <mergeCell ref="Y56:AD56"/>
    <mergeCell ref="AE56:AJ56"/>
    <mergeCell ref="AK56:AP56"/>
    <mergeCell ref="AQ56:AV56"/>
    <mergeCell ref="AW56:BB56"/>
    <mergeCell ref="A55:B55"/>
    <mergeCell ref="C55:U55"/>
    <mergeCell ref="V55:X55"/>
    <mergeCell ref="Y55:AD55"/>
    <mergeCell ref="AE55:AJ55"/>
    <mergeCell ref="AK55:AP55"/>
    <mergeCell ref="AQ53:AV53"/>
    <mergeCell ref="AW53:BB53"/>
    <mergeCell ref="A54:B54"/>
    <mergeCell ref="C54:U54"/>
    <mergeCell ref="V54:X54"/>
    <mergeCell ref="Y54:AD54"/>
    <mergeCell ref="AE54:AJ54"/>
    <mergeCell ref="AK54:AP54"/>
    <mergeCell ref="AQ54:AV54"/>
    <mergeCell ref="AW54:BB54"/>
    <mergeCell ref="A53:B53"/>
    <mergeCell ref="C53:U53"/>
    <mergeCell ref="V53:X53"/>
    <mergeCell ref="Y53:AD53"/>
    <mergeCell ref="AE53:AJ53"/>
    <mergeCell ref="AK53:AP53"/>
    <mergeCell ref="AQ51:AV51"/>
    <mergeCell ref="AW51:BB51"/>
    <mergeCell ref="A52:B52"/>
    <mergeCell ref="C52:U52"/>
    <mergeCell ref="V52:X52"/>
    <mergeCell ref="Y52:AD52"/>
    <mergeCell ref="AE52:AJ52"/>
    <mergeCell ref="AK52:AP52"/>
    <mergeCell ref="AQ52:AV52"/>
    <mergeCell ref="AW52:BB52"/>
    <mergeCell ref="A51:B51"/>
    <mergeCell ref="C51:U51"/>
    <mergeCell ref="V51:X51"/>
    <mergeCell ref="Y51:AD51"/>
    <mergeCell ref="AE51:AJ51"/>
    <mergeCell ref="AK51:AP51"/>
    <mergeCell ref="AQ49:AV49"/>
    <mergeCell ref="AW49:BB49"/>
    <mergeCell ref="A50:B50"/>
    <mergeCell ref="C50:U50"/>
    <mergeCell ref="V50:X50"/>
    <mergeCell ref="Y50:AD50"/>
    <mergeCell ref="AE50:AJ50"/>
    <mergeCell ref="AK50:AP50"/>
    <mergeCell ref="AQ50:AV50"/>
    <mergeCell ref="AW50:BB50"/>
    <mergeCell ref="A49:B49"/>
    <mergeCell ref="C49:U49"/>
    <mergeCell ref="V49:X49"/>
    <mergeCell ref="Y49:AD49"/>
    <mergeCell ref="AE49:AJ49"/>
    <mergeCell ref="AK49:AP49"/>
    <mergeCell ref="AQ47:AV47"/>
    <mergeCell ref="AW47:BB47"/>
    <mergeCell ref="A48:B48"/>
    <mergeCell ref="C48:U48"/>
    <mergeCell ref="V48:X48"/>
    <mergeCell ref="Y48:AD48"/>
    <mergeCell ref="AE48:AJ48"/>
    <mergeCell ref="AK48:AP48"/>
    <mergeCell ref="AQ48:AV48"/>
    <mergeCell ref="AW48:BB48"/>
    <mergeCell ref="A47:B47"/>
    <mergeCell ref="C47:U47"/>
    <mergeCell ref="V47:X47"/>
    <mergeCell ref="Y47:AD47"/>
    <mergeCell ref="AE47:AJ47"/>
    <mergeCell ref="AK47:AP47"/>
    <mergeCell ref="AQ45:AV45"/>
    <mergeCell ref="AW45:BB45"/>
    <mergeCell ref="A46:B46"/>
    <mergeCell ref="C46:U46"/>
    <mergeCell ref="V46:X46"/>
    <mergeCell ref="Y46:AD46"/>
    <mergeCell ref="AE46:AJ46"/>
    <mergeCell ref="AK46:AP46"/>
    <mergeCell ref="AQ46:AV46"/>
    <mergeCell ref="AW46:BB46"/>
    <mergeCell ref="A45:B45"/>
    <mergeCell ref="C45:U45"/>
    <mergeCell ref="V45:X45"/>
    <mergeCell ref="Y45:AD45"/>
    <mergeCell ref="AE45:AJ45"/>
    <mergeCell ref="AK45:AP45"/>
    <mergeCell ref="AQ43:AV43"/>
    <mergeCell ref="AW43:BB43"/>
    <mergeCell ref="A44:B44"/>
    <mergeCell ref="C44:U44"/>
    <mergeCell ref="V44:X44"/>
    <mergeCell ref="Y44:AD44"/>
    <mergeCell ref="AE44:AJ44"/>
    <mergeCell ref="AK44:AP44"/>
    <mergeCell ref="AQ44:AV44"/>
    <mergeCell ref="AW44:BB44"/>
    <mergeCell ref="A43:B43"/>
    <mergeCell ref="C43:U43"/>
    <mergeCell ref="V43:X43"/>
    <mergeCell ref="Y43:AD43"/>
    <mergeCell ref="AE43:AJ43"/>
    <mergeCell ref="AK43:AP43"/>
    <mergeCell ref="AQ41:AV41"/>
    <mergeCell ref="AW41:BB41"/>
    <mergeCell ref="A42:B42"/>
    <mergeCell ref="C42:U42"/>
    <mergeCell ref="V42:X42"/>
    <mergeCell ref="Y42:AD42"/>
    <mergeCell ref="AE42:AJ42"/>
    <mergeCell ref="AK42:AP42"/>
    <mergeCell ref="AQ42:AV42"/>
    <mergeCell ref="AW42:BB42"/>
    <mergeCell ref="A41:B41"/>
    <mergeCell ref="C41:U41"/>
    <mergeCell ref="V41:X41"/>
    <mergeCell ref="Y41:AD41"/>
    <mergeCell ref="AE41:AJ41"/>
    <mergeCell ref="AK41:AP41"/>
    <mergeCell ref="AQ39:AV39"/>
    <mergeCell ref="AW39:BB39"/>
    <mergeCell ref="A40:B40"/>
    <mergeCell ref="C40:U40"/>
    <mergeCell ref="V40:X40"/>
    <mergeCell ref="Y40:AD40"/>
    <mergeCell ref="AE40:AJ40"/>
    <mergeCell ref="AK40:AP40"/>
    <mergeCell ref="AQ40:AV40"/>
    <mergeCell ref="AW40:BB40"/>
    <mergeCell ref="A39:B39"/>
    <mergeCell ref="C39:U39"/>
    <mergeCell ref="V39:X39"/>
    <mergeCell ref="Y39:AD39"/>
    <mergeCell ref="AE39:AJ39"/>
    <mergeCell ref="AK39:AP39"/>
    <mergeCell ref="AQ37:AV37"/>
    <mergeCell ref="AW37:BB37"/>
    <mergeCell ref="A38:B38"/>
    <mergeCell ref="C38:U38"/>
    <mergeCell ref="V38:X38"/>
    <mergeCell ref="Y38:AD38"/>
    <mergeCell ref="AE38:AJ38"/>
    <mergeCell ref="AK38:AP38"/>
    <mergeCell ref="AQ38:AV38"/>
    <mergeCell ref="AW38:BB38"/>
    <mergeCell ref="A37:B37"/>
    <mergeCell ref="C37:U37"/>
    <mergeCell ref="V37:X37"/>
    <mergeCell ref="Y37:AD37"/>
    <mergeCell ref="AE37:AJ37"/>
    <mergeCell ref="AK37:AP37"/>
    <mergeCell ref="AQ35:AV35"/>
    <mergeCell ref="AW35:BB35"/>
    <mergeCell ref="A36:B36"/>
    <mergeCell ref="C36:U36"/>
    <mergeCell ref="V36:X36"/>
    <mergeCell ref="Y36:AD36"/>
    <mergeCell ref="AE36:AJ36"/>
    <mergeCell ref="AK36:AP36"/>
    <mergeCell ref="AQ36:AV36"/>
    <mergeCell ref="AW36:BB36"/>
    <mergeCell ref="A35:B35"/>
    <mergeCell ref="C35:U35"/>
    <mergeCell ref="V35:X35"/>
    <mergeCell ref="Y35:AD35"/>
    <mergeCell ref="AE35:AJ35"/>
    <mergeCell ref="AK35:AP35"/>
    <mergeCell ref="AQ33:AV33"/>
    <mergeCell ref="AW33:BB33"/>
    <mergeCell ref="A34:B34"/>
    <mergeCell ref="C34:U34"/>
    <mergeCell ref="V34:X34"/>
    <mergeCell ref="Y34:AD34"/>
    <mergeCell ref="AE34:AJ34"/>
    <mergeCell ref="AK34:AP34"/>
    <mergeCell ref="AQ34:AV34"/>
    <mergeCell ref="AW34:BB34"/>
    <mergeCell ref="A33:B33"/>
    <mergeCell ref="C33:U33"/>
    <mergeCell ref="V33:X33"/>
    <mergeCell ref="Y33:AD33"/>
    <mergeCell ref="AE33:AJ33"/>
    <mergeCell ref="AK33:AP33"/>
    <mergeCell ref="AQ31:AV31"/>
    <mergeCell ref="AW31:BB31"/>
    <mergeCell ref="A32:B32"/>
    <mergeCell ref="C32:U32"/>
    <mergeCell ref="V32:X32"/>
    <mergeCell ref="Y32:AD32"/>
    <mergeCell ref="AE32:AJ32"/>
    <mergeCell ref="AK32:AP32"/>
    <mergeCell ref="AQ32:AV32"/>
    <mergeCell ref="AW32:BB32"/>
    <mergeCell ref="A31:B31"/>
    <mergeCell ref="C31:U31"/>
    <mergeCell ref="V31:X31"/>
    <mergeCell ref="Y31:AD31"/>
    <mergeCell ref="AE31:AJ31"/>
    <mergeCell ref="AK31:AP31"/>
    <mergeCell ref="AQ29:AV29"/>
    <mergeCell ref="AW29:BB29"/>
    <mergeCell ref="A30:B30"/>
    <mergeCell ref="C30:U30"/>
    <mergeCell ref="V30:X30"/>
    <mergeCell ref="Y30:AD30"/>
    <mergeCell ref="AE30:AJ30"/>
    <mergeCell ref="AK30:AP30"/>
    <mergeCell ref="AQ30:AV30"/>
    <mergeCell ref="AW30:BB30"/>
    <mergeCell ref="A29:B29"/>
    <mergeCell ref="C29:U29"/>
    <mergeCell ref="V29:X29"/>
    <mergeCell ref="Y29:AD29"/>
    <mergeCell ref="AE29:AJ29"/>
    <mergeCell ref="AK29:AP29"/>
    <mergeCell ref="AQ27:AV27"/>
    <mergeCell ref="AW27:BB27"/>
    <mergeCell ref="A28:B28"/>
    <mergeCell ref="C28:U28"/>
    <mergeCell ref="V28:X28"/>
    <mergeCell ref="Y28:AD28"/>
    <mergeCell ref="AE28:AJ28"/>
    <mergeCell ref="AK28:AP28"/>
    <mergeCell ref="AQ28:AV28"/>
    <mergeCell ref="AW28:BB28"/>
    <mergeCell ref="A27:B27"/>
    <mergeCell ref="C27:U27"/>
    <mergeCell ref="V27:X27"/>
    <mergeCell ref="Y27:AD27"/>
    <mergeCell ref="AE27:AJ27"/>
    <mergeCell ref="AK27:AP27"/>
    <mergeCell ref="AQ25:AV25"/>
    <mergeCell ref="AW25:BB25"/>
    <mergeCell ref="A26:B26"/>
    <mergeCell ref="C26:U26"/>
    <mergeCell ref="V26:X26"/>
    <mergeCell ref="Y26:AD26"/>
    <mergeCell ref="AE26:AJ26"/>
    <mergeCell ref="AK26:AP26"/>
    <mergeCell ref="AQ26:AV26"/>
    <mergeCell ref="AW26:BB26"/>
    <mergeCell ref="A25:B25"/>
    <mergeCell ref="C25:U25"/>
    <mergeCell ref="V25:X25"/>
    <mergeCell ref="Y25:AD25"/>
    <mergeCell ref="AE25:AJ25"/>
    <mergeCell ref="AK25:AP25"/>
    <mergeCell ref="AQ23:AV23"/>
    <mergeCell ref="AW23:BB23"/>
    <mergeCell ref="A24:B24"/>
    <mergeCell ref="C24:U24"/>
    <mergeCell ref="V24:X24"/>
    <mergeCell ref="Y24:AD24"/>
    <mergeCell ref="AE24:AJ24"/>
    <mergeCell ref="AK24:AP24"/>
    <mergeCell ref="AQ24:AV24"/>
    <mergeCell ref="AW24:BB24"/>
    <mergeCell ref="A23:B23"/>
    <mergeCell ref="C23:U23"/>
    <mergeCell ref="V23:X23"/>
    <mergeCell ref="Y23:AD23"/>
    <mergeCell ref="AE23:AJ23"/>
    <mergeCell ref="AK23:AP23"/>
    <mergeCell ref="AQ21:AV21"/>
    <mergeCell ref="AW21:BB21"/>
    <mergeCell ref="A22:B22"/>
    <mergeCell ref="C22:U22"/>
    <mergeCell ref="V22:X22"/>
    <mergeCell ref="Y22:AD22"/>
    <mergeCell ref="AE22:AJ22"/>
    <mergeCell ref="AK22:AP22"/>
    <mergeCell ref="AQ22:AV22"/>
    <mergeCell ref="AW22:BB22"/>
    <mergeCell ref="A21:B21"/>
    <mergeCell ref="C21:U21"/>
    <mergeCell ref="V21:X21"/>
    <mergeCell ref="Y21:AD21"/>
    <mergeCell ref="AE21:AJ21"/>
    <mergeCell ref="AK21:AP21"/>
    <mergeCell ref="AQ19:AV19"/>
    <mergeCell ref="AW19:BB19"/>
    <mergeCell ref="A20:B20"/>
    <mergeCell ref="C20:U20"/>
    <mergeCell ref="V20:X20"/>
    <mergeCell ref="Y20:AD20"/>
    <mergeCell ref="AE20:AJ20"/>
    <mergeCell ref="AK20:AP20"/>
    <mergeCell ref="AQ20:AV20"/>
    <mergeCell ref="AW20:BB20"/>
    <mergeCell ref="A19:B19"/>
    <mergeCell ref="C19:U19"/>
    <mergeCell ref="V19:X19"/>
    <mergeCell ref="Y19:AD19"/>
    <mergeCell ref="AE19:AJ19"/>
    <mergeCell ref="AK19:AP19"/>
    <mergeCell ref="AQ17:AV17"/>
    <mergeCell ref="AW17:BB17"/>
    <mergeCell ref="A18:B18"/>
    <mergeCell ref="C18:U18"/>
    <mergeCell ref="V18:X18"/>
    <mergeCell ref="Y18:AD18"/>
    <mergeCell ref="AE18:AJ18"/>
    <mergeCell ref="AK18:AP18"/>
    <mergeCell ref="AQ18:AV18"/>
    <mergeCell ref="AW18:BB18"/>
    <mergeCell ref="A17:B17"/>
    <mergeCell ref="C17:U17"/>
    <mergeCell ref="V17:X17"/>
    <mergeCell ref="Y17:AD17"/>
    <mergeCell ref="AE17:AJ17"/>
    <mergeCell ref="AK17:AP17"/>
    <mergeCell ref="AQ15:AV15"/>
    <mergeCell ref="AW15:BB15"/>
    <mergeCell ref="A16:B16"/>
    <mergeCell ref="C16:U16"/>
    <mergeCell ref="V16:X16"/>
    <mergeCell ref="Y16:AD16"/>
    <mergeCell ref="AE16:AJ16"/>
    <mergeCell ref="AK16:AP16"/>
    <mergeCell ref="AQ16:AV16"/>
    <mergeCell ref="AW16:BB16"/>
    <mergeCell ref="A15:B15"/>
    <mergeCell ref="C15:U15"/>
    <mergeCell ref="V15:X15"/>
    <mergeCell ref="Y15:AD15"/>
    <mergeCell ref="AE15:AJ15"/>
    <mergeCell ref="AK15:AP15"/>
    <mergeCell ref="AQ13:AV13"/>
    <mergeCell ref="AW13:BB13"/>
    <mergeCell ref="A14:B14"/>
    <mergeCell ref="C14:U14"/>
    <mergeCell ref="V14:X14"/>
    <mergeCell ref="Y14:AD14"/>
    <mergeCell ref="AE14:AJ14"/>
    <mergeCell ref="AK14:AP14"/>
    <mergeCell ref="AQ14:AV14"/>
    <mergeCell ref="AW14:BB14"/>
    <mergeCell ref="A13:B13"/>
    <mergeCell ref="C13:U13"/>
    <mergeCell ref="V13:X13"/>
    <mergeCell ref="Y13:AD13"/>
    <mergeCell ref="AE13:AJ13"/>
    <mergeCell ref="AK13:AP13"/>
    <mergeCell ref="AQ11:AV11"/>
    <mergeCell ref="AW11:BB11"/>
    <mergeCell ref="A12:B12"/>
    <mergeCell ref="C12:U12"/>
    <mergeCell ref="V12:X12"/>
    <mergeCell ref="Y12:AD12"/>
    <mergeCell ref="AE12:AJ12"/>
    <mergeCell ref="AK12:AP12"/>
    <mergeCell ref="AQ12:AV12"/>
    <mergeCell ref="AW12:BB12"/>
    <mergeCell ref="A11:B11"/>
    <mergeCell ref="C11:U11"/>
    <mergeCell ref="V11:X11"/>
    <mergeCell ref="Y11:AD11"/>
    <mergeCell ref="AE11:AJ11"/>
    <mergeCell ref="AK11:AP11"/>
    <mergeCell ref="AQ9:AV9"/>
    <mergeCell ref="AW9:BB9"/>
    <mergeCell ref="A10:B10"/>
    <mergeCell ref="C10:U10"/>
    <mergeCell ref="V10:X10"/>
    <mergeCell ref="Y10:AD10"/>
    <mergeCell ref="AE10:AJ10"/>
    <mergeCell ref="AK10:AP10"/>
    <mergeCell ref="AQ10:AV10"/>
    <mergeCell ref="AW10:BB10"/>
    <mergeCell ref="A9:B9"/>
    <mergeCell ref="C9:U9"/>
    <mergeCell ref="V9:X9"/>
    <mergeCell ref="Y9:AD9"/>
    <mergeCell ref="AE9:AJ9"/>
    <mergeCell ref="AK9:AP9"/>
    <mergeCell ref="AQ7:AV7"/>
    <mergeCell ref="AW7:BB7"/>
    <mergeCell ref="A8:B8"/>
    <mergeCell ref="C8:U8"/>
    <mergeCell ref="V8:X8"/>
    <mergeCell ref="Y8:AD8"/>
    <mergeCell ref="AE8:AJ8"/>
    <mergeCell ref="AK8:AP8"/>
    <mergeCell ref="AQ8:AV8"/>
    <mergeCell ref="AW8:BB8"/>
    <mergeCell ref="A7:B7"/>
    <mergeCell ref="C7:U7"/>
    <mergeCell ref="V7:X7"/>
    <mergeCell ref="Y7:AD7"/>
    <mergeCell ref="AE7:AJ7"/>
    <mergeCell ref="AK7:AP7"/>
    <mergeCell ref="AQ5:AV5"/>
    <mergeCell ref="AW5:BB5"/>
    <mergeCell ref="A6:B6"/>
    <mergeCell ref="C6:U6"/>
    <mergeCell ref="V6:X6"/>
    <mergeCell ref="Y6:AD6"/>
    <mergeCell ref="AE6:AJ6"/>
    <mergeCell ref="AK6:AP6"/>
    <mergeCell ref="AQ6:AV6"/>
    <mergeCell ref="AW6:BB6"/>
    <mergeCell ref="A5:B5"/>
    <mergeCell ref="C5:U5"/>
    <mergeCell ref="V5:X5"/>
    <mergeCell ref="Y5:AD5"/>
    <mergeCell ref="AE5:AJ5"/>
    <mergeCell ref="AK5:AP5"/>
    <mergeCell ref="A1:BB1"/>
    <mergeCell ref="A2:B4"/>
    <mergeCell ref="C2:U4"/>
    <mergeCell ref="V2:X4"/>
    <mergeCell ref="Y2:BB2"/>
    <mergeCell ref="Y4:AD4"/>
    <mergeCell ref="AE4:AJ4"/>
    <mergeCell ref="AK4:AP4"/>
    <mergeCell ref="AQ4:AV4"/>
    <mergeCell ref="AW4:BB4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C00000"/>
  </sheetPr>
  <dimension ref="A2:J102"/>
  <sheetViews>
    <sheetView zoomScalePageLayoutView="0" workbookViewId="0" topLeftCell="A64">
      <selection activeCell="E71" sqref="E71"/>
    </sheetView>
  </sheetViews>
  <sheetFormatPr defaultColWidth="8.41015625" defaultRowHeight="18"/>
  <cols>
    <col min="1" max="1" width="8.41015625" style="21" customWidth="1"/>
    <col min="2" max="2" width="29.41015625" style="21" customWidth="1"/>
    <col min="3" max="3" width="8" style="382" customWidth="1"/>
    <col min="4" max="4" width="7.33203125" style="21" customWidth="1"/>
    <col min="5" max="5" width="7.75" style="21" customWidth="1"/>
    <col min="6" max="249" width="7.08203125" style="21" customWidth="1"/>
    <col min="250" max="16384" width="8.41015625" style="21" customWidth="1"/>
  </cols>
  <sheetData>
    <row r="2" spans="1:5" ht="18.75">
      <c r="A2" s="620" t="s">
        <v>1331</v>
      </c>
      <c r="B2" s="620"/>
      <c r="C2" s="620"/>
      <c r="D2" s="620"/>
      <c r="E2" s="620"/>
    </row>
    <row r="3" ht="19.5" thickBot="1">
      <c r="C3" s="243"/>
    </row>
    <row r="4" spans="1:5" ht="19.5" thickBot="1">
      <c r="A4" s="595">
        <v>811000</v>
      </c>
      <c r="B4" s="245" t="s">
        <v>403</v>
      </c>
      <c r="C4" s="421" t="s">
        <v>616</v>
      </c>
      <c r="D4" s="41" t="s">
        <v>626</v>
      </c>
      <c r="E4" s="34">
        <v>2016</v>
      </c>
    </row>
    <row r="5" spans="1:5" ht="19.5" thickBot="1">
      <c r="A5" s="596" t="s">
        <v>1384</v>
      </c>
      <c r="B5" s="210" t="s">
        <v>1419</v>
      </c>
      <c r="C5" s="295"/>
      <c r="D5" s="34"/>
      <c r="E5" s="34"/>
    </row>
    <row r="6" spans="1:5" ht="18.75">
      <c r="A6" s="249" t="s">
        <v>819</v>
      </c>
      <c r="B6" s="250" t="s">
        <v>1238</v>
      </c>
      <c r="C6" s="376">
        <v>4380</v>
      </c>
      <c r="D6" s="565"/>
      <c r="E6" s="565">
        <v>4623</v>
      </c>
    </row>
    <row r="7" spans="1:5" ht="18.75">
      <c r="A7" s="253" t="s">
        <v>822</v>
      </c>
      <c r="B7" s="254" t="s">
        <v>821</v>
      </c>
      <c r="C7" s="377"/>
      <c r="D7" s="34"/>
      <c r="E7" s="34"/>
    </row>
    <row r="8" spans="1:5" ht="18.75">
      <c r="A8" s="253" t="s">
        <v>823</v>
      </c>
      <c r="B8" s="254" t="s">
        <v>820</v>
      </c>
      <c r="C8" s="377"/>
      <c r="D8" s="34"/>
      <c r="E8" s="381"/>
    </row>
    <row r="9" spans="1:5" ht="18.75">
      <c r="A9" s="253" t="s">
        <v>825</v>
      </c>
      <c r="B9" s="254" t="s">
        <v>824</v>
      </c>
      <c r="C9" s="377">
        <v>80</v>
      </c>
      <c r="D9" s="34"/>
      <c r="E9" s="34"/>
    </row>
    <row r="10" spans="1:5" ht="18.75">
      <c r="A10" s="253" t="s">
        <v>826</v>
      </c>
      <c r="B10" s="260" t="s">
        <v>1239</v>
      </c>
      <c r="C10" s="377"/>
      <c r="D10" s="34"/>
      <c r="E10" s="34"/>
    </row>
    <row r="11" spans="1:5" ht="18.75">
      <c r="A11" s="253" t="s">
        <v>1233</v>
      </c>
      <c r="B11" s="260" t="s">
        <v>1240</v>
      </c>
      <c r="C11" s="378"/>
      <c r="D11" s="34"/>
      <c r="E11" s="34"/>
    </row>
    <row r="12" spans="1:5" ht="18.75">
      <c r="A12" s="253" t="s">
        <v>1241</v>
      </c>
      <c r="B12" s="262" t="s">
        <v>1234</v>
      </c>
      <c r="C12" s="377">
        <v>450</v>
      </c>
      <c r="D12" s="34"/>
      <c r="E12" s="34">
        <v>288</v>
      </c>
    </row>
    <row r="13" spans="1:5" ht="18.75">
      <c r="A13" s="253" t="s">
        <v>1242</v>
      </c>
      <c r="B13" s="262" t="s">
        <v>1235</v>
      </c>
      <c r="C13" s="377"/>
      <c r="D13" s="34"/>
      <c r="E13" s="34">
        <v>162</v>
      </c>
    </row>
    <row r="14" spans="1:5" ht="18.75">
      <c r="A14" s="253" t="s">
        <v>1243</v>
      </c>
      <c r="B14" s="254" t="s">
        <v>528</v>
      </c>
      <c r="C14" s="377"/>
      <c r="D14" s="34"/>
      <c r="E14" s="34"/>
    </row>
    <row r="15" spans="1:5" ht="18.75">
      <c r="A15" s="253" t="s">
        <v>1244</v>
      </c>
      <c r="B15" s="254" t="s">
        <v>1236</v>
      </c>
      <c r="C15" s="377"/>
      <c r="D15" s="34"/>
      <c r="E15" s="34"/>
    </row>
    <row r="16" spans="1:5" ht="19.5" thickBot="1">
      <c r="A16" s="264" t="s">
        <v>1245</v>
      </c>
      <c r="B16" s="265" t="s">
        <v>791</v>
      </c>
      <c r="C16" s="377">
        <v>366</v>
      </c>
      <c r="D16" s="34"/>
      <c r="E16" s="34">
        <v>387</v>
      </c>
    </row>
    <row r="17" spans="1:5" ht="19.5" thickBot="1">
      <c r="A17" s="568" t="s">
        <v>1327</v>
      </c>
      <c r="B17" s="569" t="s">
        <v>1249</v>
      </c>
      <c r="C17" s="379">
        <f>SUM(C6:C16)</f>
        <v>5276</v>
      </c>
      <c r="D17" s="379">
        <f>SUM(D6:D16)</f>
        <v>0</v>
      </c>
      <c r="E17" s="379">
        <f>SUM(E6:E16)</f>
        <v>5460</v>
      </c>
    </row>
    <row r="18" spans="1:5" ht="19.5" thickBot="1">
      <c r="A18" s="557" t="s">
        <v>1329</v>
      </c>
      <c r="B18" s="558" t="s">
        <v>1248</v>
      </c>
      <c r="C18" s="377"/>
      <c r="D18" s="34"/>
      <c r="E18" s="34"/>
    </row>
    <row r="19" spans="1:5" ht="19.5" thickBot="1">
      <c r="A19" s="557" t="s">
        <v>1328</v>
      </c>
      <c r="B19" s="558" t="s">
        <v>1246</v>
      </c>
      <c r="C19" s="377"/>
      <c r="D19" s="34"/>
      <c r="E19" s="34"/>
    </row>
    <row r="20" spans="1:5" ht="19.5" thickBot="1">
      <c r="A20" s="557" t="s">
        <v>1253</v>
      </c>
      <c r="B20" s="558" t="s">
        <v>19</v>
      </c>
      <c r="C20" s="377"/>
      <c r="D20" s="34"/>
      <c r="E20" s="34"/>
    </row>
    <row r="21" spans="1:5" ht="19.5" thickBot="1">
      <c r="A21" s="557" t="s">
        <v>1254</v>
      </c>
      <c r="B21" s="558" t="s">
        <v>889</v>
      </c>
      <c r="C21" s="377"/>
      <c r="D21" s="34"/>
      <c r="E21" s="34"/>
    </row>
    <row r="22" spans="1:5" ht="19.5" thickBot="1">
      <c r="A22" s="568" t="s">
        <v>1330</v>
      </c>
      <c r="B22" s="569" t="s">
        <v>1247</v>
      </c>
      <c r="C22" s="377">
        <f>SUM(C18:C21)</f>
        <v>0</v>
      </c>
      <c r="D22" s="377">
        <f>SUM(D18:D21)</f>
        <v>0</v>
      </c>
      <c r="E22" s="377">
        <f>SUM(E18:E21)</f>
        <v>0</v>
      </c>
    </row>
    <row r="23" spans="1:5" ht="27" customHeight="1" thickBot="1">
      <c r="A23" s="268" t="s">
        <v>1250</v>
      </c>
      <c r="B23" s="269" t="s">
        <v>1237</v>
      </c>
      <c r="C23" s="379">
        <f>SUM(C22,C17)</f>
        <v>5276</v>
      </c>
      <c r="D23" s="379">
        <f>SUM(D22,D17)</f>
        <v>0</v>
      </c>
      <c r="E23" s="379">
        <f>SUM(E22,E17)</f>
        <v>5460</v>
      </c>
    </row>
    <row r="24" spans="1:5" ht="19.5" thickBot="1">
      <c r="A24" s="270"/>
      <c r="B24" s="271"/>
      <c r="C24" s="377"/>
      <c r="D24" s="34"/>
      <c r="E24" s="34"/>
    </row>
    <row r="25" spans="1:6" ht="18.75">
      <c r="A25" s="272" t="s">
        <v>1255</v>
      </c>
      <c r="B25" s="97" t="s">
        <v>590</v>
      </c>
      <c r="C25" s="275">
        <v>1305</v>
      </c>
      <c r="D25" s="44"/>
      <c r="E25" s="44">
        <f>F25*27%</f>
        <v>1352.7</v>
      </c>
      <c r="F25" s="21">
        <f>E6+E7+E8+E9+E10+E11+E16+E22</f>
        <v>5010</v>
      </c>
    </row>
    <row r="26" spans="1:5" ht="18.75">
      <c r="A26" s="559" t="s">
        <v>1256</v>
      </c>
      <c r="B26" s="97" t="s">
        <v>1251</v>
      </c>
      <c r="C26" s="275"/>
      <c r="D26" s="44"/>
      <c r="E26" s="44"/>
    </row>
    <row r="27" spans="1:6" ht="18.75">
      <c r="A27" s="276" t="s">
        <v>1252</v>
      </c>
      <c r="B27" s="255" t="s">
        <v>4</v>
      </c>
      <c r="C27" s="378">
        <v>75</v>
      </c>
      <c r="D27" s="34"/>
      <c r="E27" s="44">
        <f>F27*16.67%</f>
        <v>75.015</v>
      </c>
      <c r="F27" s="21">
        <f>E12+E13</f>
        <v>450</v>
      </c>
    </row>
    <row r="28" spans="1:5" ht="19.5" thickBot="1">
      <c r="A28" s="462" t="s">
        <v>1257</v>
      </c>
      <c r="B28" s="255" t="s">
        <v>635</v>
      </c>
      <c r="C28" s="378">
        <v>87</v>
      </c>
      <c r="D28" s="34"/>
      <c r="E28" s="44">
        <f>F27*19.04%</f>
        <v>85.67999999999999</v>
      </c>
    </row>
    <row r="29" spans="1:5" ht="19.5" thickBot="1">
      <c r="A29" s="582" t="s">
        <v>1258</v>
      </c>
      <c r="B29" s="583" t="s">
        <v>69</v>
      </c>
      <c r="C29" s="378">
        <f>SUM(C25:C28)</f>
        <v>1467</v>
      </c>
      <c r="D29" s="378">
        <f>SUM(D25:D28)</f>
        <v>0</v>
      </c>
      <c r="E29" s="378">
        <f>SUM(E25:E28)</f>
        <v>1513.3950000000002</v>
      </c>
    </row>
    <row r="30" spans="1:5" ht="19.5" thickBot="1">
      <c r="A30" s="282"/>
      <c r="B30" s="283"/>
      <c r="C30" s="377"/>
      <c r="D30" s="34"/>
      <c r="E30" s="34"/>
    </row>
    <row r="31" spans="1:5" ht="18.75">
      <c r="A31" s="249" t="s">
        <v>1259</v>
      </c>
      <c r="B31" s="291" t="s">
        <v>533</v>
      </c>
      <c r="C31" s="377"/>
      <c r="D31" s="34"/>
      <c r="E31" s="34"/>
    </row>
    <row r="32" spans="1:5" ht="18.75">
      <c r="A32" s="253" t="s">
        <v>1260</v>
      </c>
      <c r="B32" s="254" t="s">
        <v>534</v>
      </c>
      <c r="C32" s="377"/>
      <c r="D32" s="41"/>
      <c r="E32" s="34"/>
    </row>
    <row r="33" spans="1:5" ht="18.75">
      <c r="A33" s="253" t="s">
        <v>1262</v>
      </c>
      <c r="B33" s="254" t="s">
        <v>1261</v>
      </c>
      <c r="C33" s="377"/>
      <c r="D33" s="41"/>
      <c r="E33" s="34"/>
    </row>
    <row r="34" spans="1:5" ht="18.75">
      <c r="A34" s="253" t="s">
        <v>1263</v>
      </c>
      <c r="B34" s="254" t="s">
        <v>124</v>
      </c>
      <c r="C34" s="377"/>
      <c r="D34" s="41"/>
      <c r="E34" s="34"/>
    </row>
    <row r="35" spans="1:5" ht="18.75">
      <c r="A35" s="253" t="s">
        <v>1264</v>
      </c>
      <c r="B35" s="254" t="s">
        <v>1265</v>
      </c>
      <c r="C35" s="570"/>
      <c r="D35" s="41"/>
      <c r="E35" s="34"/>
    </row>
    <row r="36" spans="1:5" ht="18.75">
      <c r="A36" s="253" t="s">
        <v>1335</v>
      </c>
      <c r="B36" s="562" t="s">
        <v>548</v>
      </c>
      <c r="C36" s="570">
        <f>SUM(C31:C35)</f>
        <v>0</v>
      </c>
      <c r="D36" s="570">
        <f>SUM(D31:D35)</f>
        <v>0</v>
      </c>
      <c r="E36" s="570">
        <f>SUM(E31:E35)</f>
        <v>0</v>
      </c>
    </row>
    <row r="37" spans="1:5" ht="18.75">
      <c r="A37" s="253" t="s">
        <v>1342</v>
      </c>
      <c r="B37" s="254" t="s">
        <v>1343</v>
      </c>
      <c r="C37" s="570"/>
      <c r="D37" s="570"/>
      <c r="E37" s="570"/>
    </row>
    <row r="38" spans="1:5" ht="18.75">
      <c r="A38" s="253" t="s">
        <v>1344</v>
      </c>
      <c r="B38" s="254" t="s">
        <v>1267</v>
      </c>
      <c r="C38" s="570"/>
      <c r="D38" s="34"/>
      <c r="E38" s="34"/>
    </row>
    <row r="39" spans="1:5" ht="18.75">
      <c r="A39" s="253" t="s">
        <v>1345</v>
      </c>
      <c r="B39" s="254" t="s">
        <v>88</v>
      </c>
      <c r="C39" s="570"/>
      <c r="D39" s="34"/>
      <c r="E39" s="34"/>
    </row>
    <row r="40" spans="1:5" ht="18.75">
      <c r="A40" s="253" t="s">
        <v>1346</v>
      </c>
      <c r="B40" s="254" t="s">
        <v>1268</v>
      </c>
      <c r="C40" s="377">
        <v>120</v>
      </c>
      <c r="D40" s="34">
        <v>120</v>
      </c>
      <c r="E40" s="34">
        <v>120</v>
      </c>
    </row>
    <row r="41" spans="1:5" ht="19.5" thickBot="1">
      <c r="A41" s="288" t="s">
        <v>1347</v>
      </c>
      <c r="B41" s="289" t="s">
        <v>1269</v>
      </c>
      <c r="C41" s="377"/>
      <c r="D41" s="34"/>
      <c r="E41" s="34"/>
    </row>
    <row r="42" spans="1:5" ht="17.25" customHeight="1" thickBot="1">
      <c r="A42" s="268" t="s">
        <v>1266</v>
      </c>
      <c r="B42" s="571" t="s">
        <v>1270</v>
      </c>
      <c r="C42" s="377">
        <f>SUM(C37:C41)</f>
        <v>120</v>
      </c>
      <c r="D42" s="377">
        <f>SUM(D38:D41)</f>
        <v>120</v>
      </c>
      <c r="E42" s="377">
        <f>SUM(E38:E41)</f>
        <v>120</v>
      </c>
    </row>
    <row r="43" spans="1:5" ht="22.5" customHeight="1" thickBot="1">
      <c r="A43" s="572" t="s">
        <v>1300</v>
      </c>
      <c r="B43" s="573" t="s">
        <v>595</v>
      </c>
      <c r="C43" s="574">
        <f>SUM(C42,C36)</f>
        <v>120</v>
      </c>
      <c r="D43" s="574">
        <f>SUM(D42,D36)</f>
        <v>120</v>
      </c>
      <c r="E43" s="574">
        <f>SUM(E42,E36)</f>
        <v>120</v>
      </c>
    </row>
    <row r="44" spans="1:5" ht="18.75">
      <c r="A44" s="249" t="s">
        <v>1271</v>
      </c>
      <c r="B44" s="291" t="s">
        <v>1348</v>
      </c>
      <c r="C44" s="377"/>
      <c r="D44" s="34"/>
      <c r="E44" s="34"/>
    </row>
    <row r="45" spans="1:5" ht="18.75">
      <c r="A45" s="494" t="s">
        <v>1350</v>
      </c>
      <c r="B45" s="590" t="s">
        <v>1351</v>
      </c>
      <c r="C45" s="377"/>
      <c r="D45" s="34"/>
      <c r="E45" s="34"/>
    </row>
    <row r="46" spans="1:5" ht="18.75">
      <c r="A46" s="253" t="s">
        <v>1272</v>
      </c>
      <c r="B46" s="254" t="s">
        <v>1349</v>
      </c>
      <c r="C46" s="295"/>
      <c r="D46" s="566"/>
      <c r="E46" s="34"/>
    </row>
    <row r="47" spans="1:5" ht="18.75">
      <c r="A47" s="575" t="s">
        <v>1301</v>
      </c>
      <c r="B47" s="576" t="s">
        <v>1366</v>
      </c>
      <c r="C47" s="577">
        <f>SUM(C44:C46)</f>
        <v>0</v>
      </c>
      <c r="D47" s="577">
        <f>SUM(D44:D46)</f>
        <v>0</v>
      </c>
      <c r="E47" s="577">
        <f>SUM(E44:E46)</f>
        <v>0</v>
      </c>
    </row>
    <row r="48" spans="1:5" ht="18.75">
      <c r="A48" s="253" t="s">
        <v>1275</v>
      </c>
      <c r="B48" s="254" t="s">
        <v>544</v>
      </c>
      <c r="C48" s="295"/>
      <c r="D48" s="566"/>
      <c r="E48" s="34"/>
    </row>
    <row r="49" spans="1:5" ht="18.75">
      <c r="A49" s="253" t="s">
        <v>1274</v>
      </c>
      <c r="B49" s="254" t="s">
        <v>543</v>
      </c>
      <c r="C49" s="295"/>
      <c r="D49" s="34"/>
      <c r="E49" s="34"/>
    </row>
    <row r="50" spans="1:5" ht="18.75">
      <c r="A50" s="253" t="s">
        <v>1276</v>
      </c>
      <c r="B50" s="254" t="s">
        <v>503</v>
      </c>
      <c r="C50" s="295"/>
      <c r="D50" s="34"/>
      <c r="E50" s="34"/>
    </row>
    <row r="51" spans="1:5" ht="18.75">
      <c r="A51" s="575" t="s">
        <v>1273</v>
      </c>
      <c r="B51" s="576" t="s">
        <v>1277</v>
      </c>
      <c r="C51" s="577">
        <f>SUM(C48:C50)</f>
        <v>0</v>
      </c>
      <c r="D51" s="577">
        <f>SUM(D48:D50)</f>
        <v>0</v>
      </c>
      <c r="E51" s="577">
        <f>SUM(E48:E50)</f>
        <v>0</v>
      </c>
    </row>
    <row r="52" spans="1:5" ht="18.75">
      <c r="A52" s="253" t="s">
        <v>1332</v>
      </c>
      <c r="B52" s="254" t="s">
        <v>1278</v>
      </c>
      <c r="C52" s="295">
        <v>50</v>
      </c>
      <c r="D52" s="34">
        <v>34</v>
      </c>
      <c r="E52" s="34">
        <v>50</v>
      </c>
    </row>
    <row r="53" spans="1:6" ht="18.75">
      <c r="A53" s="253" t="s">
        <v>1280</v>
      </c>
      <c r="B53" s="254" t="s">
        <v>26</v>
      </c>
      <c r="C53" s="295">
        <v>118</v>
      </c>
      <c r="D53" s="41">
        <v>35</v>
      </c>
      <c r="E53" s="34">
        <v>200</v>
      </c>
      <c r="F53" s="21" t="s">
        <v>1432</v>
      </c>
    </row>
    <row r="54" spans="1:5" ht="18.75">
      <c r="A54" s="253" t="s">
        <v>1281</v>
      </c>
      <c r="B54" s="254" t="s">
        <v>1352</v>
      </c>
      <c r="C54" s="377"/>
      <c r="D54" s="34"/>
      <c r="E54" s="34"/>
    </row>
    <row r="55" spans="1:5" ht="18.75">
      <c r="A55" s="575" t="s">
        <v>1283</v>
      </c>
      <c r="B55" s="576" t="s">
        <v>1282</v>
      </c>
      <c r="C55" s="574">
        <f>SUM(C53:C54)</f>
        <v>118</v>
      </c>
      <c r="D55" s="574">
        <f>SUM(D53:D54)</f>
        <v>35</v>
      </c>
      <c r="E55" s="574">
        <f>SUM(E53:E54)</f>
        <v>200</v>
      </c>
    </row>
    <row r="56" spans="1:5" ht="18.75">
      <c r="A56" s="575" t="s">
        <v>1284</v>
      </c>
      <c r="B56" s="588" t="s">
        <v>1333</v>
      </c>
      <c r="C56" s="589"/>
      <c r="D56" s="589"/>
      <c r="E56" s="589"/>
    </row>
    <row r="57" spans="1:5" ht="18.75">
      <c r="A57" s="288"/>
      <c r="B57" s="554" t="s">
        <v>943</v>
      </c>
      <c r="C57" s="554"/>
      <c r="D57" s="554"/>
      <c r="E57" s="554"/>
    </row>
    <row r="58" spans="1:5" ht="18.75">
      <c r="A58" s="288" t="s">
        <v>1353</v>
      </c>
      <c r="B58" s="554" t="s">
        <v>547</v>
      </c>
      <c r="C58" s="554"/>
      <c r="D58" s="554"/>
      <c r="E58" s="554"/>
    </row>
    <row r="59" spans="1:5" ht="18.75">
      <c r="A59" s="288" t="s">
        <v>1354</v>
      </c>
      <c r="B59" s="554" t="s">
        <v>1355</v>
      </c>
      <c r="C59" s="554"/>
      <c r="D59" s="554"/>
      <c r="E59" s="554"/>
    </row>
    <row r="60" spans="1:5" ht="27" customHeight="1">
      <c r="A60" s="561" t="s">
        <v>1285</v>
      </c>
      <c r="B60" s="552" t="s">
        <v>945</v>
      </c>
      <c r="C60" s="591">
        <f>SUM(C58:C59)</f>
        <v>0</v>
      </c>
      <c r="D60" s="591">
        <f>SUM(D58:D59)</f>
        <v>0</v>
      </c>
      <c r="E60" s="591">
        <f>SUM(E58:E59)</f>
        <v>0</v>
      </c>
    </row>
    <row r="61" spans="1:5" ht="23.25" customHeight="1">
      <c r="A61" s="462" t="s">
        <v>1356</v>
      </c>
      <c r="B61" s="553" t="s">
        <v>1362</v>
      </c>
      <c r="C61" s="591"/>
      <c r="D61" s="591"/>
      <c r="E61" s="591"/>
    </row>
    <row r="62" spans="1:5" ht="23.25" customHeight="1">
      <c r="A62" s="462" t="s">
        <v>1357</v>
      </c>
      <c r="B62" s="553" t="s">
        <v>1358</v>
      </c>
      <c r="C62" s="591"/>
      <c r="D62" s="591"/>
      <c r="E62" s="591"/>
    </row>
    <row r="63" spans="1:5" ht="23.25" customHeight="1">
      <c r="A63" s="462" t="s">
        <v>1359</v>
      </c>
      <c r="B63" s="553" t="s">
        <v>9</v>
      </c>
      <c r="C63" s="591"/>
      <c r="D63" s="591"/>
      <c r="E63" s="591"/>
    </row>
    <row r="64" spans="1:6" ht="23.25" customHeight="1" thickBot="1">
      <c r="A64" s="462" t="s">
        <v>1360</v>
      </c>
      <c r="B64" s="553" t="s">
        <v>1361</v>
      </c>
      <c r="C64" s="591"/>
      <c r="D64" s="591"/>
      <c r="E64" s="591"/>
      <c r="F64" s="21" t="s">
        <v>1368</v>
      </c>
    </row>
    <row r="65" spans="1:5" ht="17.25" customHeight="1" thickBot="1">
      <c r="A65" s="298" t="s">
        <v>1286</v>
      </c>
      <c r="B65" s="552" t="s">
        <v>948</v>
      </c>
      <c r="C65" s="591">
        <f>SUM(C61:C64)</f>
        <v>0</v>
      </c>
      <c r="D65" s="591">
        <f>SUM(D61:D64)</f>
        <v>0</v>
      </c>
      <c r="E65" s="591">
        <f>SUM(E61:E64)</f>
        <v>0</v>
      </c>
    </row>
    <row r="66" spans="1:5" ht="25.5" customHeight="1">
      <c r="A66" s="578" t="s">
        <v>1279</v>
      </c>
      <c r="B66" s="579" t="s">
        <v>1287</v>
      </c>
      <c r="C66" s="579">
        <f>SUM(C65+C60+C56+C55+C52)</f>
        <v>168</v>
      </c>
      <c r="D66" s="579">
        <f>SUM(D65+D60+D56+D55+D52)</f>
        <v>69</v>
      </c>
      <c r="E66" s="579">
        <f>SUM(E65+E60+E56+E55+E52)</f>
        <v>250</v>
      </c>
    </row>
    <row r="67" spans="1:5" ht="18.75">
      <c r="A67" s="253" t="s">
        <v>1288</v>
      </c>
      <c r="B67" s="553" t="s">
        <v>952</v>
      </c>
      <c r="C67" s="553"/>
      <c r="D67" s="553"/>
      <c r="E67" s="553"/>
    </row>
    <row r="68" spans="1:5" ht="18.75">
      <c r="A68" s="253" t="s">
        <v>1289</v>
      </c>
      <c r="B68" s="553" t="s">
        <v>954</v>
      </c>
      <c r="C68" s="553"/>
      <c r="D68" s="553"/>
      <c r="E68" s="553"/>
    </row>
    <row r="69" spans="1:5" ht="24" customHeight="1">
      <c r="A69" s="575" t="s">
        <v>1291</v>
      </c>
      <c r="B69" s="579" t="s">
        <v>1290</v>
      </c>
      <c r="C69" s="579">
        <f>SUM(C67:C68)</f>
        <v>0</v>
      </c>
      <c r="D69" s="579">
        <f>SUM(D67:D68)</f>
        <v>0</v>
      </c>
      <c r="E69" s="579">
        <f>SUM(E67:E68)</f>
        <v>0</v>
      </c>
    </row>
    <row r="70" spans="1:7" ht="26.25" customHeight="1" thickBot="1">
      <c r="A70" s="561" t="s">
        <v>1294</v>
      </c>
      <c r="B70" s="552" t="s">
        <v>958</v>
      </c>
      <c r="C70" s="552">
        <v>78</v>
      </c>
      <c r="D70" s="552">
        <v>42</v>
      </c>
      <c r="E70" s="552">
        <v>100</v>
      </c>
      <c r="F70" s="597">
        <f>E43+E47+E51+E55+E52+E60+E63+E64+E68</f>
        <v>370</v>
      </c>
      <c r="G70" s="21">
        <f>F70*27%</f>
        <v>99.9</v>
      </c>
    </row>
    <row r="71" spans="1:5" ht="27" customHeight="1" thickBot="1">
      <c r="A71" s="268" t="s">
        <v>1295</v>
      </c>
      <c r="B71" s="552" t="s">
        <v>960</v>
      </c>
      <c r="C71" s="552"/>
      <c r="D71" s="552"/>
      <c r="E71" s="552"/>
    </row>
    <row r="72" spans="1:5" ht="19.5" thickBot="1">
      <c r="A72" s="210" t="s">
        <v>1296</v>
      </c>
      <c r="B72" s="552" t="s">
        <v>1293</v>
      </c>
      <c r="C72" s="552"/>
      <c r="D72" s="552"/>
      <c r="E72" s="552"/>
    </row>
    <row r="73" spans="1:5" ht="24.75" customHeight="1">
      <c r="A73" s="593" t="s">
        <v>1298</v>
      </c>
      <c r="B73" s="594" t="s">
        <v>1363</v>
      </c>
      <c r="C73" s="594"/>
      <c r="D73" s="552"/>
      <c r="E73" s="552"/>
    </row>
    <row r="74" spans="1:6" ht="24.75" customHeight="1">
      <c r="A74" s="592" t="s">
        <v>1364</v>
      </c>
      <c r="B74" s="563" t="s">
        <v>1365</v>
      </c>
      <c r="C74" s="563"/>
      <c r="D74" s="553"/>
      <c r="E74" s="553"/>
      <c r="F74" s="21" t="s">
        <v>1369</v>
      </c>
    </row>
    <row r="75" spans="1:5" ht="24.75" customHeight="1">
      <c r="A75" s="592" t="s">
        <v>1370</v>
      </c>
      <c r="B75" s="563" t="s">
        <v>1367</v>
      </c>
      <c r="C75" s="563"/>
      <c r="D75" s="553"/>
      <c r="E75" s="553"/>
    </row>
    <row r="76" spans="1:5" ht="18.75">
      <c r="A76" s="98" t="s">
        <v>1297</v>
      </c>
      <c r="B76" s="552" t="s">
        <v>970</v>
      </c>
      <c r="C76" s="552">
        <f>SUM(C74:C75)</f>
        <v>0</v>
      </c>
      <c r="D76" s="552">
        <f>SUM(D74:D75)</f>
        <v>0</v>
      </c>
      <c r="E76" s="552">
        <f>SUM(E74:E75)</f>
        <v>0</v>
      </c>
    </row>
    <row r="77" spans="1:5" ht="24.75" customHeight="1">
      <c r="A77" s="580" t="s">
        <v>1292</v>
      </c>
      <c r="B77" s="579" t="s">
        <v>1334</v>
      </c>
      <c r="C77" s="579">
        <f>C76+C73+C72+C71+C70</f>
        <v>78</v>
      </c>
      <c r="D77" s="579">
        <f>D76+D73+D72+D71+D70</f>
        <v>42</v>
      </c>
      <c r="E77" s="579">
        <f>E76+E73+E72+E71+E70</f>
        <v>100</v>
      </c>
    </row>
    <row r="78" spans="1:10" ht="24.75" customHeight="1">
      <c r="A78" s="587" t="s">
        <v>1299</v>
      </c>
      <c r="B78" s="585" t="s">
        <v>70</v>
      </c>
      <c r="C78" s="579">
        <f>SUM(C77+C69+C66+C47+C43)</f>
        <v>366</v>
      </c>
      <c r="D78" s="579">
        <f>SUM(D77+D69+D66+D47+D43)</f>
        <v>231</v>
      </c>
      <c r="E78" s="579">
        <f>SUM(E77+E69+E66+E47+E43)</f>
        <v>470</v>
      </c>
      <c r="F78" s="560"/>
      <c r="G78" s="560"/>
      <c r="H78" s="560"/>
      <c r="I78" s="560"/>
      <c r="J78" s="560"/>
    </row>
    <row r="79" spans="1:10" ht="24.75" customHeight="1">
      <c r="A79" s="98" t="s">
        <v>1307</v>
      </c>
      <c r="B79" s="553" t="s">
        <v>1302</v>
      </c>
      <c r="C79" s="552"/>
      <c r="D79" s="552"/>
      <c r="E79" s="552"/>
      <c r="F79" s="560"/>
      <c r="G79" s="560"/>
      <c r="H79" s="560"/>
      <c r="I79" s="560"/>
      <c r="J79" s="560"/>
    </row>
    <row r="80" spans="1:10" ht="24.75" customHeight="1">
      <c r="A80" s="98" t="s">
        <v>1306</v>
      </c>
      <c r="B80" s="553" t="s">
        <v>1308</v>
      </c>
      <c r="C80" s="552"/>
      <c r="D80" s="552"/>
      <c r="E80" s="552"/>
      <c r="F80" s="560"/>
      <c r="G80" s="560"/>
      <c r="H80" s="560"/>
      <c r="I80" s="560"/>
      <c r="J80" s="560"/>
    </row>
    <row r="81" spans="1:10" ht="24.75" customHeight="1">
      <c r="A81" s="98"/>
      <c r="B81" s="97" t="s">
        <v>1304</v>
      </c>
      <c r="C81" s="552"/>
      <c r="D81" s="552"/>
      <c r="E81" s="552"/>
      <c r="F81" s="560"/>
      <c r="G81" s="560"/>
      <c r="H81" s="560"/>
      <c r="I81" s="560"/>
      <c r="J81" s="560"/>
    </row>
    <row r="82" spans="1:5" ht="18.75">
      <c r="A82" s="98"/>
      <c r="B82" s="97" t="s">
        <v>1303</v>
      </c>
      <c r="C82" s="377"/>
      <c r="D82" s="34"/>
      <c r="E82" s="34"/>
    </row>
    <row r="83" spans="1:5" ht="18.75">
      <c r="A83" s="98"/>
      <c r="B83" s="567" t="s">
        <v>1305</v>
      </c>
      <c r="C83" s="377"/>
      <c r="D83" s="34"/>
      <c r="E83" s="34"/>
    </row>
    <row r="84" spans="1:5" ht="25.5">
      <c r="A84" s="580" t="s">
        <v>1341</v>
      </c>
      <c r="B84" s="579" t="s">
        <v>1337</v>
      </c>
      <c r="C84" s="377">
        <f>SUM(C80:C83)</f>
        <v>0</v>
      </c>
      <c r="D84" s="377">
        <f>SUM(D80:D83)</f>
        <v>0</v>
      </c>
      <c r="E84" s="377">
        <f>SUM(E80:E83)</f>
        <v>0</v>
      </c>
    </row>
    <row r="85" spans="1:5" s="564" customFormat="1" ht="18.75">
      <c r="A85" s="587" t="s">
        <v>1336</v>
      </c>
      <c r="B85" s="587" t="s">
        <v>1340</v>
      </c>
      <c r="C85" s="574">
        <f>SUM(C79+C84)</f>
        <v>0</v>
      </c>
      <c r="D85" s="574">
        <f>SUM(D79+D84)</f>
        <v>0</v>
      </c>
      <c r="E85" s="574">
        <f>SUM(E79+E84)</f>
        <v>0</v>
      </c>
    </row>
    <row r="86" spans="1:5" ht="18.75">
      <c r="A86" s="97" t="s">
        <v>1309</v>
      </c>
      <c r="B86" s="553" t="s">
        <v>1113</v>
      </c>
      <c r="C86" s="553"/>
      <c r="D86" s="553"/>
      <c r="E86" s="553"/>
    </row>
    <row r="87" spans="1:5" s="382" customFormat="1" ht="15">
      <c r="A87" s="97" t="s">
        <v>1310</v>
      </c>
      <c r="B87" s="553" t="s">
        <v>1371</v>
      </c>
      <c r="C87" s="553"/>
      <c r="D87" s="553"/>
      <c r="E87" s="553"/>
    </row>
    <row r="88" spans="1:5" ht="18.75">
      <c r="A88" s="172" t="s">
        <v>1311</v>
      </c>
      <c r="B88" s="553" t="s">
        <v>1117</v>
      </c>
      <c r="C88" s="553"/>
      <c r="D88" s="553"/>
      <c r="E88" s="553"/>
    </row>
    <row r="89" spans="1:5" ht="24" customHeight="1">
      <c r="A89" s="172" t="s">
        <v>1312</v>
      </c>
      <c r="B89" s="553" t="s">
        <v>1118</v>
      </c>
      <c r="C89" s="553"/>
      <c r="D89" s="553"/>
      <c r="E89" s="553"/>
    </row>
    <row r="90" spans="1:5" ht="26.25" customHeight="1">
      <c r="A90" s="172" t="s">
        <v>1313</v>
      </c>
      <c r="B90" s="553" t="s">
        <v>1120</v>
      </c>
      <c r="C90" s="553"/>
      <c r="D90" s="553"/>
      <c r="E90" s="553"/>
    </row>
    <row r="91" spans="1:6" ht="26.25" customHeight="1">
      <c r="A91" s="172"/>
      <c r="B91" s="553" t="s">
        <v>1445</v>
      </c>
      <c r="C91" s="553"/>
      <c r="D91" s="553"/>
      <c r="E91" s="553">
        <v>48</v>
      </c>
      <c r="F91" s="21" t="s">
        <v>1446</v>
      </c>
    </row>
    <row r="92" spans="1:5" ht="25.5" customHeight="1">
      <c r="A92" s="172" t="s">
        <v>1314</v>
      </c>
      <c r="B92" s="553" t="s">
        <v>1126</v>
      </c>
      <c r="C92" s="553"/>
      <c r="D92" s="553"/>
      <c r="E92" s="553">
        <v>12</v>
      </c>
    </row>
    <row r="93" spans="1:5" ht="18.75">
      <c r="A93" s="584" t="s">
        <v>1315</v>
      </c>
      <c r="B93" s="585" t="s">
        <v>1339</v>
      </c>
      <c r="C93" s="552">
        <f>SUM(C86:C92)</f>
        <v>0</v>
      </c>
      <c r="D93" s="552">
        <f>SUM(D86:D92)</f>
        <v>0</v>
      </c>
      <c r="E93" s="552">
        <f>SUM(E86:E92)</f>
        <v>60</v>
      </c>
    </row>
    <row r="94" spans="1:5" ht="18.75">
      <c r="A94" s="172" t="s">
        <v>1316</v>
      </c>
      <c r="B94" s="553" t="s">
        <v>1130</v>
      </c>
      <c r="C94" s="553"/>
      <c r="D94" s="553"/>
      <c r="E94" s="553"/>
    </row>
    <row r="95" spans="1:5" ht="18.75">
      <c r="A95" s="172" t="s">
        <v>1317</v>
      </c>
      <c r="B95" s="553" t="s">
        <v>1132</v>
      </c>
      <c r="C95" s="553"/>
      <c r="D95" s="553"/>
      <c r="E95" s="553"/>
    </row>
    <row r="96" spans="1:5" ht="18.75">
      <c r="A96" s="172" t="s">
        <v>1318</v>
      </c>
      <c r="B96" s="553" t="s">
        <v>1134</v>
      </c>
      <c r="C96" s="553"/>
      <c r="D96" s="553"/>
      <c r="E96" s="553"/>
    </row>
    <row r="97" spans="1:5" ht="24" customHeight="1">
      <c r="A97" s="172" t="s">
        <v>1319</v>
      </c>
      <c r="B97" s="553" t="s">
        <v>1136</v>
      </c>
      <c r="C97" s="553"/>
      <c r="D97" s="553"/>
      <c r="E97" s="553"/>
    </row>
    <row r="98" spans="1:5" ht="18.75">
      <c r="A98" s="584" t="s">
        <v>1320</v>
      </c>
      <c r="B98" s="585" t="s">
        <v>1338</v>
      </c>
      <c r="C98" s="552">
        <f>SUM(C94:C97)</f>
        <v>0</v>
      </c>
      <c r="D98" s="552">
        <f>SUM(D94:D97)</f>
        <v>0</v>
      </c>
      <c r="E98" s="552">
        <f>SUM(E94:E97)</f>
        <v>0</v>
      </c>
    </row>
    <row r="99" spans="1:5" ht="25.5" customHeight="1">
      <c r="A99" s="172" t="s">
        <v>1323</v>
      </c>
      <c r="B99" s="555" t="s">
        <v>1325</v>
      </c>
      <c r="C99" s="555"/>
      <c r="D99" s="555"/>
      <c r="E99" s="555"/>
    </row>
    <row r="100" spans="1:5" ht="27" customHeight="1">
      <c r="A100" s="457" t="s">
        <v>1322</v>
      </c>
      <c r="B100" s="553" t="s">
        <v>1321</v>
      </c>
      <c r="C100" s="553"/>
      <c r="D100" s="553"/>
      <c r="E100" s="553"/>
    </row>
    <row r="101" spans="1:5" ht="18.75">
      <c r="A101" s="584" t="s">
        <v>1326</v>
      </c>
      <c r="B101" s="586" t="s">
        <v>1324</v>
      </c>
      <c r="C101" s="295">
        <f>SUM(C99:C100)</f>
        <v>0</v>
      </c>
      <c r="D101" s="295">
        <f>SUM(D99:D100)</f>
        <v>0</v>
      </c>
      <c r="E101" s="295">
        <f>SUM(E99:E100)</f>
        <v>0</v>
      </c>
    </row>
    <row r="102" spans="1:5" ht="18.75">
      <c r="A102" s="34"/>
      <c r="B102" s="36" t="s">
        <v>118</v>
      </c>
      <c r="C102" s="581">
        <f>SUM(C101+C98+C93+C85+C78+C29+C23)</f>
        <v>7109</v>
      </c>
      <c r="D102" s="581">
        <f>SUM(D101+D98+D93+D85+D78+D29+D23)</f>
        <v>231</v>
      </c>
      <c r="E102" s="581">
        <f>SUM(E101+E98+E93+E85+E78+E29+E23)</f>
        <v>7503.395</v>
      </c>
    </row>
  </sheetData>
  <sheetProtection/>
  <mergeCells count="1">
    <mergeCell ref="A2:E2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</sheetPr>
  <dimension ref="A1:L67"/>
  <sheetViews>
    <sheetView view="pageBreakPreview" zoomScale="60" zoomScalePageLayoutView="0" workbookViewId="0" topLeftCell="B1">
      <selection activeCell="H60" sqref="H60"/>
    </sheetView>
  </sheetViews>
  <sheetFormatPr defaultColWidth="8.66015625" defaultRowHeight="18"/>
  <cols>
    <col min="1" max="1" width="16.25" style="170" customWidth="1"/>
    <col min="2" max="2" width="41.41015625" style="30" customWidth="1"/>
    <col min="3" max="3" width="9.58203125" style="30" customWidth="1"/>
    <col min="4" max="4" width="9.41015625" style="30" customWidth="1"/>
    <col min="5" max="5" width="11.66015625" style="30" customWidth="1"/>
    <col min="6" max="6" width="10.91015625" style="30" customWidth="1"/>
    <col min="7" max="7" width="9.91015625" style="30" customWidth="1"/>
    <col min="8" max="8" width="8.75" style="30" customWidth="1"/>
    <col min="9" max="16384" width="8.91015625" style="30" customWidth="1"/>
  </cols>
  <sheetData>
    <row r="1" spans="1:8" ht="42" customHeight="1">
      <c r="A1" s="174">
        <v>813000</v>
      </c>
      <c r="B1" s="469" t="s">
        <v>433</v>
      </c>
      <c r="C1" s="481" t="s">
        <v>262</v>
      </c>
      <c r="D1" s="481" t="s">
        <v>281</v>
      </c>
      <c r="E1" s="241">
        <v>41695</v>
      </c>
      <c r="F1" s="173" t="s">
        <v>708</v>
      </c>
      <c r="G1" s="173" t="s">
        <v>709</v>
      </c>
      <c r="H1" s="173" t="s">
        <v>802</v>
      </c>
    </row>
    <row r="2" spans="2:8" ht="18">
      <c r="B2" s="173"/>
      <c r="C2" s="173"/>
      <c r="D2" s="173"/>
      <c r="E2" s="173"/>
      <c r="F2" s="173"/>
      <c r="G2" s="173"/>
      <c r="H2" s="173"/>
    </row>
    <row r="3" spans="1:8" ht="18">
      <c r="A3" s="170">
        <v>5111112</v>
      </c>
      <c r="B3" s="173" t="s">
        <v>432</v>
      </c>
      <c r="C3" s="473"/>
      <c r="D3" s="473">
        <v>8409</v>
      </c>
      <c r="E3" s="173">
        <f>'[5]GEVSZ'!$P$35/1000-480</f>
        <v>8596.2</v>
      </c>
      <c r="F3" s="173"/>
      <c r="G3" s="173">
        <v>9838</v>
      </c>
      <c r="H3" s="173">
        <v>9838</v>
      </c>
    </row>
    <row r="4" spans="1:8" ht="18">
      <c r="A4" s="170">
        <v>511142</v>
      </c>
      <c r="B4" s="173" t="s">
        <v>431</v>
      </c>
      <c r="C4" s="173"/>
      <c r="D4" s="173">
        <v>480</v>
      </c>
      <c r="E4" s="173">
        <v>480</v>
      </c>
      <c r="F4" s="173"/>
      <c r="G4" s="173">
        <v>480</v>
      </c>
      <c r="H4" s="173">
        <v>480</v>
      </c>
    </row>
    <row r="5" spans="2:8" ht="18">
      <c r="B5" s="173" t="s">
        <v>220</v>
      </c>
      <c r="C5" s="173"/>
      <c r="D5" s="173"/>
      <c r="E5" s="173">
        <v>139</v>
      </c>
      <c r="F5" s="173"/>
      <c r="G5" s="173">
        <v>157</v>
      </c>
      <c r="H5" s="173">
        <v>157</v>
      </c>
    </row>
    <row r="6" spans="2:9" ht="18">
      <c r="B6" s="173" t="s">
        <v>48</v>
      </c>
      <c r="C6" s="173"/>
      <c r="D6" s="173"/>
      <c r="E6" s="173"/>
      <c r="F6" s="173"/>
      <c r="G6" s="173">
        <v>545</v>
      </c>
      <c r="H6" s="173">
        <v>545</v>
      </c>
      <c r="I6" s="30" t="s">
        <v>716</v>
      </c>
    </row>
    <row r="7" spans="1:8" ht="18">
      <c r="A7" s="170">
        <v>512192</v>
      </c>
      <c r="B7" s="173" t="s">
        <v>792</v>
      </c>
      <c r="C7" s="173"/>
      <c r="D7" s="173">
        <v>60</v>
      </c>
      <c r="E7" s="173"/>
      <c r="F7" s="173"/>
      <c r="G7" s="173">
        <v>873</v>
      </c>
      <c r="H7" s="173">
        <v>873</v>
      </c>
    </row>
    <row r="8" spans="1:8" ht="18">
      <c r="A8" s="170">
        <v>514922</v>
      </c>
      <c r="B8" s="173" t="s">
        <v>430</v>
      </c>
      <c r="C8" s="173"/>
      <c r="D8" s="173">
        <v>100</v>
      </c>
      <c r="E8" s="173"/>
      <c r="F8" s="173"/>
      <c r="G8" s="173">
        <v>100</v>
      </c>
      <c r="H8" s="173">
        <v>100</v>
      </c>
    </row>
    <row r="9" spans="1:8" ht="18">
      <c r="A9" s="170">
        <v>514142</v>
      </c>
      <c r="B9" s="173" t="s">
        <v>39</v>
      </c>
      <c r="C9" s="173"/>
      <c r="D9" s="173">
        <v>480</v>
      </c>
      <c r="E9" s="173">
        <v>480</v>
      </c>
      <c r="F9" s="173"/>
      <c r="G9" s="173">
        <v>900</v>
      </c>
      <c r="H9" s="173">
        <v>900</v>
      </c>
    </row>
    <row r="10" spans="2:8" ht="18">
      <c r="B10" s="173" t="s">
        <v>717</v>
      </c>
      <c r="C10" s="173"/>
      <c r="D10" s="173"/>
      <c r="E10" s="173">
        <v>400</v>
      </c>
      <c r="F10" s="173"/>
      <c r="G10" s="173">
        <v>1200</v>
      </c>
      <c r="H10" s="173">
        <v>1200</v>
      </c>
    </row>
    <row r="11" spans="1:8" ht="18">
      <c r="A11" s="170">
        <v>5321</v>
      </c>
      <c r="B11" s="469" t="s">
        <v>429</v>
      </c>
      <c r="C11" s="474">
        <v>10026</v>
      </c>
      <c r="D11" s="474">
        <f>SUM(D3:D9)</f>
        <v>9529</v>
      </c>
      <c r="E11" s="474">
        <f>SUM(E3:E9)</f>
        <v>9695.2</v>
      </c>
      <c r="F11" s="474">
        <f>SUM(F3:F9)</f>
        <v>0</v>
      </c>
      <c r="G11" s="474">
        <f>SUM(G3:G10)</f>
        <v>14093</v>
      </c>
      <c r="H11" s="474">
        <f>SUM(H3:H10)</f>
        <v>14093</v>
      </c>
    </row>
    <row r="12" spans="1:8" ht="18">
      <c r="A12" s="170">
        <v>5341</v>
      </c>
      <c r="B12" s="469"/>
      <c r="C12" s="173"/>
      <c r="D12" s="173"/>
      <c r="E12" s="173"/>
      <c r="F12" s="173"/>
      <c r="G12" s="173"/>
      <c r="H12" s="173"/>
    </row>
    <row r="13" spans="2:10" ht="18">
      <c r="B13" s="173" t="s">
        <v>400</v>
      </c>
      <c r="C13" s="473"/>
      <c r="D13" s="473">
        <f>(D3+D4+D7)*27%</f>
        <v>2416.23</v>
      </c>
      <c r="E13" s="173">
        <f>(E3+E4+E7)*27%</f>
        <v>2450.5740000000005</v>
      </c>
      <c r="F13" s="173"/>
      <c r="G13" s="173">
        <f>I13*27%</f>
        <v>3535.11</v>
      </c>
      <c r="H13" s="173">
        <f>J13*27%</f>
        <v>3535.11</v>
      </c>
      <c r="I13" s="30">
        <f>G11-G9-G8</f>
        <v>13093</v>
      </c>
      <c r="J13" s="30">
        <f>H11-H9-H8</f>
        <v>13093</v>
      </c>
    </row>
    <row r="14" spans="2:8" ht="18">
      <c r="B14" s="173" t="s">
        <v>570</v>
      </c>
      <c r="C14" s="173"/>
      <c r="D14" s="173"/>
      <c r="E14" s="173">
        <f>E9*16.7%</f>
        <v>80.16</v>
      </c>
      <c r="F14" s="173"/>
      <c r="G14" s="173">
        <v>150</v>
      </c>
      <c r="H14" s="173">
        <v>150</v>
      </c>
    </row>
    <row r="15" spans="1:8" ht="18">
      <c r="A15" s="170">
        <v>5431</v>
      </c>
      <c r="B15" s="173" t="s">
        <v>42</v>
      </c>
      <c r="C15" s="173"/>
      <c r="D15" s="173"/>
      <c r="E15" s="173"/>
      <c r="F15" s="173"/>
      <c r="G15" s="173">
        <v>174</v>
      </c>
      <c r="H15" s="173">
        <v>174</v>
      </c>
    </row>
    <row r="16" spans="1:8" ht="18">
      <c r="A16" s="170">
        <v>5461</v>
      </c>
      <c r="B16" s="469" t="s">
        <v>428</v>
      </c>
      <c r="C16" s="474">
        <v>2451</v>
      </c>
      <c r="D16" s="474">
        <f>SUM(D13:D15)</f>
        <v>2416.23</v>
      </c>
      <c r="E16" s="474">
        <f>SUM(E13:E15)</f>
        <v>2530.7340000000004</v>
      </c>
      <c r="F16" s="474">
        <f>SUM(F13:F15)</f>
        <v>0</v>
      </c>
      <c r="G16" s="474">
        <f>SUM(G13:G15)</f>
        <v>3859.11</v>
      </c>
      <c r="H16" s="474">
        <f>SUM(H13:H15)</f>
        <v>3859.11</v>
      </c>
    </row>
    <row r="17" spans="1:8" ht="18">
      <c r="A17" s="170">
        <v>54712</v>
      </c>
      <c r="B17" s="173"/>
      <c r="C17" s="173"/>
      <c r="D17" s="173"/>
      <c r="E17" s="173"/>
      <c r="F17" s="173"/>
      <c r="G17" s="173"/>
      <c r="H17" s="173"/>
    </row>
    <row r="18" spans="1:8" ht="18">
      <c r="A18" s="170">
        <v>5481</v>
      </c>
      <c r="B18" s="173" t="s">
        <v>427</v>
      </c>
      <c r="C18" s="173">
        <v>80</v>
      </c>
      <c r="D18" s="173">
        <v>100</v>
      </c>
      <c r="E18" s="173">
        <v>50</v>
      </c>
      <c r="F18" s="173">
        <v>45</v>
      </c>
      <c r="G18" s="173">
        <v>50</v>
      </c>
      <c r="H18" s="173">
        <v>50</v>
      </c>
    </row>
    <row r="19" spans="1:8" ht="18">
      <c r="A19" s="170">
        <v>54913</v>
      </c>
      <c r="B19" s="173" t="s">
        <v>88</v>
      </c>
      <c r="C19" s="473">
        <v>2500</v>
      </c>
      <c r="D19" s="473">
        <v>2200</v>
      </c>
      <c r="E19" s="173">
        <v>3000</v>
      </c>
      <c r="F19" s="173">
        <v>3245</v>
      </c>
      <c r="G19" s="173">
        <v>3300</v>
      </c>
      <c r="H19" s="173">
        <v>3300</v>
      </c>
    </row>
    <row r="20" spans="1:9" ht="18">
      <c r="A20" s="170">
        <v>54913</v>
      </c>
      <c r="B20" s="173" t="s">
        <v>426</v>
      </c>
      <c r="C20" s="173">
        <v>155</v>
      </c>
      <c r="D20" s="173">
        <v>200</v>
      </c>
      <c r="E20" s="173">
        <v>150</v>
      </c>
      <c r="F20" s="173"/>
      <c r="G20" s="173">
        <v>230</v>
      </c>
      <c r="H20" s="173">
        <v>230</v>
      </c>
      <c r="I20" s="30" t="s">
        <v>718</v>
      </c>
    </row>
    <row r="21" spans="1:9" ht="18">
      <c r="A21" s="170">
        <v>549131</v>
      </c>
      <c r="B21" s="173" t="s">
        <v>28</v>
      </c>
      <c r="C21" s="173">
        <v>150</v>
      </c>
      <c r="D21" s="173">
        <v>230</v>
      </c>
      <c r="E21" s="173">
        <v>100</v>
      </c>
      <c r="F21" s="173">
        <v>50</v>
      </c>
      <c r="G21" s="173">
        <v>200</v>
      </c>
      <c r="H21" s="173">
        <v>200</v>
      </c>
      <c r="I21" s="30" t="s">
        <v>719</v>
      </c>
    </row>
    <row r="22" spans="1:8" ht="18">
      <c r="A22" s="170">
        <v>54913</v>
      </c>
      <c r="B22" s="173" t="s">
        <v>337</v>
      </c>
      <c r="C22" s="173">
        <v>82</v>
      </c>
      <c r="D22" s="173">
        <v>75</v>
      </c>
      <c r="E22" s="173">
        <v>15</v>
      </c>
      <c r="F22" s="712">
        <v>2700</v>
      </c>
      <c r="G22" s="173">
        <v>20</v>
      </c>
      <c r="H22" s="173">
        <v>20</v>
      </c>
    </row>
    <row r="23" spans="1:8" ht="18">
      <c r="A23" s="170">
        <v>54913</v>
      </c>
      <c r="B23" s="173" t="s">
        <v>425</v>
      </c>
      <c r="C23" s="173">
        <v>700</v>
      </c>
      <c r="D23" s="173">
        <v>700</v>
      </c>
      <c r="E23" s="173">
        <v>700</v>
      </c>
      <c r="F23" s="713"/>
      <c r="G23" s="173">
        <v>700</v>
      </c>
      <c r="H23" s="173">
        <v>700</v>
      </c>
    </row>
    <row r="24" spans="1:8" ht="18">
      <c r="A24" s="170">
        <v>549131</v>
      </c>
      <c r="B24" s="173" t="s">
        <v>424</v>
      </c>
      <c r="C24" s="173">
        <v>100</v>
      </c>
      <c r="D24" s="173">
        <v>100</v>
      </c>
      <c r="E24" s="173">
        <v>100</v>
      </c>
      <c r="F24" s="713"/>
      <c r="G24" s="173">
        <v>100</v>
      </c>
      <c r="H24" s="173">
        <v>100</v>
      </c>
    </row>
    <row r="25" spans="1:9" ht="18">
      <c r="A25" s="30"/>
      <c r="B25" s="173" t="s">
        <v>423</v>
      </c>
      <c r="C25" s="173"/>
      <c r="D25" s="173">
        <v>500</v>
      </c>
      <c r="E25" s="173">
        <v>200</v>
      </c>
      <c r="F25" s="713"/>
      <c r="G25" s="173">
        <v>250</v>
      </c>
      <c r="H25" s="173">
        <v>250</v>
      </c>
      <c r="I25" s="30" t="s">
        <v>720</v>
      </c>
    </row>
    <row r="26" spans="2:9" ht="18">
      <c r="B26" s="173" t="s">
        <v>422</v>
      </c>
      <c r="C26" s="173">
        <v>200</v>
      </c>
      <c r="D26" s="173">
        <v>200</v>
      </c>
      <c r="E26" s="173">
        <v>200</v>
      </c>
      <c r="F26" s="713"/>
      <c r="G26" s="173">
        <v>500</v>
      </c>
      <c r="H26" s="173">
        <v>500</v>
      </c>
      <c r="I26" s="30" t="s">
        <v>721</v>
      </c>
    </row>
    <row r="27" spans="2:8" ht="18">
      <c r="B27" s="173" t="s">
        <v>421</v>
      </c>
      <c r="C27" s="173">
        <v>800</v>
      </c>
      <c r="D27" s="173">
        <v>775</v>
      </c>
      <c r="E27" s="173">
        <v>500</v>
      </c>
      <c r="F27" s="714"/>
      <c r="G27" s="173">
        <v>550</v>
      </c>
      <c r="H27" s="173">
        <v>550</v>
      </c>
    </row>
    <row r="28" spans="2:6" ht="18">
      <c r="B28" s="173"/>
      <c r="C28" s="173"/>
      <c r="D28" s="173"/>
      <c r="E28" s="173"/>
      <c r="F28" s="173"/>
    </row>
    <row r="29" spans="1:8" ht="18">
      <c r="A29" s="170">
        <v>55111</v>
      </c>
      <c r="B29" s="173"/>
      <c r="C29" s="173"/>
      <c r="D29" s="173"/>
      <c r="E29" s="173"/>
      <c r="F29" s="173"/>
      <c r="G29" s="173"/>
      <c r="H29" s="173"/>
    </row>
    <row r="30" spans="2:8" ht="18">
      <c r="B30" s="469" t="s">
        <v>420</v>
      </c>
      <c r="C30" s="474">
        <f aca="true" t="shared" si="0" ref="C30:H30">SUM(C18:C27)</f>
        <v>4767</v>
      </c>
      <c r="D30" s="474">
        <f t="shared" si="0"/>
        <v>5080</v>
      </c>
      <c r="E30" s="474">
        <f t="shared" si="0"/>
        <v>5015</v>
      </c>
      <c r="F30" s="474">
        <f t="shared" si="0"/>
        <v>6040</v>
      </c>
      <c r="G30" s="474">
        <f t="shared" si="0"/>
        <v>5900</v>
      </c>
      <c r="H30" s="474">
        <f t="shared" si="0"/>
        <v>5900</v>
      </c>
    </row>
    <row r="31" spans="1:8" ht="18">
      <c r="A31" s="170">
        <v>55214</v>
      </c>
      <c r="B31" s="173"/>
      <c r="C31" s="173"/>
      <c r="D31" s="173"/>
      <c r="E31" s="173"/>
      <c r="F31" s="173"/>
      <c r="G31" s="173"/>
      <c r="H31" s="173"/>
    </row>
    <row r="32" spans="1:8" ht="18">
      <c r="A32" s="170">
        <v>55215</v>
      </c>
      <c r="B32" s="173" t="s">
        <v>419</v>
      </c>
      <c r="C32" s="173">
        <v>140</v>
      </c>
      <c r="D32" s="173">
        <v>130</v>
      </c>
      <c r="E32" s="173">
        <v>130</v>
      </c>
      <c r="F32" s="173">
        <v>162</v>
      </c>
      <c r="G32" s="173">
        <v>130</v>
      </c>
      <c r="H32" s="173">
        <v>130</v>
      </c>
    </row>
    <row r="33" spans="1:8" ht="18">
      <c r="A33" s="170">
        <v>55217</v>
      </c>
      <c r="B33" s="173" t="s">
        <v>418</v>
      </c>
      <c r="C33" s="173">
        <v>50</v>
      </c>
      <c r="D33" s="173">
        <v>150</v>
      </c>
      <c r="E33" s="173">
        <v>80</v>
      </c>
      <c r="F33" s="173"/>
      <c r="G33" s="173">
        <v>80</v>
      </c>
      <c r="H33" s="173">
        <v>80</v>
      </c>
    </row>
    <row r="34" spans="1:8" ht="18">
      <c r="A34" s="170">
        <v>55217</v>
      </c>
      <c r="B34" s="173" t="s">
        <v>417</v>
      </c>
      <c r="C34" s="173">
        <v>450</v>
      </c>
      <c r="D34" s="173">
        <v>300</v>
      </c>
      <c r="E34" s="173">
        <v>480</v>
      </c>
      <c r="F34" s="173">
        <v>321</v>
      </c>
      <c r="G34" s="173">
        <v>480</v>
      </c>
      <c r="H34" s="173">
        <v>480</v>
      </c>
    </row>
    <row r="35" spans="1:8" ht="18">
      <c r="A35" s="170">
        <v>55182</v>
      </c>
      <c r="B35" s="173" t="s">
        <v>416</v>
      </c>
      <c r="C35" s="173">
        <v>180</v>
      </c>
      <c r="D35" s="173">
        <v>200</v>
      </c>
      <c r="E35" s="173">
        <v>115</v>
      </c>
      <c r="F35" s="173">
        <v>74</v>
      </c>
      <c r="G35" s="173">
        <v>115</v>
      </c>
      <c r="H35" s="173">
        <v>115</v>
      </c>
    </row>
    <row r="36" spans="1:8" ht="18">
      <c r="A36" s="170">
        <v>55131</v>
      </c>
      <c r="B36" s="173" t="s">
        <v>415</v>
      </c>
      <c r="C36" s="173">
        <v>120</v>
      </c>
      <c r="D36" s="173">
        <v>120</v>
      </c>
      <c r="E36" s="173"/>
      <c r="F36" s="173"/>
      <c r="G36" s="173">
        <v>100</v>
      </c>
      <c r="H36" s="173">
        <v>100</v>
      </c>
    </row>
    <row r="37" spans="2:8" ht="18">
      <c r="B37" s="173" t="s">
        <v>414</v>
      </c>
      <c r="C37" s="173">
        <v>80</v>
      </c>
      <c r="D37" s="173">
        <v>80</v>
      </c>
      <c r="E37" s="173">
        <v>115</v>
      </c>
      <c r="F37" s="173">
        <v>93</v>
      </c>
      <c r="G37" s="173">
        <v>115</v>
      </c>
      <c r="H37" s="173">
        <v>115</v>
      </c>
    </row>
    <row r="38" spans="2:9" ht="18">
      <c r="B38" s="173" t="s">
        <v>413</v>
      </c>
      <c r="C38" s="173">
        <v>595</v>
      </c>
      <c r="D38" s="173">
        <v>625</v>
      </c>
      <c r="E38" s="173">
        <f>240+600</f>
        <v>840</v>
      </c>
      <c r="F38" s="173">
        <v>815</v>
      </c>
      <c r="G38" s="173">
        <v>840</v>
      </c>
      <c r="H38" s="528">
        <f>840+400</f>
        <v>1240</v>
      </c>
      <c r="I38" s="30" t="s">
        <v>800</v>
      </c>
    </row>
    <row r="39" spans="2:8" ht="18">
      <c r="B39" s="173" t="s">
        <v>412</v>
      </c>
      <c r="C39" s="173">
        <v>100</v>
      </c>
      <c r="D39" s="173">
        <v>100</v>
      </c>
      <c r="E39" s="173">
        <v>88</v>
      </c>
      <c r="F39" s="173">
        <v>54</v>
      </c>
      <c r="G39" s="173">
        <v>88</v>
      </c>
      <c r="H39" s="173">
        <v>88</v>
      </c>
    </row>
    <row r="40" spans="1:8" ht="18">
      <c r="A40" s="170">
        <v>56111</v>
      </c>
      <c r="B40" s="173" t="s">
        <v>722</v>
      </c>
      <c r="C40" s="173"/>
      <c r="D40" s="173"/>
      <c r="E40" s="173">
        <v>600</v>
      </c>
      <c r="F40" s="173">
        <v>593</v>
      </c>
      <c r="G40" s="173">
        <v>600</v>
      </c>
      <c r="H40" s="173">
        <v>600</v>
      </c>
    </row>
    <row r="41" spans="1:11" ht="18">
      <c r="A41" s="170">
        <v>5621</v>
      </c>
      <c r="B41" s="469" t="s">
        <v>411</v>
      </c>
      <c r="C41" s="474">
        <f>SUM(C32:C39)</f>
        <v>1715</v>
      </c>
      <c r="D41" s="474">
        <f>SUM(D32:D39)</f>
        <v>1705</v>
      </c>
      <c r="E41" s="474">
        <f>SUM(E32:E40)</f>
        <v>2448</v>
      </c>
      <c r="F41" s="474">
        <f>SUM(F32:F40)</f>
        <v>2112</v>
      </c>
      <c r="G41" s="474">
        <f>SUM(G32:G40)</f>
        <v>2548</v>
      </c>
      <c r="H41" s="474">
        <f>SUM(H32:H40)</f>
        <v>2948</v>
      </c>
      <c r="K41" s="30">
        <f>I39+I28</f>
        <v>0</v>
      </c>
    </row>
    <row r="42" spans="1:8" ht="18">
      <c r="A42" s="170">
        <v>56211</v>
      </c>
      <c r="B42" s="173"/>
      <c r="C42" s="173"/>
      <c r="D42" s="173"/>
      <c r="E42" s="173"/>
      <c r="F42" s="173"/>
      <c r="G42" s="173"/>
      <c r="H42" s="173"/>
    </row>
    <row r="43" spans="2:10" ht="18">
      <c r="B43" s="173" t="s">
        <v>410</v>
      </c>
      <c r="C43" s="473">
        <v>1789</v>
      </c>
      <c r="D43" s="473">
        <v>1559</v>
      </c>
      <c r="E43" s="173">
        <f>(E30+E41+E44)*27%</f>
        <v>2015.0100000000002</v>
      </c>
      <c r="F43" s="173">
        <v>2167</v>
      </c>
      <c r="G43" s="173">
        <f>I43*27%</f>
        <v>2280.96</v>
      </c>
      <c r="H43" s="173">
        <f>J43*27%</f>
        <v>2388.96</v>
      </c>
      <c r="I43" s="30">
        <f>G41+G30</f>
        <v>8448</v>
      </c>
      <c r="J43" s="30">
        <f>H41+H30</f>
        <v>8848</v>
      </c>
    </row>
    <row r="44" spans="2:8" ht="18">
      <c r="B44" s="173" t="s">
        <v>19</v>
      </c>
      <c r="C44" s="173">
        <v>140</v>
      </c>
      <c r="D44" s="173"/>
      <c r="E44" s="173"/>
      <c r="F44" s="173"/>
      <c r="G44" s="173"/>
      <c r="H44" s="173"/>
    </row>
    <row r="45" spans="1:8" ht="18">
      <c r="A45" s="170">
        <v>5721</v>
      </c>
      <c r="B45" s="173" t="s">
        <v>18</v>
      </c>
      <c r="C45" s="173">
        <v>100</v>
      </c>
      <c r="D45" s="173">
        <v>100</v>
      </c>
      <c r="E45" s="173">
        <v>55</v>
      </c>
      <c r="F45" s="173">
        <v>25</v>
      </c>
      <c r="G45" s="173">
        <v>55</v>
      </c>
      <c r="H45" s="173">
        <v>55</v>
      </c>
    </row>
    <row r="46" spans="1:8" ht="18">
      <c r="A46" s="170">
        <v>572191</v>
      </c>
      <c r="B46" s="469" t="s">
        <v>357</v>
      </c>
      <c r="C46" s="474">
        <f aca="true" t="shared" si="1" ref="C46:H46">SUM(C43:C45)</f>
        <v>2029</v>
      </c>
      <c r="D46" s="474">
        <f t="shared" si="1"/>
        <v>1659</v>
      </c>
      <c r="E46" s="474">
        <f t="shared" si="1"/>
        <v>2070.01</v>
      </c>
      <c r="F46" s="474">
        <f t="shared" si="1"/>
        <v>2192</v>
      </c>
      <c r="G46" s="474">
        <f t="shared" si="1"/>
        <v>2335.96</v>
      </c>
      <c r="H46" s="474">
        <f t="shared" si="1"/>
        <v>2443.96</v>
      </c>
    </row>
    <row r="47" spans="1:8" ht="18">
      <c r="A47" s="170">
        <v>572192</v>
      </c>
      <c r="B47" s="469"/>
      <c r="C47" s="474"/>
      <c r="D47" s="474"/>
      <c r="E47" s="173"/>
      <c r="F47" s="173"/>
      <c r="G47" s="173"/>
      <c r="H47" s="173"/>
    </row>
    <row r="48" spans="2:8" ht="18">
      <c r="B48" s="173" t="s">
        <v>409</v>
      </c>
      <c r="C48" s="173">
        <v>140</v>
      </c>
      <c r="D48" s="173">
        <v>94</v>
      </c>
      <c r="E48" s="173">
        <f>E9*19.04%</f>
        <v>91.392</v>
      </c>
      <c r="F48" s="173"/>
      <c r="G48" s="173"/>
      <c r="H48" s="173"/>
    </row>
    <row r="49" spans="2:8" ht="18">
      <c r="B49" s="173" t="s">
        <v>408</v>
      </c>
      <c r="C49" s="173"/>
      <c r="D49" s="173"/>
      <c r="E49" s="173"/>
      <c r="F49" s="173"/>
      <c r="G49" s="173"/>
      <c r="H49" s="173"/>
    </row>
    <row r="50" spans="2:8" ht="18">
      <c r="B50" s="173" t="s">
        <v>407</v>
      </c>
      <c r="C50" s="173">
        <v>355</v>
      </c>
      <c r="D50" s="173">
        <v>355</v>
      </c>
      <c r="E50" s="173">
        <v>355</v>
      </c>
      <c r="F50" s="173">
        <v>238</v>
      </c>
      <c r="G50" s="173">
        <v>400</v>
      </c>
      <c r="H50" s="173">
        <v>400</v>
      </c>
    </row>
    <row r="51" spans="2:8" ht="18">
      <c r="B51" s="469" t="s">
        <v>406</v>
      </c>
      <c r="C51" s="469">
        <f aca="true" t="shared" si="2" ref="C51:H51">SUM(C48:C50)</f>
        <v>495</v>
      </c>
      <c r="D51" s="469">
        <f t="shared" si="2"/>
        <v>449</v>
      </c>
      <c r="E51" s="469">
        <f t="shared" si="2"/>
        <v>446.392</v>
      </c>
      <c r="F51" s="469">
        <f t="shared" si="2"/>
        <v>238</v>
      </c>
      <c r="G51" s="469">
        <f t="shared" si="2"/>
        <v>400</v>
      </c>
      <c r="H51" s="469">
        <f t="shared" si="2"/>
        <v>400</v>
      </c>
    </row>
    <row r="52" spans="2:8" ht="18">
      <c r="B52" s="173"/>
      <c r="C52" s="173"/>
      <c r="D52" s="173"/>
      <c r="E52" s="173"/>
      <c r="F52" s="173"/>
      <c r="G52" s="173"/>
      <c r="H52" s="173"/>
    </row>
    <row r="53" spans="2:8" ht="18">
      <c r="B53" s="469" t="s">
        <v>29</v>
      </c>
      <c r="C53" s="474">
        <f aca="true" t="shared" si="3" ref="C53:H53">+C30+C41+C46+C51</f>
        <v>9006</v>
      </c>
      <c r="D53" s="474">
        <f t="shared" si="3"/>
        <v>8893</v>
      </c>
      <c r="E53" s="474">
        <f t="shared" si="3"/>
        <v>9979.402</v>
      </c>
      <c r="F53" s="474">
        <f t="shared" si="3"/>
        <v>10582</v>
      </c>
      <c r="G53" s="474">
        <f t="shared" si="3"/>
        <v>11183.96</v>
      </c>
      <c r="H53" s="474">
        <f t="shared" si="3"/>
        <v>11691.96</v>
      </c>
    </row>
    <row r="54" spans="2:8" ht="18">
      <c r="B54" s="469" t="s">
        <v>43</v>
      </c>
      <c r="C54" s="474">
        <v>20447</v>
      </c>
      <c r="D54" s="474">
        <f>SUM(D11+D16+D30+D41+D46+D51)</f>
        <v>20838.23</v>
      </c>
      <c r="E54" s="474">
        <f>SUM(E11+E16+E30+E41+E46+E51)</f>
        <v>22205.336000000003</v>
      </c>
      <c r="F54" s="474">
        <f>SUM(F11+F16+F30+F41+F46+F51)</f>
        <v>10582</v>
      </c>
      <c r="G54" s="474">
        <f>G53+G16+G11</f>
        <v>29136.07</v>
      </c>
      <c r="H54" s="474">
        <f>H53+H16+H11</f>
        <v>29644.07</v>
      </c>
    </row>
    <row r="55" spans="2:12" ht="18">
      <c r="B55" s="469"/>
      <c r="C55" s="474"/>
      <c r="D55" s="474"/>
      <c r="E55" s="173"/>
      <c r="F55" s="173"/>
      <c r="G55" s="173"/>
      <c r="H55" s="173"/>
      <c r="I55" s="173"/>
      <c r="K55" s="173" t="s">
        <v>723</v>
      </c>
      <c r="L55" s="173" t="s">
        <v>724</v>
      </c>
    </row>
    <row r="56" spans="2:12" ht="18">
      <c r="B56" s="469" t="s">
        <v>733</v>
      </c>
      <c r="C56" s="474"/>
      <c r="D56" s="474"/>
      <c r="E56" s="173"/>
      <c r="F56" s="173"/>
      <c r="G56" s="173">
        <v>1260</v>
      </c>
      <c r="H56" s="173">
        <v>1260</v>
      </c>
      <c r="I56" s="173"/>
      <c r="K56" s="173" t="s">
        <v>725</v>
      </c>
      <c r="L56" s="173" t="s">
        <v>726</v>
      </c>
    </row>
    <row r="57" spans="2:12" ht="18">
      <c r="B57" s="173" t="s">
        <v>734</v>
      </c>
      <c r="E57" s="173"/>
      <c r="F57" s="173"/>
      <c r="G57" s="173">
        <v>1024</v>
      </c>
      <c r="H57" s="173">
        <v>1024</v>
      </c>
      <c r="I57" s="173"/>
      <c r="K57" s="173" t="s">
        <v>727</v>
      </c>
      <c r="L57" s="173" t="s">
        <v>728</v>
      </c>
    </row>
    <row r="58" spans="2:12" ht="18">
      <c r="B58" s="469" t="s">
        <v>735</v>
      </c>
      <c r="E58" s="173"/>
      <c r="F58" s="173">
        <v>331</v>
      </c>
      <c r="G58" s="30">
        <v>158</v>
      </c>
      <c r="H58" s="30">
        <v>157</v>
      </c>
      <c r="I58" s="29"/>
      <c r="L58" s="29" t="s">
        <v>729</v>
      </c>
    </row>
    <row r="59" spans="2:9" ht="18">
      <c r="B59" s="469" t="s">
        <v>232</v>
      </c>
      <c r="E59" s="173"/>
      <c r="F59" s="173">
        <v>89</v>
      </c>
      <c r="G59" s="30">
        <v>660</v>
      </c>
      <c r="H59" s="30">
        <v>659</v>
      </c>
      <c r="I59" s="29"/>
    </row>
    <row r="60" spans="2:8" ht="18">
      <c r="B60" s="469" t="s">
        <v>272</v>
      </c>
      <c r="E60" s="173"/>
      <c r="F60" s="173">
        <f>SUM(F58:F59)</f>
        <v>420</v>
      </c>
      <c r="G60" s="29">
        <f>SUM(G56:G59)</f>
        <v>3102</v>
      </c>
      <c r="H60" s="29">
        <f>SUM(H56:H59)</f>
        <v>3100</v>
      </c>
    </row>
    <row r="61" spans="1:2" ht="15.75">
      <c r="A61" s="174">
        <v>14034</v>
      </c>
      <c r="B61" s="29"/>
    </row>
    <row r="62" spans="1:8" ht="15.75">
      <c r="A62" s="174"/>
      <c r="B62" s="29" t="s">
        <v>0</v>
      </c>
      <c r="C62" s="176">
        <f>SUM(C54+G57)</f>
        <v>21471</v>
      </c>
      <c r="D62" s="176">
        <f>SUM(D54+I57)</f>
        <v>20838.23</v>
      </c>
      <c r="E62" s="176">
        <f>SUM(E54+E60)</f>
        <v>22205.336000000003</v>
      </c>
      <c r="F62" s="176">
        <f>SUM(F54+F60)</f>
        <v>11002</v>
      </c>
      <c r="G62" s="176">
        <f>SUM(G54+G60)</f>
        <v>32238.07</v>
      </c>
      <c r="H62" s="176">
        <f>SUM(H54+H60)</f>
        <v>32744.07</v>
      </c>
    </row>
    <row r="63" ht="15.75">
      <c r="B63" s="29"/>
    </row>
    <row r="64" spans="1:2" ht="15.75">
      <c r="A64" s="174"/>
      <c r="B64" s="29" t="s">
        <v>331</v>
      </c>
    </row>
    <row r="65" ht="15.75">
      <c r="B65" s="29" t="s">
        <v>405</v>
      </c>
    </row>
    <row r="66" ht="15">
      <c r="B66" s="30" t="s">
        <v>404</v>
      </c>
    </row>
    <row r="67" spans="2:4" ht="15">
      <c r="B67" s="30" t="s">
        <v>62</v>
      </c>
      <c r="D67" s="30">
        <f>SUM(D65:D66)</f>
        <v>0</v>
      </c>
    </row>
  </sheetData>
  <sheetProtection/>
  <mergeCells count="1">
    <mergeCell ref="F22:F27"/>
  </mergeCells>
  <printOptions/>
  <pageMargins left="0.7" right="0.7" top="0.75" bottom="0.75" header="0.3" footer="0.3"/>
  <pageSetup horizontalDpi="300" verticalDpi="300" orientation="portrait" paperSize="9" scale="43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C00000"/>
  </sheetPr>
  <dimension ref="A2:J102"/>
  <sheetViews>
    <sheetView zoomScalePageLayoutView="0" workbookViewId="0" topLeftCell="A66">
      <selection activeCell="E67" sqref="E67"/>
    </sheetView>
  </sheetViews>
  <sheetFormatPr defaultColWidth="8.41015625" defaultRowHeight="18"/>
  <cols>
    <col min="1" max="1" width="8.41015625" style="21" customWidth="1"/>
    <col min="2" max="2" width="29.41015625" style="21" customWidth="1"/>
    <col min="3" max="3" width="8" style="382" customWidth="1"/>
    <col min="4" max="4" width="7.33203125" style="21" customWidth="1"/>
    <col min="5" max="5" width="7.75" style="21" customWidth="1"/>
    <col min="6" max="6" width="21.58203125" style="21" customWidth="1"/>
    <col min="7" max="249" width="7.08203125" style="21" customWidth="1"/>
    <col min="250" max="16384" width="8.41015625" style="21" customWidth="1"/>
  </cols>
  <sheetData>
    <row r="2" spans="1:5" ht="18.75">
      <c r="A2" s="620" t="s">
        <v>1331</v>
      </c>
      <c r="B2" s="620"/>
      <c r="C2" s="620"/>
      <c r="D2" s="620"/>
      <c r="E2" s="620"/>
    </row>
    <row r="3" ht="19.5" thickBot="1">
      <c r="C3" s="243"/>
    </row>
    <row r="4" spans="1:5" ht="19.5" thickBot="1">
      <c r="A4" s="595">
        <v>813000</v>
      </c>
      <c r="B4" s="245" t="s">
        <v>1388</v>
      </c>
      <c r="C4" s="421" t="s">
        <v>616</v>
      </c>
      <c r="D4" s="41" t="s">
        <v>626</v>
      </c>
      <c r="E4" s="34">
        <v>2016</v>
      </c>
    </row>
    <row r="5" spans="1:5" ht="19.5" thickBot="1">
      <c r="A5" s="596" t="s">
        <v>1389</v>
      </c>
      <c r="B5" s="210" t="s">
        <v>1422</v>
      </c>
      <c r="C5" s="295"/>
      <c r="D5" s="34"/>
      <c r="E5" s="34"/>
    </row>
    <row r="6" spans="1:5" ht="18.75">
      <c r="A6" s="249" t="s">
        <v>819</v>
      </c>
      <c r="B6" s="250" t="s">
        <v>1238</v>
      </c>
      <c r="C6" s="376">
        <v>9838</v>
      </c>
      <c r="D6" s="565"/>
      <c r="E6" s="565">
        <v>9665</v>
      </c>
    </row>
    <row r="7" spans="1:5" ht="18.75">
      <c r="A7" s="253" t="s">
        <v>822</v>
      </c>
      <c r="B7" s="254" t="s">
        <v>821</v>
      </c>
      <c r="C7" s="377">
        <v>480</v>
      </c>
      <c r="D7" s="34"/>
      <c r="E7" s="34">
        <v>480</v>
      </c>
    </row>
    <row r="8" spans="1:5" ht="18.75">
      <c r="A8" s="253" t="s">
        <v>823</v>
      </c>
      <c r="B8" s="254" t="s">
        <v>820</v>
      </c>
      <c r="C8" s="377"/>
      <c r="D8" s="34"/>
      <c r="E8" s="381"/>
    </row>
    <row r="9" spans="1:5" ht="18.75">
      <c r="A9" s="253" t="s">
        <v>825</v>
      </c>
      <c r="B9" s="254" t="s">
        <v>1423</v>
      </c>
      <c r="C9" s="377">
        <v>2230</v>
      </c>
      <c r="D9" s="34"/>
      <c r="E9" s="34">
        <v>1200</v>
      </c>
    </row>
    <row r="10" spans="1:5" ht="18.75">
      <c r="A10" s="253" t="s">
        <v>826</v>
      </c>
      <c r="B10" s="260" t="s">
        <v>1239</v>
      </c>
      <c r="C10" s="377"/>
      <c r="D10" s="34"/>
      <c r="E10" s="34"/>
    </row>
    <row r="11" spans="1:5" ht="18.75">
      <c r="A11" s="253" t="s">
        <v>1233</v>
      </c>
      <c r="B11" s="260" t="s">
        <v>1240</v>
      </c>
      <c r="C11" s="378">
        <v>545</v>
      </c>
      <c r="D11" s="34"/>
      <c r="E11" s="34"/>
    </row>
    <row r="12" spans="1:5" ht="18.75">
      <c r="A12" s="253" t="s">
        <v>1241</v>
      </c>
      <c r="B12" s="262" t="s">
        <v>1234</v>
      </c>
      <c r="C12" s="377">
        <v>900</v>
      </c>
      <c r="D12" s="34"/>
      <c r="E12" s="34">
        <v>384</v>
      </c>
    </row>
    <row r="13" spans="1:5" ht="18.75">
      <c r="A13" s="253" t="s">
        <v>1242</v>
      </c>
      <c r="B13" s="262" t="s">
        <v>1235</v>
      </c>
      <c r="C13" s="377"/>
      <c r="D13" s="34"/>
      <c r="E13" s="34">
        <v>516</v>
      </c>
    </row>
    <row r="14" spans="1:5" ht="18.75">
      <c r="A14" s="253" t="s">
        <v>1243</v>
      </c>
      <c r="B14" s="254" t="s">
        <v>528</v>
      </c>
      <c r="C14" s="377"/>
      <c r="D14" s="34"/>
      <c r="E14" s="34"/>
    </row>
    <row r="15" spans="1:5" ht="18.75">
      <c r="A15" s="253" t="s">
        <v>1244</v>
      </c>
      <c r="B15" s="254" t="s">
        <v>1236</v>
      </c>
      <c r="C15" s="377">
        <v>100</v>
      </c>
      <c r="D15" s="34"/>
      <c r="E15" s="34"/>
    </row>
    <row r="16" spans="1:5" ht="19.5" thickBot="1">
      <c r="A16" s="264" t="s">
        <v>1245</v>
      </c>
      <c r="B16" s="265" t="s">
        <v>791</v>
      </c>
      <c r="C16" s="377"/>
      <c r="D16" s="34"/>
      <c r="E16" s="34">
        <v>881</v>
      </c>
    </row>
    <row r="17" spans="1:5" ht="19.5" thickBot="1">
      <c r="A17" s="568" t="s">
        <v>1327</v>
      </c>
      <c r="B17" s="569" t="s">
        <v>1249</v>
      </c>
      <c r="C17" s="379">
        <f>SUM(C6:C16)</f>
        <v>14093</v>
      </c>
      <c r="D17" s="379">
        <f>SUM(D6:D16)</f>
        <v>0</v>
      </c>
      <c r="E17" s="379">
        <f>SUM(E6:E16)</f>
        <v>13126</v>
      </c>
    </row>
    <row r="18" spans="1:5" ht="19.5" thickBot="1">
      <c r="A18" s="557" t="s">
        <v>1329</v>
      </c>
      <c r="B18" s="558" t="s">
        <v>1248</v>
      </c>
      <c r="C18" s="377"/>
      <c r="D18" s="34"/>
      <c r="E18" s="34"/>
    </row>
    <row r="19" spans="1:5" ht="19.5" thickBot="1">
      <c r="A19" s="557" t="s">
        <v>1328</v>
      </c>
      <c r="B19" s="558" t="s">
        <v>1246</v>
      </c>
      <c r="C19" s="377"/>
      <c r="D19" s="34"/>
      <c r="E19" s="34"/>
    </row>
    <row r="20" spans="1:5" ht="19.5" thickBot="1">
      <c r="A20" s="557" t="s">
        <v>1253</v>
      </c>
      <c r="B20" s="558" t="s">
        <v>19</v>
      </c>
      <c r="C20" s="377"/>
      <c r="D20" s="34"/>
      <c r="E20" s="34"/>
    </row>
    <row r="21" spans="1:5" ht="19.5" thickBot="1">
      <c r="A21" s="557" t="s">
        <v>1254</v>
      </c>
      <c r="B21" s="558" t="s">
        <v>889</v>
      </c>
      <c r="C21" s="377"/>
      <c r="D21" s="34"/>
      <c r="E21" s="34"/>
    </row>
    <row r="22" spans="1:5" ht="19.5" thickBot="1">
      <c r="A22" s="568" t="s">
        <v>1330</v>
      </c>
      <c r="B22" s="569" t="s">
        <v>1247</v>
      </c>
      <c r="C22" s="377">
        <f>SUM(C18:C21)</f>
        <v>0</v>
      </c>
      <c r="D22" s="377">
        <f>SUM(D18:D21)</f>
        <v>0</v>
      </c>
      <c r="E22" s="377">
        <f>SUM(E18:E21)</f>
        <v>0</v>
      </c>
    </row>
    <row r="23" spans="1:5" ht="27" customHeight="1" thickBot="1">
      <c r="A23" s="268" t="s">
        <v>1250</v>
      </c>
      <c r="B23" s="269" t="s">
        <v>1237</v>
      </c>
      <c r="C23" s="379">
        <f>SUM(C22,C17)</f>
        <v>14093</v>
      </c>
      <c r="D23" s="379">
        <f>SUM(D22,D17)</f>
        <v>0</v>
      </c>
      <c r="E23" s="379">
        <f>SUM(E22,E17)</f>
        <v>13126</v>
      </c>
    </row>
    <row r="24" spans="1:5" ht="19.5" thickBot="1">
      <c r="A24" s="270"/>
      <c r="B24" s="271"/>
      <c r="C24" s="377"/>
      <c r="D24" s="34"/>
      <c r="E24" s="34"/>
    </row>
    <row r="25" spans="1:6" ht="18.75">
      <c r="A25" s="272" t="s">
        <v>1255</v>
      </c>
      <c r="B25" s="97" t="s">
        <v>590</v>
      </c>
      <c r="C25" s="275">
        <v>3535</v>
      </c>
      <c r="D25" s="44"/>
      <c r="E25" s="118">
        <f>F25*27%</f>
        <v>3301.0200000000004</v>
      </c>
      <c r="F25" s="21">
        <f>E6+E7+E8+E9+E10+E11+E16+E22</f>
        <v>12226</v>
      </c>
    </row>
    <row r="26" spans="1:5" ht="18.75">
      <c r="A26" s="559" t="s">
        <v>1256</v>
      </c>
      <c r="B26" s="97" t="s">
        <v>1251</v>
      </c>
      <c r="C26" s="275"/>
      <c r="D26" s="44"/>
      <c r="E26" s="118"/>
    </row>
    <row r="27" spans="1:6" ht="18.75">
      <c r="A27" s="276" t="s">
        <v>1252</v>
      </c>
      <c r="B27" s="255" t="s">
        <v>4</v>
      </c>
      <c r="C27" s="378">
        <v>150</v>
      </c>
      <c r="D27" s="34"/>
      <c r="E27" s="118">
        <f>F27*15.67%</f>
        <v>141.03</v>
      </c>
      <c r="F27" s="21">
        <f>E12+E13</f>
        <v>900</v>
      </c>
    </row>
    <row r="28" spans="1:5" ht="19.5" thickBot="1">
      <c r="A28" s="462" t="s">
        <v>1257</v>
      </c>
      <c r="B28" s="255" t="s">
        <v>635</v>
      </c>
      <c r="C28" s="378">
        <v>174</v>
      </c>
      <c r="D28" s="34"/>
      <c r="E28" s="118">
        <f>F27*19.04%</f>
        <v>171.35999999999999</v>
      </c>
    </row>
    <row r="29" spans="1:5" ht="19.5" thickBot="1">
      <c r="A29" s="582" t="s">
        <v>1258</v>
      </c>
      <c r="B29" s="583" t="s">
        <v>69</v>
      </c>
      <c r="C29" s="378">
        <f>SUM(C25:C28)</f>
        <v>3859</v>
      </c>
      <c r="D29" s="378">
        <f>SUM(D25:D28)</f>
        <v>0</v>
      </c>
      <c r="E29" s="378">
        <f>SUM(E25:E28)</f>
        <v>3613.4100000000008</v>
      </c>
    </row>
    <row r="30" spans="1:5" ht="19.5" thickBot="1">
      <c r="A30" s="282"/>
      <c r="B30" s="283"/>
      <c r="C30" s="377"/>
      <c r="D30" s="34"/>
      <c r="E30" s="34"/>
    </row>
    <row r="31" spans="1:5" ht="18.75">
      <c r="A31" s="249" t="s">
        <v>1259</v>
      </c>
      <c r="B31" s="291" t="s">
        <v>533</v>
      </c>
      <c r="C31" s="377"/>
      <c r="D31" s="34"/>
      <c r="E31" s="34"/>
    </row>
    <row r="32" spans="1:5" ht="18.75">
      <c r="A32" s="253" t="s">
        <v>1260</v>
      </c>
      <c r="B32" s="254" t="s">
        <v>534</v>
      </c>
      <c r="C32" s="377"/>
      <c r="D32" s="41"/>
      <c r="E32" s="34"/>
    </row>
    <row r="33" spans="1:5" ht="18.75">
      <c r="A33" s="253" t="s">
        <v>1262</v>
      </c>
      <c r="B33" s="254" t="s">
        <v>1261</v>
      </c>
      <c r="C33" s="377"/>
      <c r="D33" s="41"/>
      <c r="E33" s="34"/>
    </row>
    <row r="34" spans="1:5" ht="18.75">
      <c r="A34" s="253" t="s">
        <v>1263</v>
      </c>
      <c r="B34" s="254" t="s">
        <v>124</v>
      </c>
      <c r="C34" s="377"/>
      <c r="D34" s="41"/>
      <c r="E34" s="34"/>
    </row>
    <row r="35" spans="1:5" ht="18.75">
      <c r="A35" s="253" t="s">
        <v>1264</v>
      </c>
      <c r="B35" s="254" t="s">
        <v>1265</v>
      </c>
      <c r="C35" s="570"/>
      <c r="D35" s="41"/>
      <c r="E35" s="34"/>
    </row>
    <row r="36" spans="1:5" ht="18.75">
      <c r="A36" s="253" t="s">
        <v>1335</v>
      </c>
      <c r="B36" s="562" t="s">
        <v>548</v>
      </c>
      <c r="C36" s="570">
        <f>SUM(C31:C35)</f>
        <v>0</v>
      </c>
      <c r="D36" s="570">
        <f>SUM(D31:D35)</f>
        <v>0</v>
      </c>
      <c r="E36" s="570">
        <f>SUM(E31:E35)</f>
        <v>0</v>
      </c>
    </row>
    <row r="37" spans="1:5" ht="18.75">
      <c r="A37" s="253" t="s">
        <v>1342</v>
      </c>
      <c r="B37" s="254" t="s">
        <v>1343</v>
      </c>
      <c r="C37" s="570"/>
      <c r="D37" s="570"/>
      <c r="E37" s="570"/>
    </row>
    <row r="38" spans="1:5" ht="18.75">
      <c r="A38" s="253" t="s">
        <v>1344</v>
      </c>
      <c r="B38" s="254" t="s">
        <v>1267</v>
      </c>
      <c r="C38" s="570">
        <v>50</v>
      </c>
      <c r="D38" s="34">
        <v>97</v>
      </c>
      <c r="E38" s="34">
        <v>100</v>
      </c>
    </row>
    <row r="39" spans="1:5" ht="18.75">
      <c r="A39" s="253" t="s">
        <v>1345</v>
      </c>
      <c r="B39" s="254" t="s">
        <v>88</v>
      </c>
      <c r="C39" s="570">
        <v>3300</v>
      </c>
      <c r="D39" s="34">
        <v>2800</v>
      </c>
      <c r="E39" s="34">
        <v>3000</v>
      </c>
    </row>
    <row r="40" spans="1:5" ht="18.75">
      <c r="A40" s="253" t="s">
        <v>1346</v>
      </c>
      <c r="B40" s="254" t="s">
        <v>1268</v>
      </c>
      <c r="C40" s="377">
        <v>200</v>
      </c>
      <c r="D40" s="34">
        <v>180</v>
      </c>
      <c r="E40" s="34">
        <v>200</v>
      </c>
    </row>
    <row r="41" spans="1:6" ht="36" thickBot="1">
      <c r="A41" s="288" t="s">
        <v>1347</v>
      </c>
      <c r="B41" s="289" t="s">
        <v>1269</v>
      </c>
      <c r="C41" s="377">
        <v>2350</v>
      </c>
      <c r="D41" s="34">
        <v>2726</v>
      </c>
      <c r="E41" s="34">
        <v>2320</v>
      </c>
      <c r="F41" s="604" t="s">
        <v>1522</v>
      </c>
    </row>
    <row r="42" spans="1:5" ht="17.25" customHeight="1" thickBot="1">
      <c r="A42" s="268" t="s">
        <v>1266</v>
      </c>
      <c r="B42" s="571" t="s">
        <v>1270</v>
      </c>
      <c r="C42" s="377">
        <f>SUM(C37:C41)</f>
        <v>5900</v>
      </c>
      <c r="D42" s="377">
        <f>SUM(D38:D41)</f>
        <v>5803</v>
      </c>
      <c r="E42" s="377">
        <f>SUM(E38:E41)</f>
        <v>5620</v>
      </c>
    </row>
    <row r="43" spans="1:5" ht="22.5" customHeight="1" thickBot="1">
      <c r="A43" s="572" t="s">
        <v>1300</v>
      </c>
      <c r="B43" s="573" t="s">
        <v>595</v>
      </c>
      <c r="C43" s="574">
        <f>SUM(C42,C36)</f>
        <v>5900</v>
      </c>
      <c r="D43" s="574">
        <f>SUM(D42,D36)</f>
        <v>5803</v>
      </c>
      <c r="E43" s="574">
        <f>SUM(E42,E36)</f>
        <v>5620</v>
      </c>
    </row>
    <row r="44" spans="1:5" ht="18.75">
      <c r="A44" s="249" t="s">
        <v>1271</v>
      </c>
      <c r="B44" s="291" t="s">
        <v>1348</v>
      </c>
      <c r="C44" s="377"/>
      <c r="D44" s="34"/>
      <c r="E44" s="34"/>
    </row>
    <row r="45" spans="1:5" ht="18.75">
      <c r="A45" s="494" t="s">
        <v>1350</v>
      </c>
      <c r="B45" s="590" t="s">
        <v>1351</v>
      </c>
      <c r="C45" s="377"/>
      <c r="D45" s="34"/>
      <c r="E45" s="34"/>
    </row>
    <row r="46" spans="1:5" ht="18.75">
      <c r="A46" s="253" t="s">
        <v>1272</v>
      </c>
      <c r="B46" s="254" t="s">
        <v>1349</v>
      </c>
      <c r="C46" s="295">
        <v>130</v>
      </c>
      <c r="D46" s="566">
        <v>185</v>
      </c>
      <c r="E46" s="34">
        <v>185</v>
      </c>
    </row>
    <row r="47" spans="1:5" ht="18.75">
      <c r="A47" s="575" t="s">
        <v>1301</v>
      </c>
      <c r="B47" s="576" t="s">
        <v>1366</v>
      </c>
      <c r="C47" s="577">
        <f>SUM(C44:C46)</f>
        <v>130</v>
      </c>
      <c r="D47" s="577">
        <f>SUM(D44:D46)</f>
        <v>185</v>
      </c>
      <c r="E47" s="577">
        <f>SUM(E44:E46)</f>
        <v>185</v>
      </c>
    </row>
    <row r="48" spans="1:5" ht="18.75">
      <c r="A48" s="253" t="s">
        <v>1275</v>
      </c>
      <c r="B48" s="254" t="s">
        <v>544</v>
      </c>
      <c r="C48" s="295">
        <v>115</v>
      </c>
      <c r="D48" s="566">
        <v>85</v>
      </c>
      <c r="E48" s="34">
        <v>100</v>
      </c>
    </row>
    <row r="49" spans="1:5" ht="18.75">
      <c r="A49" s="253" t="s">
        <v>1274</v>
      </c>
      <c r="B49" s="254" t="s">
        <v>543</v>
      </c>
      <c r="C49" s="295">
        <v>480</v>
      </c>
      <c r="D49" s="34">
        <v>400</v>
      </c>
      <c r="E49" s="34">
        <v>450</v>
      </c>
    </row>
    <row r="50" spans="1:6" ht="18.75">
      <c r="A50" s="253" t="s">
        <v>1276</v>
      </c>
      <c r="B50" s="254" t="s">
        <v>503</v>
      </c>
      <c r="C50" s="295">
        <v>225</v>
      </c>
      <c r="D50" s="34">
        <v>333</v>
      </c>
      <c r="E50" s="34">
        <v>350</v>
      </c>
      <c r="F50" t="s">
        <v>1524</v>
      </c>
    </row>
    <row r="51" spans="1:5" ht="18.75">
      <c r="A51" s="575" t="s">
        <v>1273</v>
      </c>
      <c r="B51" s="576" t="s">
        <v>1277</v>
      </c>
      <c r="C51" s="577">
        <f>SUM(C48:C50)</f>
        <v>820</v>
      </c>
      <c r="D51" s="577">
        <f>SUM(D48:D50)</f>
        <v>818</v>
      </c>
      <c r="E51" s="577">
        <f>SUM(E48:E50)</f>
        <v>900</v>
      </c>
    </row>
    <row r="52" spans="1:5" ht="18.75">
      <c r="A52" s="253" t="s">
        <v>1332</v>
      </c>
      <c r="B52" s="254" t="s">
        <v>1278</v>
      </c>
      <c r="C52" s="295"/>
      <c r="D52" s="34"/>
      <c r="E52" s="34"/>
    </row>
    <row r="53" spans="1:6" ht="18.75">
      <c r="A53" s="253" t="s">
        <v>1280</v>
      </c>
      <c r="B53" s="254" t="s">
        <v>26</v>
      </c>
      <c r="C53" s="295"/>
      <c r="D53" s="41"/>
      <c r="E53" s="34">
        <v>45</v>
      </c>
      <c r="F53" t="s">
        <v>1583</v>
      </c>
    </row>
    <row r="54" spans="1:6" ht="24">
      <c r="A54" s="253" t="s">
        <v>1281</v>
      </c>
      <c r="B54" s="254" t="s">
        <v>1352</v>
      </c>
      <c r="C54" s="377">
        <v>1240</v>
      </c>
      <c r="D54" s="34">
        <v>535</v>
      </c>
      <c r="E54" s="34">
        <v>1660</v>
      </c>
      <c r="F54" s="604" t="s">
        <v>1429</v>
      </c>
    </row>
    <row r="55" spans="1:5" ht="18.75">
      <c r="A55" s="575" t="s">
        <v>1283</v>
      </c>
      <c r="B55" s="576" t="s">
        <v>1282</v>
      </c>
      <c r="C55" s="574">
        <f>SUM(C53:C54)</f>
        <v>1240</v>
      </c>
      <c r="D55" s="574">
        <f>SUM(D53:D54)</f>
        <v>535</v>
      </c>
      <c r="E55" s="574">
        <f>SUM(E53:E54)</f>
        <v>1705</v>
      </c>
    </row>
    <row r="56" spans="1:5" ht="18.75">
      <c r="A56" s="575" t="s">
        <v>1284</v>
      </c>
      <c r="B56" s="588" t="s">
        <v>1333</v>
      </c>
      <c r="C56" s="589"/>
      <c r="D56" s="589"/>
      <c r="E56" s="589"/>
    </row>
    <row r="57" spans="1:5" ht="18.75">
      <c r="A57" s="288"/>
      <c r="B57" s="554" t="s">
        <v>943</v>
      </c>
      <c r="C57" s="554"/>
      <c r="D57" s="554"/>
      <c r="E57" s="554"/>
    </row>
    <row r="58" spans="1:6" ht="18.75">
      <c r="A58" s="288" t="s">
        <v>1353</v>
      </c>
      <c r="B58" s="554" t="s">
        <v>547</v>
      </c>
      <c r="C58" s="554">
        <v>688</v>
      </c>
      <c r="D58" s="554">
        <v>833</v>
      </c>
      <c r="E58" s="554">
        <v>900</v>
      </c>
      <c r="F58" s="605" t="s">
        <v>1523</v>
      </c>
    </row>
    <row r="59" spans="1:5" ht="18.75">
      <c r="A59" s="288" t="s">
        <v>1354</v>
      </c>
      <c r="B59" s="554" t="s">
        <v>1355</v>
      </c>
      <c r="C59" s="554"/>
      <c r="D59" s="554"/>
      <c r="E59" s="554"/>
    </row>
    <row r="60" spans="1:5" ht="27" customHeight="1">
      <c r="A60" s="561" t="s">
        <v>1285</v>
      </c>
      <c r="B60" s="552" t="s">
        <v>945</v>
      </c>
      <c r="C60" s="591">
        <f>SUM(C58:C59)</f>
        <v>688</v>
      </c>
      <c r="D60" s="591">
        <f>SUM(D58:D59)</f>
        <v>833</v>
      </c>
      <c r="E60" s="591">
        <f>SUM(E58:E59)</f>
        <v>900</v>
      </c>
    </row>
    <row r="61" spans="1:5" ht="23.25" customHeight="1">
      <c r="A61" s="462" t="s">
        <v>1356</v>
      </c>
      <c r="B61" s="553" t="s">
        <v>1362</v>
      </c>
      <c r="C61" s="591">
        <v>400</v>
      </c>
      <c r="D61" s="591">
        <v>150</v>
      </c>
      <c r="E61" s="591">
        <v>200</v>
      </c>
    </row>
    <row r="62" spans="1:5" ht="23.25" customHeight="1">
      <c r="A62" s="462" t="s">
        <v>1357</v>
      </c>
      <c r="B62" s="553" t="s">
        <v>1358</v>
      </c>
      <c r="C62" s="591"/>
      <c r="D62" s="591"/>
      <c r="E62" s="591"/>
    </row>
    <row r="63" spans="1:5" ht="23.25" customHeight="1">
      <c r="A63" s="462" t="s">
        <v>1359</v>
      </c>
      <c r="B63" s="553" t="s">
        <v>9</v>
      </c>
      <c r="C63" s="591">
        <v>80</v>
      </c>
      <c r="D63" s="591">
        <v>75</v>
      </c>
      <c r="E63" s="591">
        <v>80</v>
      </c>
    </row>
    <row r="64" spans="1:6" ht="23.25" customHeight="1" thickBot="1">
      <c r="A64" s="462" t="s">
        <v>1360</v>
      </c>
      <c r="B64" s="553" t="s">
        <v>1361</v>
      </c>
      <c r="C64" s="591"/>
      <c r="D64" s="591">
        <v>44</v>
      </c>
      <c r="E64" s="591"/>
      <c r="F64" s="605" t="s">
        <v>1368</v>
      </c>
    </row>
    <row r="65" spans="1:5" ht="17.25" customHeight="1" thickBot="1">
      <c r="A65" s="298" t="s">
        <v>1286</v>
      </c>
      <c r="B65" s="552" t="s">
        <v>948</v>
      </c>
      <c r="C65" s="591">
        <f>SUM(C61:C64)</f>
        <v>480</v>
      </c>
      <c r="D65" s="591">
        <f>SUM(D61:D64)</f>
        <v>269</v>
      </c>
      <c r="E65" s="591">
        <f>SUM(E61:E64)</f>
        <v>280</v>
      </c>
    </row>
    <row r="66" spans="1:5" ht="25.5" customHeight="1">
      <c r="A66" s="578" t="s">
        <v>1279</v>
      </c>
      <c r="B66" s="579" t="s">
        <v>1287</v>
      </c>
      <c r="C66" s="603">
        <f>SUM(C65+C60+C56+C55+C52+C51)</f>
        <v>3228</v>
      </c>
      <c r="D66" s="579">
        <f>SUM(D65+D60+D56+D55+D52)</f>
        <v>1637</v>
      </c>
      <c r="E66" s="603">
        <f>SUM(E65+E60+E56+E55+E51)</f>
        <v>3785</v>
      </c>
    </row>
    <row r="67" spans="1:5" ht="18.75">
      <c r="A67" s="253" t="s">
        <v>1288</v>
      </c>
      <c r="B67" s="553" t="s">
        <v>952</v>
      </c>
      <c r="C67" s="553">
        <v>55</v>
      </c>
      <c r="D67" s="553">
        <v>35</v>
      </c>
      <c r="E67" s="553">
        <v>40</v>
      </c>
    </row>
    <row r="68" spans="1:5" ht="18.75">
      <c r="A68" s="253" t="s">
        <v>1289</v>
      </c>
      <c r="B68" s="553" t="s">
        <v>954</v>
      </c>
      <c r="C68" s="553"/>
      <c r="D68" s="553"/>
      <c r="E68" s="553"/>
    </row>
    <row r="69" spans="1:5" ht="24" customHeight="1">
      <c r="A69" s="575" t="s">
        <v>1291</v>
      </c>
      <c r="B69" s="579" t="s">
        <v>1290</v>
      </c>
      <c r="C69" s="579">
        <f>SUM(C67:C68)</f>
        <v>55</v>
      </c>
      <c r="D69" s="579">
        <f>SUM(D67:D68)</f>
        <v>35</v>
      </c>
      <c r="E69" s="579">
        <f>SUM(E67:E68)</f>
        <v>40</v>
      </c>
    </row>
    <row r="70" spans="1:7" ht="26.25" customHeight="1" thickBot="1">
      <c r="A70" s="561" t="s">
        <v>1294</v>
      </c>
      <c r="B70" s="552" t="s">
        <v>958</v>
      </c>
      <c r="C70" s="552">
        <v>2389</v>
      </c>
      <c r="D70" s="552">
        <v>2083</v>
      </c>
      <c r="E70" s="552">
        <v>2536</v>
      </c>
      <c r="F70" s="597">
        <f>E43+E47+E51+E52+E55+E56+E60+E63+E64+E68+E75</f>
        <v>9390</v>
      </c>
      <c r="G70" s="21">
        <f>F70*27%</f>
        <v>2535.3</v>
      </c>
    </row>
    <row r="71" spans="1:5" ht="27" customHeight="1" thickBot="1">
      <c r="A71" s="268" t="s">
        <v>1295</v>
      </c>
      <c r="B71" s="552" t="s">
        <v>960</v>
      </c>
      <c r="C71" s="552"/>
      <c r="D71" s="552"/>
      <c r="E71" s="552"/>
    </row>
    <row r="72" spans="1:5" ht="19.5" thickBot="1">
      <c r="A72" s="210" t="s">
        <v>1296</v>
      </c>
      <c r="B72" s="552" t="s">
        <v>1293</v>
      </c>
      <c r="C72" s="552"/>
      <c r="D72" s="552"/>
      <c r="E72" s="552"/>
    </row>
    <row r="73" spans="1:5" ht="24.75" customHeight="1">
      <c r="A73" s="593" t="s">
        <v>1298</v>
      </c>
      <c r="B73" s="594" t="s">
        <v>1363</v>
      </c>
      <c r="C73" s="594"/>
      <c r="D73" s="552"/>
      <c r="E73" s="552"/>
    </row>
    <row r="74" spans="1:6" ht="24.75" customHeight="1">
      <c r="A74" s="592" t="s">
        <v>1364</v>
      </c>
      <c r="B74" s="563" t="s">
        <v>1365</v>
      </c>
      <c r="C74" s="563"/>
      <c r="D74" s="553">
        <v>120</v>
      </c>
      <c r="E74" s="553">
        <v>120</v>
      </c>
      <c r="F74" s="605" t="s">
        <v>1369</v>
      </c>
    </row>
    <row r="75" spans="1:5" ht="24.75" customHeight="1">
      <c r="A75" s="592" t="s">
        <v>1370</v>
      </c>
      <c r="B75" s="563" t="s">
        <v>1367</v>
      </c>
      <c r="C75" s="563"/>
      <c r="D75" s="553"/>
      <c r="E75" s="553"/>
    </row>
    <row r="76" spans="1:5" ht="18.75">
      <c r="A76" s="98" t="s">
        <v>1297</v>
      </c>
      <c r="B76" s="552" t="s">
        <v>970</v>
      </c>
      <c r="C76" s="552">
        <f>SUM(C74:C75)</f>
        <v>0</v>
      </c>
      <c r="D76" s="552">
        <f>SUM(D74:D75)</f>
        <v>120</v>
      </c>
      <c r="E76" s="552">
        <f>SUM(E74:E75)</f>
        <v>120</v>
      </c>
    </row>
    <row r="77" spans="1:5" ht="24.75" customHeight="1">
      <c r="A77" s="580" t="s">
        <v>1292</v>
      </c>
      <c r="B77" s="579" t="s">
        <v>1334</v>
      </c>
      <c r="C77" s="579">
        <f>C76+C73+C72+C71+C70</f>
        <v>2389</v>
      </c>
      <c r="D77" s="579">
        <f>D76+D73+D72+D71+D70</f>
        <v>2203</v>
      </c>
      <c r="E77" s="579">
        <f>E76+E73+E72+E71+E70</f>
        <v>2656</v>
      </c>
    </row>
    <row r="78" spans="1:10" ht="24.75" customHeight="1">
      <c r="A78" s="587" t="s">
        <v>1299</v>
      </c>
      <c r="B78" s="585" t="s">
        <v>70</v>
      </c>
      <c r="C78" s="579">
        <f>SUM(C77+C69+C66+C47+C43)</f>
        <v>11702</v>
      </c>
      <c r="D78" s="579">
        <f>SUM(D77+D69+D66+D47+D43)</f>
        <v>9863</v>
      </c>
      <c r="E78" s="579">
        <f>SUM(E77+E69+E66+E47+E43)</f>
        <v>12286</v>
      </c>
      <c r="F78" s="560"/>
      <c r="G78" s="560"/>
      <c r="H78" s="560"/>
      <c r="I78" s="560"/>
      <c r="J78" s="560"/>
    </row>
    <row r="79" spans="1:10" ht="24.75" customHeight="1">
      <c r="A79" s="98" t="s">
        <v>1307</v>
      </c>
      <c r="B79" s="553" t="s">
        <v>1302</v>
      </c>
      <c r="C79" s="552"/>
      <c r="D79" s="552"/>
      <c r="E79" s="552"/>
      <c r="F79" s="560"/>
      <c r="G79" s="560"/>
      <c r="H79" s="560"/>
      <c r="I79" s="560"/>
      <c r="J79" s="560"/>
    </row>
    <row r="80" spans="1:10" ht="24.75" customHeight="1">
      <c r="A80" s="98" t="s">
        <v>1306</v>
      </c>
      <c r="B80" s="553" t="s">
        <v>1308</v>
      </c>
      <c r="C80" s="552"/>
      <c r="D80" s="552"/>
      <c r="E80" s="552"/>
      <c r="F80" s="560"/>
      <c r="G80" s="560"/>
      <c r="H80" s="560"/>
      <c r="I80" s="560"/>
      <c r="J80" s="560"/>
    </row>
    <row r="81" spans="1:10" ht="24.75" customHeight="1">
      <c r="A81" s="98"/>
      <c r="B81" s="97" t="s">
        <v>1304</v>
      </c>
      <c r="C81" s="552"/>
      <c r="D81" s="552"/>
      <c r="E81" s="552"/>
      <c r="F81" s="560"/>
      <c r="G81" s="560"/>
      <c r="H81" s="560"/>
      <c r="I81" s="560"/>
      <c r="J81" s="560"/>
    </row>
    <row r="82" spans="1:5" ht="18.75">
      <c r="A82" s="98"/>
      <c r="B82" s="97" t="s">
        <v>1303</v>
      </c>
      <c r="C82" s="377"/>
      <c r="D82" s="34"/>
      <c r="E82" s="34"/>
    </row>
    <row r="83" spans="1:5" ht="18.75">
      <c r="A83" s="98"/>
      <c r="B83" s="567" t="s">
        <v>1305</v>
      </c>
      <c r="C83" s="377"/>
      <c r="D83" s="34"/>
      <c r="E83" s="34"/>
    </row>
    <row r="84" spans="1:5" ht="25.5">
      <c r="A84" s="580" t="s">
        <v>1341</v>
      </c>
      <c r="B84" s="579" t="s">
        <v>1337</v>
      </c>
      <c r="C84" s="377">
        <f>SUM(C80:C83)</f>
        <v>0</v>
      </c>
      <c r="D84" s="377">
        <f>SUM(D80:D83)</f>
        <v>0</v>
      </c>
      <c r="E84" s="377">
        <f>SUM(E80:E83)</f>
        <v>0</v>
      </c>
    </row>
    <row r="85" spans="1:5" s="564" customFormat="1" ht="18.75">
      <c r="A85" s="587" t="s">
        <v>1336</v>
      </c>
      <c r="B85" s="587" t="s">
        <v>1340</v>
      </c>
      <c r="C85" s="574">
        <f>SUM(C79+C84)</f>
        <v>0</v>
      </c>
      <c r="D85" s="574">
        <f>SUM(D79+D84)</f>
        <v>0</v>
      </c>
      <c r="E85" s="574">
        <f>SUM(E79+E84)</f>
        <v>0</v>
      </c>
    </row>
    <row r="86" spans="1:5" ht="18.75">
      <c r="A86" s="97" t="s">
        <v>1309</v>
      </c>
      <c r="B86" s="553" t="s">
        <v>1113</v>
      </c>
      <c r="C86" s="553"/>
      <c r="D86" s="553"/>
      <c r="E86" s="553"/>
    </row>
    <row r="87" spans="1:5" s="382" customFormat="1" ht="15">
      <c r="A87" s="97" t="s">
        <v>1310</v>
      </c>
      <c r="B87" s="553" t="s">
        <v>1371</v>
      </c>
      <c r="C87" s="553"/>
      <c r="D87" s="553"/>
      <c r="E87" s="553"/>
    </row>
    <row r="88" spans="1:5" ht="18.75">
      <c r="A88" s="172" t="s">
        <v>1311</v>
      </c>
      <c r="B88" s="553" t="s">
        <v>1117</v>
      </c>
      <c r="C88" s="553"/>
      <c r="D88" s="553"/>
      <c r="E88" s="553"/>
    </row>
    <row r="89" spans="1:5" ht="24" customHeight="1">
      <c r="A89" s="172" t="s">
        <v>1312</v>
      </c>
      <c r="B89" s="553" t="s">
        <v>1118</v>
      </c>
      <c r="C89" s="553"/>
      <c r="D89" s="553"/>
      <c r="E89" s="553"/>
    </row>
    <row r="90" spans="1:6" ht="26.25" customHeight="1">
      <c r="A90" s="172" t="s">
        <v>1313</v>
      </c>
      <c r="B90" s="553" t="s">
        <v>1120</v>
      </c>
      <c r="C90" s="553"/>
      <c r="D90" s="553"/>
      <c r="E90" s="553">
        <v>181</v>
      </c>
      <c r="F90" s="21" t="s">
        <v>1447</v>
      </c>
    </row>
    <row r="91" spans="1:5" ht="26.25" customHeight="1">
      <c r="A91" s="172"/>
      <c r="B91" s="553" t="s">
        <v>1445</v>
      </c>
      <c r="C91" s="553"/>
      <c r="D91" s="553"/>
      <c r="E91" s="553"/>
    </row>
    <row r="92" spans="1:5" ht="25.5" customHeight="1">
      <c r="A92" s="172" t="s">
        <v>1314</v>
      </c>
      <c r="B92" s="553" t="s">
        <v>1126</v>
      </c>
      <c r="C92" s="553"/>
      <c r="D92" s="553"/>
      <c r="E92" s="553">
        <v>49</v>
      </c>
    </row>
    <row r="93" spans="1:5" ht="18.75">
      <c r="A93" s="584" t="s">
        <v>1315</v>
      </c>
      <c r="B93" s="585" t="s">
        <v>1339</v>
      </c>
      <c r="C93" s="552">
        <f>SUM(C86:C92)</f>
        <v>0</v>
      </c>
      <c r="D93" s="552">
        <f>SUM(D86:D92)</f>
        <v>0</v>
      </c>
      <c r="E93" s="552">
        <f>SUM(E86:E92)</f>
        <v>230</v>
      </c>
    </row>
    <row r="94" spans="1:6" ht="18.75">
      <c r="A94" s="172" t="s">
        <v>1316</v>
      </c>
      <c r="B94" s="553" t="s">
        <v>1130</v>
      </c>
      <c r="C94" s="553"/>
      <c r="D94" s="553"/>
      <c r="E94" s="553">
        <v>315</v>
      </c>
      <c r="F94" s="21" t="s">
        <v>1448</v>
      </c>
    </row>
    <row r="95" spans="1:5" ht="18.75">
      <c r="A95" s="172" t="s">
        <v>1317</v>
      </c>
      <c r="B95" s="553" t="s">
        <v>1132</v>
      </c>
      <c r="C95" s="553"/>
      <c r="D95" s="553"/>
      <c r="E95" s="553"/>
    </row>
    <row r="96" spans="1:5" ht="18.75">
      <c r="A96" s="172" t="s">
        <v>1318</v>
      </c>
      <c r="B96" s="553" t="s">
        <v>1134</v>
      </c>
      <c r="C96" s="553"/>
      <c r="D96" s="553"/>
      <c r="E96" s="553"/>
    </row>
    <row r="97" spans="1:5" ht="24" customHeight="1">
      <c r="A97" s="172" t="s">
        <v>1319</v>
      </c>
      <c r="B97" s="553" t="s">
        <v>1136</v>
      </c>
      <c r="C97" s="553"/>
      <c r="D97" s="553"/>
      <c r="E97" s="553">
        <v>85</v>
      </c>
    </row>
    <row r="98" spans="1:5" ht="18.75">
      <c r="A98" s="584" t="s">
        <v>1320</v>
      </c>
      <c r="B98" s="585" t="s">
        <v>1338</v>
      </c>
      <c r="C98" s="552">
        <f>SUM(C94:C97)</f>
        <v>0</v>
      </c>
      <c r="D98" s="552">
        <f>SUM(D94:D97)</f>
        <v>0</v>
      </c>
      <c r="E98" s="552">
        <f>SUM(E94:E97)</f>
        <v>400</v>
      </c>
    </row>
    <row r="99" spans="1:5" ht="25.5" customHeight="1">
      <c r="A99" s="172" t="s">
        <v>1323</v>
      </c>
      <c r="B99" s="555" t="s">
        <v>1325</v>
      </c>
      <c r="C99" s="555"/>
      <c r="D99" s="555"/>
      <c r="E99" s="555"/>
    </row>
    <row r="100" spans="1:5" ht="27" customHeight="1">
      <c r="A100" s="457" t="s">
        <v>1322</v>
      </c>
      <c r="B100" s="553" t="s">
        <v>1321</v>
      </c>
      <c r="C100" s="553"/>
      <c r="D100" s="553"/>
      <c r="E100" s="553"/>
    </row>
    <row r="101" spans="1:5" ht="18.75">
      <c r="A101" s="584" t="s">
        <v>1326</v>
      </c>
      <c r="B101" s="586" t="s">
        <v>1324</v>
      </c>
      <c r="C101" s="295">
        <f>SUM(C99:C100)</f>
        <v>0</v>
      </c>
      <c r="D101" s="295">
        <f>SUM(D99:D100)</f>
        <v>0</v>
      </c>
      <c r="E101" s="295">
        <f>SUM(E99:E100)</f>
        <v>0</v>
      </c>
    </row>
    <row r="102" spans="1:5" ht="18.75">
      <c r="A102" s="34"/>
      <c r="B102" s="36" t="s">
        <v>118</v>
      </c>
      <c r="C102" s="581">
        <f>SUM(C101+C98+C93+C85+C78+C29+C23)</f>
        <v>29654</v>
      </c>
      <c r="D102" s="581">
        <f>SUM(D101+D98+D93+D85+D78+D29+D23)</f>
        <v>9863</v>
      </c>
      <c r="E102" s="581">
        <f>SUM(E101+E98+E93+E85+E78+E29+E23)</f>
        <v>29655.41</v>
      </c>
    </row>
  </sheetData>
  <sheetProtection/>
  <mergeCells count="1">
    <mergeCell ref="A2:E2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86"/>
  <sheetViews>
    <sheetView view="pageBreakPreview" zoomScale="60" zoomScalePageLayoutView="0" workbookViewId="0" topLeftCell="A16">
      <selection activeCell="G10" sqref="G10"/>
    </sheetView>
  </sheetViews>
  <sheetFormatPr defaultColWidth="8.66015625" defaultRowHeight="18"/>
  <cols>
    <col min="1" max="1" width="7.58203125" style="83" customWidth="1"/>
    <col min="2" max="2" width="30.25" style="83" customWidth="1"/>
    <col min="3" max="3" width="9.08203125" style="15" customWidth="1"/>
    <col min="4" max="4" width="8.08203125" style="22" customWidth="1"/>
    <col min="5" max="5" width="10.25" style="22" customWidth="1"/>
    <col min="6" max="7" width="8.91015625" style="83" customWidth="1"/>
    <col min="8" max="8" width="34.75" style="83" customWidth="1"/>
    <col min="9" max="9" width="6.33203125" style="83" customWidth="1"/>
    <col min="10" max="16384" width="8.91015625" style="83" customWidth="1"/>
  </cols>
  <sheetData>
    <row r="1" spans="1:7" s="395" customFormat="1" ht="35.25" customHeight="1">
      <c r="A1" s="33" t="s">
        <v>571</v>
      </c>
      <c r="B1" s="82" t="s">
        <v>317</v>
      </c>
      <c r="C1" s="412" t="s">
        <v>262</v>
      </c>
      <c r="D1" s="413" t="s">
        <v>298</v>
      </c>
      <c r="E1" s="439" t="s">
        <v>614</v>
      </c>
      <c r="F1" s="445" t="s">
        <v>622</v>
      </c>
      <c r="G1" s="445" t="s">
        <v>616</v>
      </c>
    </row>
    <row r="2" spans="1:7" s="395" customFormat="1" ht="15" customHeight="1">
      <c r="A2" s="33"/>
      <c r="B2" s="82" t="s">
        <v>325</v>
      </c>
      <c r="C2" s="412"/>
      <c r="D2" s="413"/>
      <c r="E2" s="439"/>
      <c r="F2" s="445"/>
      <c r="G2" s="445"/>
    </row>
    <row r="3" spans="1:7" ht="27.75" customHeight="1" thickBot="1">
      <c r="A3" s="153">
        <v>841146</v>
      </c>
      <c r="B3" s="47" t="s">
        <v>156</v>
      </c>
      <c r="C3" s="48"/>
      <c r="D3" s="37"/>
      <c r="E3" s="440"/>
      <c r="F3" s="445" t="s">
        <v>199</v>
      </c>
      <c r="G3" s="35"/>
    </row>
    <row r="4" spans="1:7" ht="24.75" customHeight="1" thickTop="1">
      <c r="A4" s="84"/>
      <c r="B4" s="85" t="s">
        <v>579</v>
      </c>
      <c r="C4" s="37"/>
      <c r="D4" s="37"/>
      <c r="E4" s="440">
        <v>400</v>
      </c>
      <c r="F4" s="35"/>
      <c r="G4" s="35"/>
    </row>
    <row r="5" spans="1:7" ht="13.5" customHeight="1">
      <c r="A5" s="84"/>
      <c r="B5" s="85" t="s">
        <v>580</v>
      </c>
      <c r="C5" s="37"/>
      <c r="D5" s="37"/>
      <c r="E5" s="440">
        <v>100</v>
      </c>
      <c r="F5" s="35"/>
      <c r="G5" s="35"/>
    </row>
    <row r="6" spans="1:7" s="424" customFormat="1" ht="13.5" customHeight="1">
      <c r="A6" s="425"/>
      <c r="B6" s="426" t="s">
        <v>609</v>
      </c>
      <c r="C6" s="427"/>
      <c r="D6" s="427"/>
      <c r="E6" s="441"/>
      <c r="F6" s="446"/>
      <c r="G6" s="446"/>
    </row>
    <row r="7" spans="1:8" ht="13.5" customHeight="1">
      <c r="A7" s="84"/>
      <c r="B7" s="85" t="s">
        <v>581</v>
      </c>
      <c r="C7" s="37"/>
      <c r="D7" s="37"/>
      <c r="E7" s="440">
        <v>250</v>
      </c>
      <c r="F7" s="35"/>
      <c r="G7" s="35">
        <v>150</v>
      </c>
      <c r="H7" s="83" t="s">
        <v>624</v>
      </c>
    </row>
    <row r="8" spans="1:7" ht="13.5" customHeight="1">
      <c r="A8" s="84"/>
      <c r="B8" s="85" t="s">
        <v>553</v>
      </c>
      <c r="C8" s="37"/>
      <c r="D8" s="37">
        <f>SUM(D5:D7)</f>
        <v>0</v>
      </c>
      <c r="E8" s="440">
        <f>SUM(E4:E7)</f>
        <v>750</v>
      </c>
      <c r="F8" s="35"/>
      <c r="G8" s="35">
        <f>SUM(G4:G7)</f>
        <v>150</v>
      </c>
    </row>
    <row r="9" spans="1:7" ht="15.75">
      <c r="A9" s="84"/>
      <c r="B9" s="85" t="s">
        <v>256</v>
      </c>
      <c r="C9" s="37"/>
      <c r="D9" s="37">
        <f>D8*27%</f>
        <v>0</v>
      </c>
      <c r="E9" s="440">
        <f>E8*27%</f>
        <v>202.5</v>
      </c>
      <c r="F9" s="35"/>
      <c r="G9" s="35">
        <v>41</v>
      </c>
    </row>
    <row r="10" spans="1:7" ht="15.75">
      <c r="A10" s="84"/>
      <c r="B10" s="154" t="s">
        <v>257</v>
      </c>
      <c r="C10" s="37">
        <f>SUM(C4:C9)</f>
        <v>0</v>
      </c>
      <c r="D10" s="37">
        <f>D8+D9</f>
        <v>0</v>
      </c>
      <c r="E10" s="440">
        <f>SUM(E8:E9)</f>
        <v>952.5</v>
      </c>
      <c r="F10" s="440">
        <f>SUM(F8:F9)</f>
        <v>0</v>
      </c>
      <c r="G10" s="440">
        <f>SUM(G8:G9)</f>
        <v>191</v>
      </c>
    </row>
    <row r="11" spans="1:7" ht="15.75">
      <c r="A11" s="84"/>
      <c r="B11" s="85"/>
      <c r="C11" s="37"/>
      <c r="D11" s="37"/>
      <c r="E11" s="440"/>
      <c r="F11" s="35"/>
      <c r="G11" s="35"/>
    </row>
    <row r="12" spans="1:7" ht="15.75">
      <c r="A12" s="84"/>
      <c r="B12" s="86" t="s">
        <v>310</v>
      </c>
      <c r="C12" s="37"/>
      <c r="D12" s="37"/>
      <c r="E12" s="440"/>
      <c r="F12" s="35"/>
      <c r="G12" s="35"/>
    </row>
    <row r="13" spans="1:7" ht="15.75">
      <c r="A13" s="84"/>
      <c r="B13" s="86" t="s">
        <v>255</v>
      </c>
      <c r="C13" s="37"/>
      <c r="D13" s="37"/>
      <c r="E13" s="440"/>
      <c r="F13" s="35"/>
      <c r="G13" s="35"/>
    </row>
    <row r="14" spans="1:7" ht="15.75">
      <c r="A14" s="84"/>
      <c r="B14" s="96" t="s">
        <v>169</v>
      </c>
      <c r="C14" s="37">
        <f>SUM(C12:C13)</f>
        <v>0</v>
      </c>
      <c r="D14" s="37">
        <f>SUM(D12:D13)</f>
        <v>0</v>
      </c>
      <c r="E14" s="440">
        <f>SUM(E12:E13)</f>
        <v>0</v>
      </c>
      <c r="F14" s="440">
        <f>SUM(F12:F13)</f>
        <v>0</v>
      </c>
      <c r="G14" s="440">
        <f>SUM(G12:G13)</f>
        <v>0</v>
      </c>
    </row>
    <row r="15" spans="1:7" ht="15.75">
      <c r="A15" s="84"/>
      <c r="B15" s="47" t="s">
        <v>41</v>
      </c>
      <c r="C15" s="37">
        <f>SUM(C14+C10)</f>
        <v>0</v>
      </c>
      <c r="D15" s="37">
        <f>SUM(D10+D14)</f>
        <v>0</v>
      </c>
      <c r="E15" s="440">
        <f>SUM(E14+E10)</f>
        <v>952.5</v>
      </c>
      <c r="F15" s="440">
        <f>SUM(F14+F10)</f>
        <v>0</v>
      </c>
      <c r="G15" s="440">
        <f>SUM(G14+G10)</f>
        <v>191</v>
      </c>
    </row>
    <row r="16" spans="1:7" ht="33.75" customHeight="1">
      <c r="A16" s="47"/>
      <c r="B16" s="47" t="s">
        <v>110</v>
      </c>
      <c r="C16" s="37"/>
      <c r="D16" s="37"/>
      <c r="E16" s="440"/>
      <c r="F16" s="35"/>
      <c r="G16" s="35"/>
    </row>
    <row r="17" spans="1:7" ht="15.75">
      <c r="A17" s="35">
        <v>511111</v>
      </c>
      <c r="B17" s="35" t="s">
        <v>66</v>
      </c>
      <c r="C17" s="37"/>
      <c r="D17" s="37">
        <f>'[2]GEVSZ'!$J$14/1000</f>
        <v>6115.5</v>
      </c>
      <c r="E17" s="440">
        <f>'[3]GEVSZ'!$P$9/1000-480-608</f>
        <v>10130.505</v>
      </c>
      <c r="F17" s="35"/>
      <c r="G17" s="35">
        <f>10925+154</f>
        <v>11079</v>
      </c>
    </row>
    <row r="18" spans="1:7" ht="15.75">
      <c r="A18" s="35">
        <v>511131</v>
      </c>
      <c r="B18" s="35" t="s">
        <v>318</v>
      </c>
      <c r="C18" s="37"/>
      <c r="D18" s="37">
        <f>'[2]GEVSZ'!$J$16/1000</f>
        <v>556.56</v>
      </c>
      <c r="E18" s="440"/>
      <c r="F18" s="35"/>
      <c r="G18" s="35"/>
    </row>
    <row r="19" spans="1:7" ht="15.75">
      <c r="A19" s="35">
        <v>511241</v>
      </c>
      <c r="B19" s="35" t="s">
        <v>554</v>
      </c>
      <c r="C19" s="37"/>
      <c r="D19" s="37">
        <f>'[2]GEVSZ'!$J$15/1000</f>
        <v>371.55</v>
      </c>
      <c r="E19" s="440"/>
      <c r="F19" s="35"/>
      <c r="G19" s="35"/>
    </row>
    <row r="20" spans="1:7" ht="15.75">
      <c r="A20" s="35"/>
      <c r="B20" s="35" t="s">
        <v>389</v>
      </c>
      <c r="C20" s="37"/>
      <c r="D20" s="37"/>
      <c r="E20" s="440">
        <v>480</v>
      </c>
      <c r="F20" s="35"/>
      <c r="G20" s="35">
        <f>660+40</f>
        <v>700</v>
      </c>
    </row>
    <row r="21" spans="1:7" ht="15.75">
      <c r="A21" s="35"/>
      <c r="B21" s="35" t="s">
        <v>215</v>
      </c>
      <c r="C21" s="37"/>
      <c r="D21" s="37"/>
      <c r="E21" s="440">
        <v>110</v>
      </c>
      <c r="F21" s="35"/>
      <c r="G21" s="35">
        <v>101</v>
      </c>
    </row>
    <row r="22" spans="1:7" ht="15.75">
      <c r="A22" s="35">
        <v>512191</v>
      </c>
      <c r="B22" s="35" t="s">
        <v>49</v>
      </c>
      <c r="C22" s="37"/>
      <c r="D22" s="37">
        <v>200</v>
      </c>
      <c r="E22" s="440">
        <v>200</v>
      </c>
      <c r="F22" s="35"/>
      <c r="G22" s="35">
        <v>200</v>
      </c>
    </row>
    <row r="23" spans="1:7" ht="15.75">
      <c r="A23" s="35">
        <v>512191</v>
      </c>
      <c r="B23" s="35" t="s">
        <v>137</v>
      </c>
      <c r="C23" s="37"/>
      <c r="D23" s="37">
        <v>100</v>
      </c>
      <c r="E23" s="440">
        <v>100</v>
      </c>
      <c r="F23" s="35"/>
      <c r="G23" s="35"/>
    </row>
    <row r="24" spans="1:7" ht="15.75">
      <c r="A24" s="35">
        <v>517121</v>
      </c>
      <c r="B24" s="35" t="s">
        <v>249</v>
      </c>
      <c r="C24" s="37"/>
      <c r="D24" s="37">
        <v>80</v>
      </c>
      <c r="E24" s="440">
        <v>80</v>
      </c>
      <c r="F24" s="35"/>
      <c r="G24" s="35">
        <v>80</v>
      </c>
    </row>
    <row r="25" spans="1:7" ht="15.75">
      <c r="A25" s="35">
        <v>513191</v>
      </c>
      <c r="B25" s="35" t="s">
        <v>147</v>
      </c>
      <c r="C25" s="37"/>
      <c r="D25" s="37">
        <v>10</v>
      </c>
      <c r="E25" s="440"/>
      <c r="F25" s="35"/>
      <c r="G25" s="35"/>
    </row>
    <row r="26" spans="1:8" ht="15.75">
      <c r="A26" s="35">
        <v>513121</v>
      </c>
      <c r="B26" s="35" t="s">
        <v>48</v>
      </c>
      <c r="C26" s="37"/>
      <c r="D26" s="37"/>
      <c r="E26" s="440">
        <v>1935</v>
      </c>
      <c r="F26" s="35"/>
      <c r="G26" s="88"/>
      <c r="H26" s="87"/>
    </row>
    <row r="27" spans="1:7" ht="15.75">
      <c r="A27" s="35">
        <v>513131</v>
      </c>
      <c r="B27" s="35" t="s">
        <v>45</v>
      </c>
      <c r="C27" s="37"/>
      <c r="D27" s="37">
        <v>30</v>
      </c>
      <c r="E27" s="440">
        <v>30</v>
      </c>
      <c r="F27" s="88"/>
      <c r="G27" s="88">
        <v>30</v>
      </c>
    </row>
    <row r="28" spans="1:8" ht="18.75">
      <c r="A28" s="35">
        <v>513191</v>
      </c>
      <c r="B28" s="88" t="s">
        <v>24</v>
      </c>
      <c r="C28" s="37"/>
      <c r="D28" s="37">
        <v>130</v>
      </c>
      <c r="E28" s="440">
        <v>180</v>
      </c>
      <c r="F28" s="35"/>
      <c r="G28" s="447">
        <v>260</v>
      </c>
      <c r="H28" s="501" t="s">
        <v>776</v>
      </c>
    </row>
    <row r="29" spans="1:7" ht="15.75">
      <c r="A29" s="35">
        <v>514131</v>
      </c>
      <c r="B29" s="35" t="s">
        <v>1</v>
      </c>
      <c r="C29" s="37"/>
      <c r="D29" s="37">
        <v>250</v>
      </c>
      <c r="E29" s="440"/>
      <c r="F29" s="35"/>
      <c r="G29" s="35">
        <v>120</v>
      </c>
    </row>
    <row r="30" spans="1:7" ht="15.75">
      <c r="A30" s="35">
        <v>514141</v>
      </c>
      <c r="B30" s="35" t="s">
        <v>177</v>
      </c>
      <c r="C30" s="37"/>
      <c r="D30" s="37">
        <f>(3*12500*9+12500*8)/1000</f>
        <v>437.5</v>
      </c>
      <c r="E30" s="440">
        <v>570</v>
      </c>
      <c r="F30" s="35"/>
      <c r="G30" s="35">
        <v>825</v>
      </c>
    </row>
    <row r="31" spans="1:7" ht="15.75">
      <c r="A31" s="35">
        <v>516115</v>
      </c>
      <c r="B31" s="35" t="s">
        <v>792</v>
      </c>
      <c r="C31" s="37"/>
      <c r="D31" s="37">
        <f>'[1]GEVSZ'!$K$10/1000</f>
        <v>351</v>
      </c>
      <c r="E31" s="440">
        <f>'[3]GEVSZ'!$P$7/1000</f>
        <v>607.8</v>
      </c>
      <c r="F31" s="35"/>
      <c r="G31" s="35">
        <v>964</v>
      </c>
    </row>
    <row r="32" spans="1:7" ht="15.75">
      <c r="A32" s="35">
        <v>516125</v>
      </c>
      <c r="B32" s="35" t="s">
        <v>142</v>
      </c>
      <c r="C32" s="37"/>
      <c r="D32" s="37">
        <v>56</v>
      </c>
      <c r="E32" s="440">
        <v>75</v>
      </c>
      <c r="F32" s="35"/>
      <c r="G32" s="35"/>
    </row>
    <row r="33" spans="1:7" ht="15.75">
      <c r="A33" s="47">
        <v>51</v>
      </c>
      <c r="B33" s="47" t="s">
        <v>134</v>
      </c>
      <c r="C33" s="37">
        <f>SUM(C17:C32)</f>
        <v>0</v>
      </c>
      <c r="D33" s="37">
        <f>SUM(D17:D32)</f>
        <v>8688.11</v>
      </c>
      <c r="E33" s="440">
        <f>SUM(E17:E32)</f>
        <v>14498.304999999998</v>
      </c>
      <c r="F33" s="440">
        <f>SUM(F17:F32)</f>
        <v>0</v>
      </c>
      <c r="G33" s="440">
        <f>SUM(G17:G32)</f>
        <v>14359</v>
      </c>
    </row>
    <row r="34" spans="1:8" s="89" customFormat="1" ht="18" customHeight="1">
      <c r="A34" s="47"/>
      <c r="B34" s="35" t="s">
        <v>46</v>
      </c>
      <c r="C34" s="37"/>
      <c r="D34" s="37"/>
      <c r="E34" s="440"/>
      <c r="F34" s="47"/>
      <c r="G34" s="539">
        <v>287</v>
      </c>
      <c r="H34" s="83" t="s">
        <v>811</v>
      </c>
    </row>
    <row r="35" spans="1:8" s="89" customFormat="1" ht="15.75">
      <c r="A35" s="35">
        <v>52211</v>
      </c>
      <c r="B35" s="35" t="s">
        <v>178</v>
      </c>
      <c r="C35" s="37"/>
      <c r="D35" s="37">
        <v>100</v>
      </c>
      <c r="E35" s="440">
        <v>200</v>
      </c>
      <c r="F35" s="47"/>
      <c r="G35" s="47">
        <v>100</v>
      </c>
      <c r="H35" s="83" t="s">
        <v>794</v>
      </c>
    </row>
    <row r="36" spans="1:7" ht="15.75">
      <c r="A36" s="35"/>
      <c r="B36" s="35"/>
      <c r="C36" s="37"/>
      <c r="D36" s="37"/>
      <c r="E36" s="440"/>
      <c r="F36" s="35"/>
      <c r="G36" s="35"/>
    </row>
    <row r="37" spans="1:7" s="89" customFormat="1" ht="15.75">
      <c r="A37" s="35"/>
      <c r="B37" s="47" t="s">
        <v>25</v>
      </c>
      <c r="C37" s="37">
        <f>SUM(C34:C36)</f>
        <v>0</v>
      </c>
      <c r="D37" s="37">
        <f>SUM(D34:D36)</f>
        <v>100</v>
      </c>
      <c r="E37" s="440">
        <f>SUM(E34:E36)</f>
        <v>200</v>
      </c>
      <c r="F37" s="440">
        <f>SUM(F34:F36)</f>
        <v>0</v>
      </c>
      <c r="G37" s="440">
        <f>SUM(G34:G36)</f>
        <v>387</v>
      </c>
    </row>
    <row r="38" spans="1:7" ht="15.75">
      <c r="A38" s="47">
        <v>52</v>
      </c>
      <c r="B38" s="47" t="s">
        <v>44</v>
      </c>
      <c r="C38" s="37">
        <f>SUM(C37,C33)</f>
        <v>0</v>
      </c>
      <c r="D38" s="37">
        <f>SUM(D37,D33)</f>
        <v>8788.11</v>
      </c>
      <c r="E38" s="440">
        <f>SUM(E37,E33)</f>
        <v>14698.304999999998</v>
      </c>
      <c r="F38" s="440">
        <f>SUM(F37,F33)</f>
        <v>0</v>
      </c>
      <c r="G38" s="440">
        <f>SUM(G37,G33)</f>
        <v>14746</v>
      </c>
    </row>
    <row r="39" spans="1:7" ht="13.5" customHeight="1">
      <c r="A39" s="35"/>
      <c r="B39" s="37">
        <f>C17+C18+C19+C21+C22+C23+C25+C26+C27+C30+C31+C32+C35</f>
        <v>0</v>
      </c>
      <c r="C39" s="37"/>
      <c r="D39" s="37"/>
      <c r="E39" s="440"/>
      <c r="F39" s="35"/>
      <c r="G39" s="35"/>
    </row>
    <row r="40" spans="1:8" ht="15.75">
      <c r="A40" s="35">
        <v>531125</v>
      </c>
      <c r="B40" s="35" t="s">
        <v>311</v>
      </c>
      <c r="C40" s="37"/>
      <c r="D40" s="37">
        <f>D38*27%</f>
        <v>2372.7897000000003</v>
      </c>
      <c r="E40" s="440">
        <f>(E38-E32-E30-E28-E24)*27%</f>
        <v>3724.19235</v>
      </c>
      <c r="F40" s="35"/>
      <c r="G40" s="166">
        <f>H40*27%</f>
        <v>3680.3700000000003</v>
      </c>
      <c r="H40" s="521">
        <f>G38-G30-G28-G27</f>
        <v>13631</v>
      </c>
    </row>
    <row r="41" spans="1:7" s="89" customFormat="1" ht="15.75">
      <c r="A41" s="35">
        <v>5331</v>
      </c>
      <c r="B41" s="35" t="s">
        <v>4</v>
      </c>
      <c r="C41" s="37"/>
      <c r="D41" s="37">
        <v>28</v>
      </c>
      <c r="E41" s="440">
        <f>(E30+E32)*16.7%</f>
        <v>107.71499999999999</v>
      </c>
      <c r="F41" s="47"/>
      <c r="G41" s="47">
        <v>125</v>
      </c>
    </row>
    <row r="42" spans="1:7" s="89" customFormat="1" ht="15.75">
      <c r="A42" s="35"/>
      <c r="B42" s="35" t="s">
        <v>623</v>
      </c>
      <c r="C42" s="37"/>
      <c r="D42" s="37"/>
      <c r="E42" s="440"/>
      <c r="F42" s="47"/>
      <c r="G42" s="47">
        <v>145</v>
      </c>
    </row>
    <row r="43" spans="1:8" ht="15.75">
      <c r="A43" s="35">
        <v>5341</v>
      </c>
      <c r="B43" s="35" t="s">
        <v>778</v>
      </c>
      <c r="C43" s="37"/>
      <c r="D43" s="37">
        <v>5</v>
      </c>
      <c r="E43" s="440">
        <v>2372</v>
      </c>
      <c r="F43" s="35"/>
      <c r="G43" s="35">
        <v>1430</v>
      </c>
      <c r="H43" s="83" t="s">
        <v>788</v>
      </c>
    </row>
    <row r="44" spans="1:7" ht="15.75">
      <c r="A44" s="47">
        <v>53</v>
      </c>
      <c r="B44" s="47" t="s">
        <v>5</v>
      </c>
      <c r="C44" s="37">
        <f>SUM(C39:C43)</f>
        <v>0</v>
      </c>
      <c r="D44" s="37">
        <f>SUM(D39:D43)</f>
        <v>2405.7897000000003</v>
      </c>
      <c r="E44" s="440">
        <f>SUM(E39:E43)</f>
        <v>6203.9073499999995</v>
      </c>
      <c r="F44" s="440">
        <f>SUM(F39:F43)</f>
        <v>0</v>
      </c>
      <c r="G44" s="440">
        <f>SUM(G39:G43)</f>
        <v>5380.370000000001</v>
      </c>
    </row>
    <row r="45" spans="1:7" ht="13.5" customHeight="1">
      <c r="A45" s="47"/>
      <c r="B45" s="35"/>
      <c r="C45" s="37"/>
      <c r="D45" s="37"/>
      <c r="E45" s="440"/>
      <c r="F45" s="35"/>
      <c r="G45" s="35"/>
    </row>
    <row r="46" spans="1:7" ht="15.75">
      <c r="A46" s="35">
        <v>5431</v>
      </c>
      <c r="B46" s="85" t="s">
        <v>6</v>
      </c>
      <c r="C46" s="37">
        <v>700</v>
      </c>
      <c r="D46" s="37">
        <f>1000+200+30</f>
        <v>1230</v>
      </c>
      <c r="E46" s="440">
        <v>1500</v>
      </c>
      <c r="F46" s="35">
        <v>1321</v>
      </c>
      <c r="G46" s="35">
        <v>1500</v>
      </c>
    </row>
    <row r="47" spans="1:7" ht="15.75">
      <c r="A47" s="35">
        <v>54411</v>
      </c>
      <c r="B47" s="35" t="s">
        <v>201</v>
      </c>
      <c r="C47" s="37">
        <v>80</v>
      </c>
      <c r="D47" s="37">
        <f>50+20+20</f>
        <v>90</v>
      </c>
      <c r="E47" s="440">
        <v>40</v>
      </c>
      <c r="F47" s="35">
        <v>81</v>
      </c>
      <c r="G47" s="35">
        <v>50</v>
      </c>
    </row>
    <row r="48" spans="1:7" ht="15.75">
      <c r="A48" s="35">
        <v>54412</v>
      </c>
      <c r="B48" s="35" t="s">
        <v>202</v>
      </c>
      <c r="C48" s="37">
        <v>500</v>
      </c>
      <c r="D48" s="37">
        <f>450+50</f>
        <v>500</v>
      </c>
      <c r="E48" s="440">
        <v>300</v>
      </c>
      <c r="F48" s="35">
        <v>155</v>
      </c>
      <c r="G48" s="35">
        <v>155</v>
      </c>
    </row>
    <row r="49" spans="1:7" ht="15.75">
      <c r="A49" s="35">
        <v>54413</v>
      </c>
      <c r="B49" s="35" t="s">
        <v>124</v>
      </c>
      <c r="C49" s="37"/>
      <c r="D49" s="37">
        <f>20+10+40</f>
        <v>70</v>
      </c>
      <c r="E49" s="440">
        <v>50</v>
      </c>
      <c r="F49" s="35">
        <v>50</v>
      </c>
      <c r="G49" s="35">
        <v>50</v>
      </c>
    </row>
    <row r="50" spans="1:7" ht="15.75">
      <c r="A50" s="35">
        <v>54711</v>
      </c>
      <c r="B50" s="35" t="s">
        <v>89</v>
      </c>
      <c r="C50" s="37">
        <v>100</v>
      </c>
      <c r="D50" s="37">
        <f>145+30</f>
        <v>175</v>
      </c>
      <c r="E50" s="440">
        <v>200</v>
      </c>
      <c r="F50" s="35">
        <v>58</v>
      </c>
      <c r="G50" s="35">
        <v>60</v>
      </c>
    </row>
    <row r="51" spans="1:8" s="89" customFormat="1" ht="15.75">
      <c r="A51" s="35">
        <v>54712</v>
      </c>
      <c r="B51" s="35" t="s">
        <v>112</v>
      </c>
      <c r="C51" s="37">
        <v>100</v>
      </c>
      <c r="D51" s="37">
        <f>120+20+100</f>
        <v>240</v>
      </c>
      <c r="E51" s="440">
        <v>410</v>
      </c>
      <c r="F51" s="47">
        <v>85</v>
      </c>
      <c r="G51" s="47">
        <v>300</v>
      </c>
      <c r="H51" s="83" t="s">
        <v>777</v>
      </c>
    </row>
    <row r="52" spans="1:7" ht="15.75">
      <c r="A52" s="35">
        <v>5481</v>
      </c>
      <c r="B52" s="35" t="s">
        <v>28</v>
      </c>
      <c r="C52" s="37">
        <v>20</v>
      </c>
      <c r="D52" s="37">
        <v>20</v>
      </c>
      <c r="E52" s="440">
        <v>20</v>
      </c>
      <c r="F52" s="35"/>
      <c r="G52" s="35">
        <v>20</v>
      </c>
    </row>
    <row r="53" spans="1:7" ht="15.75">
      <c r="A53" s="35">
        <v>54913</v>
      </c>
      <c r="B53" s="35" t="s">
        <v>47</v>
      </c>
      <c r="C53" s="37">
        <v>200</v>
      </c>
      <c r="D53" s="37">
        <f>150+10+20</f>
        <v>180</v>
      </c>
      <c r="E53" s="440">
        <v>220</v>
      </c>
      <c r="F53" s="35">
        <v>270</v>
      </c>
      <c r="G53" s="35">
        <v>270</v>
      </c>
    </row>
    <row r="54" spans="1:7" ht="15.75">
      <c r="A54" s="47">
        <v>54</v>
      </c>
      <c r="B54" s="47" t="s">
        <v>7</v>
      </c>
      <c r="C54" s="37">
        <f>SUM(C46:C53)</f>
        <v>1700</v>
      </c>
      <c r="D54" s="37">
        <f>SUM(D46:D53)</f>
        <v>2505</v>
      </c>
      <c r="E54" s="440">
        <f>SUM(E46:E53)</f>
        <v>2740</v>
      </c>
      <c r="F54" s="440">
        <f>SUM(F46:F53)</f>
        <v>2020</v>
      </c>
      <c r="G54" s="440">
        <f>SUM(G46:G53)</f>
        <v>2405</v>
      </c>
    </row>
    <row r="55" spans="1:7" ht="12" customHeight="1">
      <c r="A55" s="47"/>
      <c r="B55" s="35"/>
      <c r="C55" s="37"/>
      <c r="D55" s="37"/>
      <c r="E55" s="440"/>
      <c r="F55" s="35"/>
      <c r="G55" s="35"/>
    </row>
    <row r="56" spans="1:7" ht="15.75">
      <c r="A56" s="35">
        <v>55121</v>
      </c>
      <c r="B56" s="35" t="s">
        <v>8</v>
      </c>
      <c r="C56" s="37">
        <v>400</v>
      </c>
      <c r="D56" s="37">
        <f>400+100+200</f>
        <v>700</v>
      </c>
      <c r="E56" s="440">
        <v>700</v>
      </c>
      <c r="F56" s="35">
        <v>430</v>
      </c>
      <c r="G56" s="35">
        <v>500</v>
      </c>
    </row>
    <row r="57" spans="1:8" ht="15.75">
      <c r="A57" s="35">
        <v>55122</v>
      </c>
      <c r="B57" s="35" t="s">
        <v>133</v>
      </c>
      <c r="C57" s="37">
        <v>320</v>
      </c>
      <c r="D57" s="37">
        <f>150+150+360-360</f>
        <v>300</v>
      </c>
      <c r="E57" s="440">
        <v>530</v>
      </c>
      <c r="F57" s="35">
        <v>267</v>
      </c>
      <c r="G57" s="35">
        <v>300</v>
      </c>
      <c r="H57" s="83" t="s">
        <v>598</v>
      </c>
    </row>
    <row r="58" spans="1:7" ht="15.75">
      <c r="A58" s="715">
        <v>55129</v>
      </c>
      <c r="B58" s="716" t="s">
        <v>155</v>
      </c>
      <c r="C58" s="53"/>
      <c r="D58" s="717">
        <f>400</f>
        <v>400</v>
      </c>
      <c r="E58" s="442"/>
      <c r="F58" s="35"/>
      <c r="G58" s="35"/>
    </row>
    <row r="59" spans="1:7" ht="15.75">
      <c r="A59" s="715"/>
      <c r="B59" s="710"/>
      <c r="C59" s="53">
        <v>550</v>
      </c>
      <c r="D59" s="718"/>
      <c r="E59" s="442">
        <v>250</v>
      </c>
      <c r="F59" s="35">
        <v>250</v>
      </c>
      <c r="G59" s="35">
        <v>250</v>
      </c>
    </row>
    <row r="60" spans="1:7" ht="15.75">
      <c r="A60" s="35">
        <v>55213</v>
      </c>
      <c r="B60" s="35" t="s">
        <v>9</v>
      </c>
      <c r="C60" s="37">
        <v>70</v>
      </c>
      <c r="D60" s="37">
        <v>70</v>
      </c>
      <c r="E60" s="440"/>
      <c r="F60" s="35"/>
      <c r="G60" s="35">
        <v>110</v>
      </c>
    </row>
    <row r="61" spans="1:8" ht="15.75">
      <c r="A61" s="35">
        <v>55214</v>
      </c>
      <c r="B61" s="35" t="s">
        <v>10</v>
      </c>
      <c r="C61" s="37">
        <v>700</v>
      </c>
      <c r="D61" s="37">
        <v>580</v>
      </c>
      <c r="E61" s="440">
        <v>900</v>
      </c>
      <c r="F61" s="35">
        <v>434</v>
      </c>
      <c r="G61" s="35">
        <v>700</v>
      </c>
      <c r="H61" s="83" t="s">
        <v>789</v>
      </c>
    </row>
    <row r="62" spans="1:7" ht="15.75">
      <c r="A62" s="35">
        <v>55215</v>
      </c>
      <c r="B62" s="35" t="s">
        <v>11</v>
      </c>
      <c r="C62" s="37">
        <v>450</v>
      </c>
      <c r="D62" s="37">
        <v>450</v>
      </c>
      <c r="E62" s="440">
        <v>600</v>
      </c>
      <c r="F62" s="35">
        <v>518</v>
      </c>
      <c r="G62" s="35">
        <v>550</v>
      </c>
    </row>
    <row r="63" spans="1:7" ht="15.75">
      <c r="A63" s="35">
        <v>55217</v>
      </c>
      <c r="B63" s="35" t="s">
        <v>12</v>
      </c>
      <c r="C63" s="37">
        <v>250</v>
      </c>
      <c r="D63" s="37">
        <v>230</v>
      </c>
      <c r="E63" s="440">
        <v>185</v>
      </c>
      <c r="F63" s="35">
        <v>176</v>
      </c>
      <c r="G63" s="35">
        <v>185</v>
      </c>
    </row>
    <row r="64" spans="1:7" ht="15.75">
      <c r="A64" s="35">
        <v>552181</v>
      </c>
      <c r="B64" s="35" t="s">
        <v>26</v>
      </c>
      <c r="C64" s="37">
        <v>100</v>
      </c>
      <c r="D64" s="37">
        <v>100</v>
      </c>
      <c r="E64" s="440">
        <v>100</v>
      </c>
      <c r="F64" s="35">
        <v>45</v>
      </c>
      <c r="G64" s="35">
        <v>50</v>
      </c>
    </row>
    <row r="65" spans="1:8" ht="15.75">
      <c r="A65" s="35">
        <v>552182</v>
      </c>
      <c r="B65" s="35" t="s">
        <v>13</v>
      </c>
      <c r="C65" s="37">
        <v>250</v>
      </c>
      <c r="D65" s="37">
        <v>500</v>
      </c>
      <c r="E65" s="440">
        <v>715</v>
      </c>
      <c r="F65" s="35">
        <f>580+63</f>
        <v>643</v>
      </c>
      <c r="G65" s="35">
        <v>700</v>
      </c>
      <c r="H65" s="83" t="s">
        <v>599</v>
      </c>
    </row>
    <row r="66" spans="1:7" ht="15.75">
      <c r="A66" s="35">
        <v>55219</v>
      </c>
      <c r="B66" s="35" t="s">
        <v>14</v>
      </c>
      <c r="C66" s="37">
        <v>50</v>
      </c>
      <c r="D66" s="37">
        <v>50</v>
      </c>
      <c r="E66" s="440">
        <v>50</v>
      </c>
      <c r="F66" s="35">
        <v>292</v>
      </c>
      <c r="G66" s="35">
        <v>290</v>
      </c>
    </row>
    <row r="67" spans="1:7" ht="15.75">
      <c r="A67" s="35">
        <v>55219</v>
      </c>
      <c r="B67" s="35" t="s">
        <v>15</v>
      </c>
      <c r="C67" s="37">
        <v>2000</v>
      </c>
      <c r="D67" s="37">
        <f>875+875+30-1300</f>
        <v>480</v>
      </c>
      <c r="E67" s="440">
        <v>850</v>
      </c>
      <c r="F67" s="35">
        <v>590</v>
      </c>
      <c r="G67" s="35">
        <v>850</v>
      </c>
    </row>
    <row r="68" spans="1:9" ht="47.25" customHeight="1">
      <c r="A68" s="35">
        <v>5531</v>
      </c>
      <c r="B68" s="90" t="s">
        <v>218</v>
      </c>
      <c r="C68" s="37">
        <v>1895</v>
      </c>
      <c r="D68" s="37">
        <f>1820+1153+437-437</f>
        <v>2973</v>
      </c>
      <c r="E68" s="440">
        <v>1695</v>
      </c>
      <c r="F68" s="35">
        <v>1447</v>
      </c>
      <c r="G68" s="35">
        <v>2245</v>
      </c>
      <c r="H68" s="106" t="s">
        <v>810</v>
      </c>
      <c r="I68" s="502"/>
    </row>
    <row r="69" spans="1:7" ht="15.75">
      <c r="A69" s="47">
        <v>55</v>
      </c>
      <c r="B69" s="47" t="s">
        <v>16</v>
      </c>
      <c r="C69" s="37">
        <f>SUM(C55:C68)</f>
        <v>7035</v>
      </c>
      <c r="D69" s="37">
        <f>SUM(D55:D68)</f>
        <v>6833</v>
      </c>
      <c r="E69" s="440">
        <f>SUM(E55:E68)</f>
        <v>6575</v>
      </c>
      <c r="F69" s="440">
        <f>SUM(F55:F68)</f>
        <v>5092</v>
      </c>
      <c r="G69" s="440">
        <f>SUM(G55:G68)</f>
        <v>6730</v>
      </c>
    </row>
    <row r="70" spans="1:7" ht="12" customHeight="1">
      <c r="A70" s="47"/>
      <c r="B70" s="35"/>
      <c r="C70" s="37"/>
      <c r="D70" s="37"/>
      <c r="E70" s="440"/>
      <c r="F70" s="35"/>
      <c r="G70" s="35"/>
    </row>
    <row r="71" spans="1:8" ht="15.75">
      <c r="A71" s="35">
        <v>56111</v>
      </c>
      <c r="B71" s="35" t="s">
        <v>17</v>
      </c>
      <c r="C71" s="166">
        <f>(C54+C69+C74)*27%</f>
        <v>2381.67</v>
      </c>
      <c r="D71" s="166">
        <f>(D54+D69+D74)*27%</f>
        <v>2557.98</v>
      </c>
      <c r="E71" s="443">
        <f>(E69+E74+E54)*27%</f>
        <v>2542.05</v>
      </c>
      <c r="F71" s="35">
        <f>1560+49</f>
        <v>1609</v>
      </c>
      <c r="G71" s="166">
        <f>H71*27%+1</f>
        <v>2494.4500000000003</v>
      </c>
      <c r="H71" s="521">
        <f>G69+G54+G74</f>
        <v>9235</v>
      </c>
    </row>
    <row r="72" spans="1:7" ht="15.75">
      <c r="A72" s="35">
        <v>56112</v>
      </c>
      <c r="B72" s="35" t="s">
        <v>324</v>
      </c>
      <c r="C72" s="166"/>
      <c r="D72" s="166">
        <v>5000</v>
      </c>
      <c r="E72" s="443">
        <v>3200</v>
      </c>
      <c r="F72" s="35">
        <v>3245</v>
      </c>
      <c r="G72" s="35">
        <v>3900</v>
      </c>
    </row>
    <row r="73" spans="1:7" s="89" customFormat="1" ht="15.75">
      <c r="A73" s="35">
        <v>56211</v>
      </c>
      <c r="B73" s="35" t="s">
        <v>18</v>
      </c>
      <c r="C73" s="48">
        <v>950</v>
      </c>
      <c r="D73" s="37">
        <f>610+200</f>
        <v>810</v>
      </c>
      <c r="E73" s="341">
        <v>400</v>
      </c>
      <c r="F73" s="35">
        <v>330</v>
      </c>
      <c r="G73" s="35">
        <v>330</v>
      </c>
    </row>
    <row r="74" spans="1:7" ht="15.75">
      <c r="A74" s="35">
        <v>56213</v>
      </c>
      <c r="B74" s="35" t="s">
        <v>19</v>
      </c>
      <c r="C74" s="48">
        <v>86</v>
      </c>
      <c r="D74" s="37">
        <f>106+30</f>
        <v>136</v>
      </c>
      <c r="E74" s="341">
        <v>100</v>
      </c>
      <c r="F74" s="35">
        <v>115</v>
      </c>
      <c r="G74" s="35">
        <v>100</v>
      </c>
    </row>
    <row r="75" spans="1:7" ht="15.75">
      <c r="A75" s="47">
        <v>56</v>
      </c>
      <c r="B75" s="47" t="s">
        <v>20</v>
      </c>
      <c r="C75" s="37">
        <f>SUM(C71:C74)</f>
        <v>3417.67</v>
      </c>
      <c r="D75" s="37">
        <f>SUM(D71:D74)</f>
        <v>8503.98</v>
      </c>
      <c r="E75" s="440">
        <f>SUM(E71:E74)</f>
        <v>6242.05</v>
      </c>
      <c r="F75" s="440">
        <f>SUM(F71:F74)</f>
        <v>5299</v>
      </c>
      <c r="G75" s="440">
        <f>SUM(G71:G74)</f>
        <v>6824.450000000001</v>
      </c>
    </row>
    <row r="76" spans="1:7" ht="12" customHeight="1">
      <c r="A76" s="47"/>
      <c r="B76" s="35"/>
      <c r="C76" s="37"/>
      <c r="D76" s="37"/>
      <c r="E76" s="440"/>
      <c r="F76" s="35"/>
      <c r="G76" s="35"/>
    </row>
    <row r="77" spans="1:7" ht="15.75">
      <c r="A77" s="360">
        <v>57213</v>
      </c>
      <c r="B77" s="360" t="s">
        <v>217</v>
      </c>
      <c r="C77" s="361">
        <v>1800</v>
      </c>
      <c r="D77" s="361">
        <v>1160</v>
      </c>
      <c r="E77" s="444"/>
      <c r="F77" s="35"/>
      <c r="G77" s="35"/>
    </row>
    <row r="78" spans="1:7" ht="15.75">
      <c r="A78" s="35"/>
      <c r="B78" s="35" t="s">
        <v>216</v>
      </c>
      <c r="C78" s="37">
        <v>323</v>
      </c>
      <c r="D78" s="37">
        <v>90</v>
      </c>
      <c r="E78" s="440">
        <f>(E30+E32)*19.04%</f>
        <v>122.80799999999999</v>
      </c>
      <c r="F78" s="35"/>
      <c r="G78" s="35"/>
    </row>
    <row r="79" spans="1:7" s="396" customFormat="1" ht="15.75">
      <c r="A79" s="35">
        <v>572191</v>
      </c>
      <c r="B79" s="35" t="s">
        <v>21</v>
      </c>
      <c r="C79" s="37">
        <v>1600</v>
      </c>
      <c r="D79" s="37">
        <v>1590</v>
      </c>
      <c r="E79" s="440">
        <v>900</v>
      </c>
      <c r="F79" s="47">
        <v>589</v>
      </c>
      <c r="G79" s="47">
        <v>600</v>
      </c>
    </row>
    <row r="80" spans="1:7" s="89" customFormat="1" ht="15.75">
      <c r="A80" s="35">
        <v>572192</v>
      </c>
      <c r="B80" s="35" t="s">
        <v>22</v>
      </c>
      <c r="C80" s="37"/>
      <c r="D80" s="37">
        <f>230+300</f>
        <v>530</v>
      </c>
      <c r="E80" s="440">
        <v>415</v>
      </c>
      <c r="F80" s="47">
        <v>825</v>
      </c>
      <c r="G80" s="47">
        <v>415</v>
      </c>
    </row>
    <row r="81" spans="1:7" s="3" customFormat="1" ht="21" customHeight="1">
      <c r="A81" s="34"/>
      <c r="B81" s="47" t="s">
        <v>23</v>
      </c>
      <c r="C81" s="43">
        <f>SUM(C77:C80)</f>
        <v>3723</v>
      </c>
      <c r="D81" s="43">
        <f>SUM(D77:D80)</f>
        <v>3370</v>
      </c>
      <c r="E81" s="325">
        <f>SUM(E77:E80)</f>
        <v>1437.808</v>
      </c>
      <c r="F81" s="325">
        <f>SUM(F77:F80)</f>
        <v>1414</v>
      </c>
      <c r="G81" s="325">
        <f>SUM(G77:G80)</f>
        <v>1015</v>
      </c>
    </row>
    <row r="82" spans="1:7" s="21" customFormat="1" ht="18.75">
      <c r="A82" s="36">
        <v>57</v>
      </c>
      <c r="B82" s="36" t="s">
        <v>29</v>
      </c>
      <c r="C82" s="43">
        <f>SUM(C81,C75,C69,C54,)</f>
        <v>15875.67</v>
      </c>
      <c r="D82" s="43">
        <f>SUM(D81,D75,D69,D54,)</f>
        <v>21211.98</v>
      </c>
      <c r="E82" s="325">
        <f>SUM(E81,E75,E69,E54,)</f>
        <v>16994.858</v>
      </c>
      <c r="F82" s="325">
        <f>SUM(F81,F75,F69,F54,)</f>
        <v>13825</v>
      </c>
      <c r="G82" s="325">
        <f>SUM(G81,G75,G69,G54)</f>
        <v>16974.45</v>
      </c>
    </row>
    <row r="83" spans="1:7" s="21" customFormat="1" ht="18.75">
      <c r="A83" s="36"/>
      <c r="B83" s="36" t="s">
        <v>43</v>
      </c>
      <c r="C83" s="43">
        <f>SUM(C82,C44,C38)</f>
        <v>15875.67</v>
      </c>
      <c r="D83" s="43">
        <f>SUM(D82,D44,D38)</f>
        <v>32405.8797</v>
      </c>
      <c r="E83" s="325">
        <f>SUM(E82,E44,E38)</f>
        <v>37897.07035</v>
      </c>
      <c r="F83" s="325">
        <f>SUM(F82,F44,F38)</f>
        <v>13825</v>
      </c>
      <c r="G83" s="325">
        <f>SUM(G82,G44,G38)</f>
        <v>37100.82</v>
      </c>
    </row>
    <row r="84" spans="1:7" s="21" customFormat="1" ht="9.75" customHeight="1">
      <c r="A84" s="36"/>
      <c r="B84" s="36"/>
      <c r="C84" s="43"/>
      <c r="D84" s="43"/>
      <c r="E84" s="325"/>
      <c r="F84" s="34"/>
      <c r="G84" s="34"/>
    </row>
    <row r="85" spans="1:7" s="21" customFormat="1" ht="19.5" thickBot="1">
      <c r="A85" s="8"/>
      <c r="B85" s="8" t="s">
        <v>0</v>
      </c>
      <c r="C85" s="39">
        <f>SUM(C83,C15)</f>
        <v>15875.67</v>
      </c>
      <c r="D85" s="39">
        <f>SUM(D83,D15)</f>
        <v>32405.8797</v>
      </c>
      <c r="E85" s="39">
        <f>SUM(E83,E15)</f>
        <v>38849.57035</v>
      </c>
      <c r="F85" s="39">
        <f>SUM(F83,F15)</f>
        <v>13825</v>
      </c>
      <c r="G85" s="39">
        <f>SUM(G83,G15)</f>
        <v>37291.82</v>
      </c>
    </row>
    <row r="86" spans="1:2" ht="16.5" thickTop="1">
      <c r="A86" s="91"/>
      <c r="B86" s="92"/>
    </row>
  </sheetData>
  <sheetProtection/>
  <mergeCells count="3">
    <mergeCell ref="A58:A59"/>
    <mergeCell ref="B58:B59"/>
    <mergeCell ref="D58:D59"/>
  </mergeCells>
  <printOptions/>
  <pageMargins left="0.7" right="0.7" top="0.75" bottom="0.75" header="0.3" footer="0.3"/>
  <pageSetup horizontalDpi="300" verticalDpi="300" orientation="portrait" paperSize="9" scale="51" r:id="rId1"/>
  <rowBreaks count="1" manualBreakCount="1">
    <brk id="70" max="255" man="1"/>
  </rowBreaks>
  <colBreaks count="1" manualBreakCount="1">
    <brk id="9" max="8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C00000"/>
  </sheetPr>
  <dimension ref="A2:J101"/>
  <sheetViews>
    <sheetView tabSelected="1" zoomScalePageLayoutView="0" workbookViewId="0" topLeftCell="A1">
      <selection activeCell="E27" sqref="E27"/>
    </sheetView>
  </sheetViews>
  <sheetFormatPr defaultColWidth="8.41015625" defaultRowHeight="18"/>
  <cols>
    <col min="1" max="1" width="8.41015625" style="21" customWidth="1"/>
    <col min="2" max="2" width="29.41015625" style="21" customWidth="1"/>
    <col min="3" max="3" width="8" style="382" customWidth="1"/>
    <col min="4" max="4" width="7.33203125" style="21" customWidth="1"/>
    <col min="5" max="5" width="7.75" style="21" customWidth="1"/>
    <col min="6" max="6" width="21.33203125" style="21" customWidth="1"/>
    <col min="7" max="249" width="7.08203125" style="21" customWidth="1"/>
    <col min="250" max="16384" width="8.41015625" style="21" customWidth="1"/>
  </cols>
  <sheetData>
    <row r="2" spans="1:5" ht="18.75">
      <c r="A2" s="620" t="s">
        <v>1331</v>
      </c>
      <c r="B2" s="620"/>
      <c r="C2" s="620"/>
      <c r="D2" s="620"/>
      <c r="E2" s="620"/>
    </row>
    <row r="3" ht="19.5" thickBot="1">
      <c r="C3" s="243"/>
    </row>
    <row r="4" spans="1:5" ht="19.5" thickBot="1">
      <c r="A4" s="595">
        <v>841154</v>
      </c>
      <c r="B4" s="245" t="s">
        <v>1390</v>
      </c>
      <c r="C4" s="421" t="s">
        <v>616</v>
      </c>
      <c r="D4" s="41" t="s">
        <v>626</v>
      </c>
      <c r="E4" s="34">
        <v>2016</v>
      </c>
    </row>
    <row r="5" spans="1:5" ht="19.5" thickBot="1">
      <c r="A5" s="596" t="s">
        <v>1384</v>
      </c>
      <c r="B5" s="210" t="s">
        <v>1424</v>
      </c>
      <c r="C5" s="295"/>
      <c r="D5" s="34"/>
      <c r="E5" s="34"/>
    </row>
    <row r="6" spans="1:5" ht="18.75">
      <c r="A6" s="249" t="s">
        <v>819</v>
      </c>
      <c r="B6" s="250" t="s">
        <v>1238</v>
      </c>
      <c r="C6" s="376">
        <v>11079</v>
      </c>
      <c r="D6" s="565"/>
      <c r="E6" s="565">
        <v>12417</v>
      </c>
    </row>
    <row r="7" spans="1:5" ht="18.75">
      <c r="A7" s="253" t="s">
        <v>822</v>
      </c>
      <c r="B7" s="254" t="s">
        <v>821</v>
      </c>
      <c r="C7" s="377">
        <v>700</v>
      </c>
      <c r="D7" s="34"/>
      <c r="E7" s="34">
        <v>720</v>
      </c>
    </row>
    <row r="8" spans="1:5" ht="18.75">
      <c r="A8" s="253" t="s">
        <v>823</v>
      </c>
      <c r="B8" s="254" t="s">
        <v>820</v>
      </c>
      <c r="C8" s="377"/>
      <c r="D8" s="34"/>
      <c r="E8" s="381"/>
    </row>
    <row r="9" spans="1:5" ht="18.75">
      <c r="A9" s="253" t="s">
        <v>825</v>
      </c>
      <c r="B9" s="254" t="s">
        <v>824</v>
      </c>
      <c r="C9" s="377">
        <v>1065</v>
      </c>
      <c r="D9" s="34"/>
      <c r="E9" s="34"/>
    </row>
    <row r="10" spans="1:5" ht="18.75">
      <c r="A10" s="253" t="s">
        <v>826</v>
      </c>
      <c r="B10" s="260" t="s">
        <v>1239</v>
      </c>
      <c r="C10" s="377">
        <v>280</v>
      </c>
      <c r="D10" s="34"/>
      <c r="E10" s="34"/>
    </row>
    <row r="11" spans="1:6" ht="18.75">
      <c r="A11" s="253" t="s">
        <v>1233</v>
      </c>
      <c r="B11" s="260" t="s">
        <v>1240</v>
      </c>
      <c r="C11" s="378"/>
      <c r="D11" s="34"/>
      <c r="E11" s="34">
        <v>1598</v>
      </c>
      <c r="F11" t="s">
        <v>1568</v>
      </c>
    </row>
    <row r="12" spans="1:5" ht="18.75">
      <c r="A12" s="253" t="s">
        <v>1241</v>
      </c>
      <c r="B12" s="262" t="s">
        <v>1234</v>
      </c>
      <c r="C12" s="377">
        <v>825</v>
      </c>
      <c r="D12" s="34"/>
      <c r="E12" s="34">
        <v>75</v>
      </c>
    </row>
    <row r="13" spans="1:5" ht="18.75">
      <c r="A13" s="253" t="s">
        <v>1242</v>
      </c>
      <c r="B13" s="262" t="s">
        <v>1235</v>
      </c>
      <c r="C13" s="377"/>
      <c r="D13" s="34"/>
      <c r="E13" s="34">
        <v>825</v>
      </c>
    </row>
    <row r="14" spans="1:5" ht="18.75">
      <c r="A14" s="253" t="s">
        <v>1243</v>
      </c>
      <c r="B14" s="254" t="s">
        <v>528</v>
      </c>
      <c r="C14" s="377">
        <v>120</v>
      </c>
      <c r="D14" s="34"/>
      <c r="E14" s="34"/>
    </row>
    <row r="15" spans="1:5" ht="18.75">
      <c r="A15" s="253" t="s">
        <v>1244</v>
      </c>
      <c r="B15" s="254" t="s">
        <v>1236</v>
      </c>
      <c r="C15" s="377">
        <v>290</v>
      </c>
      <c r="D15" s="34"/>
      <c r="E15" s="34"/>
    </row>
    <row r="16" spans="1:5" ht="19.5" thickBot="1">
      <c r="A16" s="264" t="s">
        <v>1245</v>
      </c>
      <c r="B16" s="265" t="s">
        <v>791</v>
      </c>
      <c r="C16" s="377"/>
      <c r="D16" s="34"/>
      <c r="E16" s="34">
        <v>1098</v>
      </c>
    </row>
    <row r="17" spans="1:5" ht="19.5" thickBot="1">
      <c r="A17" s="568" t="s">
        <v>1327</v>
      </c>
      <c r="B17" s="569" t="s">
        <v>1249</v>
      </c>
      <c r="C17" s="379">
        <f>SUM(C6:C16)</f>
        <v>14359</v>
      </c>
      <c r="D17" s="379">
        <f>SUM(D6:D16)</f>
        <v>0</v>
      </c>
      <c r="E17" s="379">
        <f>SUM(E6:E16)</f>
        <v>16733</v>
      </c>
    </row>
    <row r="18" spans="1:5" ht="19.5" thickBot="1">
      <c r="A18" s="557" t="s">
        <v>1329</v>
      </c>
      <c r="B18" s="558" t="s">
        <v>1248</v>
      </c>
      <c r="C18" s="377"/>
      <c r="D18" s="34"/>
      <c r="E18" s="34"/>
    </row>
    <row r="19" spans="1:5" ht="19.5" thickBot="1">
      <c r="A19" s="557" t="s">
        <v>1328</v>
      </c>
      <c r="B19" s="558" t="s">
        <v>1246</v>
      </c>
      <c r="C19" s="377"/>
      <c r="D19" s="34"/>
      <c r="E19" s="34"/>
    </row>
    <row r="20" spans="1:5" ht="19.5" thickBot="1">
      <c r="A20" s="557" t="s">
        <v>1253</v>
      </c>
      <c r="B20" s="558" t="s">
        <v>19</v>
      </c>
      <c r="C20" s="377">
        <v>100</v>
      </c>
      <c r="D20" s="34"/>
      <c r="E20" s="34"/>
    </row>
    <row r="21" spans="1:6" ht="19.5" thickBot="1">
      <c r="A21" s="557" t="s">
        <v>1254</v>
      </c>
      <c r="B21" s="558" t="s">
        <v>889</v>
      </c>
      <c r="C21" s="377">
        <v>387</v>
      </c>
      <c r="D21" s="34"/>
      <c r="E21" s="34">
        <v>400</v>
      </c>
      <c r="F21" s="21" t="s">
        <v>1527</v>
      </c>
    </row>
    <row r="22" spans="1:5" ht="19.5" thickBot="1">
      <c r="A22" s="568" t="s">
        <v>1330</v>
      </c>
      <c r="B22" s="569" t="s">
        <v>1247</v>
      </c>
      <c r="C22" s="377">
        <f>SUM(C18:C21)</f>
        <v>487</v>
      </c>
      <c r="D22" s="377">
        <f>SUM(D18:D21)</f>
        <v>0</v>
      </c>
      <c r="E22" s="377">
        <f>SUM(E18:E21)</f>
        <v>400</v>
      </c>
    </row>
    <row r="23" spans="1:5" ht="27" customHeight="1" thickBot="1">
      <c r="A23" s="268" t="s">
        <v>1250</v>
      </c>
      <c r="B23" s="269" t="s">
        <v>1237</v>
      </c>
      <c r="C23" s="379">
        <f>SUM(C22,C17)</f>
        <v>14846</v>
      </c>
      <c r="D23" s="379">
        <f>SUM(D22,D17)</f>
        <v>0</v>
      </c>
      <c r="E23" s="379">
        <f>SUM(E22,E17)</f>
        <v>17133</v>
      </c>
    </row>
    <row r="24" spans="1:5" ht="19.5" thickBot="1">
      <c r="A24" s="270"/>
      <c r="B24" s="271"/>
      <c r="C24" s="377"/>
      <c r="D24" s="34"/>
      <c r="E24" s="34"/>
    </row>
    <row r="25" spans="1:6" ht="18.75">
      <c r="A25" s="272" t="s">
        <v>1255</v>
      </c>
      <c r="B25" s="97" t="s">
        <v>590</v>
      </c>
      <c r="C25" s="275">
        <v>3680</v>
      </c>
      <c r="D25" s="44"/>
      <c r="E25" s="118">
        <f>F25*27%</f>
        <v>4382.91</v>
      </c>
      <c r="F25" s="21">
        <f>E6+E7+E8+E9+E10+E11+E16+E22</f>
        <v>16233</v>
      </c>
    </row>
    <row r="26" spans="1:5" ht="18.75">
      <c r="A26" s="559" t="s">
        <v>1256</v>
      </c>
      <c r="B26" s="97" t="s">
        <v>1251</v>
      </c>
      <c r="C26" s="275">
        <v>1430</v>
      </c>
      <c r="D26" s="44">
        <v>1412</v>
      </c>
      <c r="E26" s="118">
        <v>721</v>
      </c>
    </row>
    <row r="27" spans="1:6" ht="18.75">
      <c r="A27" s="276" t="s">
        <v>1252</v>
      </c>
      <c r="B27" s="255" t="s">
        <v>4</v>
      </c>
      <c r="C27" s="378">
        <v>125</v>
      </c>
      <c r="D27" s="34"/>
      <c r="E27" s="118">
        <f>F27*16.67%</f>
        <v>150.03</v>
      </c>
      <c r="F27" s="21">
        <f>E12+E13</f>
        <v>900</v>
      </c>
    </row>
    <row r="28" spans="1:5" ht="19.5" thickBot="1">
      <c r="A28" s="462" t="s">
        <v>1257</v>
      </c>
      <c r="B28" s="255" t="s">
        <v>635</v>
      </c>
      <c r="C28" s="378">
        <v>145</v>
      </c>
      <c r="D28" s="34"/>
      <c r="E28" s="118">
        <f>F27*19.04%</f>
        <v>171.35999999999999</v>
      </c>
    </row>
    <row r="29" spans="1:5" ht="19.5" thickBot="1">
      <c r="A29" s="582" t="s">
        <v>1258</v>
      </c>
      <c r="B29" s="583" t="s">
        <v>69</v>
      </c>
      <c r="C29" s="378">
        <f>SUM(C25:C28)</f>
        <v>5380</v>
      </c>
      <c r="D29" s="378">
        <f>SUM(D25:D28)</f>
        <v>1412</v>
      </c>
      <c r="E29" s="378">
        <f>SUM(E25:E28)</f>
        <v>5425.299999999999</v>
      </c>
    </row>
    <row r="30" spans="1:5" ht="19.5" thickBot="1">
      <c r="A30" s="282"/>
      <c r="B30" s="283"/>
      <c r="C30" s="377"/>
      <c r="D30" s="34"/>
      <c r="E30" s="34"/>
    </row>
    <row r="31" spans="1:5" ht="18.75">
      <c r="A31" s="249" t="s">
        <v>1259</v>
      </c>
      <c r="B31" s="291" t="s">
        <v>533</v>
      </c>
      <c r="C31" s="377"/>
      <c r="D31" s="34"/>
      <c r="E31" s="34"/>
    </row>
    <row r="32" spans="1:5" ht="18.75">
      <c r="A32" s="253" t="s">
        <v>1260</v>
      </c>
      <c r="B32" s="254" t="s">
        <v>534</v>
      </c>
      <c r="C32" s="377">
        <v>50</v>
      </c>
      <c r="D32" s="41">
        <v>128</v>
      </c>
      <c r="E32" s="34">
        <v>120</v>
      </c>
    </row>
    <row r="33" spans="1:5" ht="18.75">
      <c r="A33" s="253" t="s">
        <v>1262</v>
      </c>
      <c r="B33" s="254" t="s">
        <v>1261</v>
      </c>
      <c r="C33" s="377">
        <v>155</v>
      </c>
      <c r="D33" s="41">
        <v>514</v>
      </c>
      <c r="E33" s="34">
        <v>550</v>
      </c>
    </row>
    <row r="34" spans="1:5" ht="18.75">
      <c r="A34" s="253" t="s">
        <v>1263</v>
      </c>
      <c r="B34" s="254" t="s">
        <v>124</v>
      </c>
      <c r="C34" s="377">
        <v>50</v>
      </c>
      <c r="D34" s="41">
        <v>35</v>
      </c>
      <c r="E34" s="34">
        <v>40</v>
      </c>
    </row>
    <row r="35" spans="1:5" ht="18.75">
      <c r="A35" s="253" t="s">
        <v>1264</v>
      </c>
      <c r="B35" s="254" t="s">
        <v>1265</v>
      </c>
      <c r="C35" s="570">
        <v>380</v>
      </c>
      <c r="D35" s="41">
        <v>13</v>
      </c>
      <c r="E35" s="34">
        <v>50</v>
      </c>
    </row>
    <row r="36" spans="1:5" ht="18.75">
      <c r="A36" s="253" t="s">
        <v>1335</v>
      </c>
      <c r="B36" s="562" t="s">
        <v>548</v>
      </c>
      <c r="C36" s="570">
        <f>SUM(C31:C35)</f>
        <v>635</v>
      </c>
      <c r="D36" s="570">
        <f>SUM(D31:D35)</f>
        <v>690</v>
      </c>
      <c r="E36" s="570">
        <f>SUM(E31:E35)</f>
        <v>760</v>
      </c>
    </row>
    <row r="37" spans="1:5" ht="18.75">
      <c r="A37" s="253" t="s">
        <v>1342</v>
      </c>
      <c r="B37" s="254" t="s">
        <v>1343</v>
      </c>
      <c r="C37" s="570"/>
      <c r="D37" s="570"/>
      <c r="E37" s="570"/>
    </row>
    <row r="38" spans="1:5" ht="18.75">
      <c r="A38" s="253" t="s">
        <v>1344</v>
      </c>
      <c r="B38" s="254" t="s">
        <v>1267</v>
      </c>
      <c r="C38" s="570">
        <v>1500</v>
      </c>
      <c r="D38" s="34">
        <v>1295</v>
      </c>
      <c r="E38" s="34">
        <v>1400</v>
      </c>
    </row>
    <row r="39" spans="1:5" ht="18.75">
      <c r="A39" s="253" t="s">
        <v>1345</v>
      </c>
      <c r="B39" s="254" t="s">
        <v>88</v>
      </c>
      <c r="C39" s="570"/>
      <c r="D39" s="34"/>
      <c r="E39" s="34"/>
    </row>
    <row r="40" spans="1:5" ht="18.75">
      <c r="A40" s="253" t="s">
        <v>1346</v>
      </c>
      <c r="B40" s="254" t="s">
        <v>1268</v>
      </c>
      <c r="C40" s="377">
        <v>20</v>
      </c>
      <c r="D40" s="34">
        <v>20</v>
      </c>
      <c r="E40" s="34">
        <v>20</v>
      </c>
    </row>
    <row r="41" spans="1:6" ht="19.5" thickBot="1">
      <c r="A41" s="288" t="s">
        <v>1347</v>
      </c>
      <c r="B41" s="289" t="s">
        <v>1269</v>
      </c>
      <c r="C41" s="377">
        <v>270</v>
      </c>
      <c r="D41" s="34">
        <v>400</v>
      </c>
      <c r="E41" s="34">
        <v>400</v>
      </c>
      <c r="F41" t="s">
        <v>1526</v>
      </c>
    </row>
    <row r="42" spans="1:5" ht="17.25" customHeight="1" thickBot="1">
      <c r="A42" s="268" t="s">
        <v>1266</v>
      </c>
      <c r="B42" s="571" t="s">
        <v>1270</v>
      </c>
      <c r="C42" s="377">
        <f>SUM(C37:C41)</f>
        <v>1790</v>
      </c>
      <c r="D42" s="377">
        <f>SUM(D38:D41)</f>
        <v>1715</v>
      </c>
      <c r="E42" s="377">
        <f>SUM(E38:E41)</f>
        <v>1820</v>
      </c>
    </row>
    <row r="43" spans="1:5" ht="22.5" customHeight="1" thickBot="1">
      <c r="A43" s="572" t="s">
        <v>1300</v>
      </c>
      <c r="B43" s="573" t="s">
        <v>595</v>
      </c>
      <c r="C43" s="574">
        <f>SUM(C42,C36)</f>
        <v>2425</v>
      </c>
      <c r="D43" s="574">
        <f>SUM(D42,D36)</f>
        <v>2405</v>
      </c>
      <c r="E43" s="574">
        <f>SUM(E42,E36)</f>
        <v>2580</v>
      </c>
    </row>
    <row r="44" spans="1:5" ht="18.75">
      <c r="A44" s="249" t="s">
        <v>1271</v>
      </c>
      <c r="B44" s="291" t="s">
        <v>1348</v>
      </c>
      <c r="C44" s="377">
        <v>300</v>
      </c>
      <c r="D44" s="34">
        <v>336</v>
      </c>
      <c r="E44" s="34">
        <v>350</v>
      </c>
    </row>
    <row r="45" spans="1:5" ht="18.75">
      <c r="A45" s="494" t="s">
        <v>1350</v>
      </c>
      <c r="B45" s="590" t="s">
        <v>1351</v>
      </c>
      <c r="C45" s="377">
        <v>250</v>
      </c>
      <c r="D45" s="34"/>
      <c r="E45" s="34"/>
    </row>
    <row r="46" spans="1:5" ht="18.75">
      <c r="A46" s="253" t="s">
        <v>1272</v>
      </c>
      <c r="B46" s="254" t="s">
        <v>1349</v>
      </c>
      <c r="C46" s="295">
        <v>500</v>
      </c>
      <c r="D46" s="566">
        <v>445</v>
      </c>
      <c r="E46" s="34">
        <v>500</v>
      </c>
    </row>
    <row r="47" spans="1:5" ht="18.75">
      <c r="A47" s="575" t="s">
        <v>1301</v>
      </c>
      <c r="B47" s="576" t="s">
        <v>1366</v>
      </c>
      <c r="C47" s="577">
        <f>SUM(C44:C46)</f>
        <v>1050</v>
      </c>
      <c r="D47" s="577">
        <f>SUM(D44:D46)</f>
        <v>781</v>
      </c>
      <c r="E47" s="577">
        <f>SUM(E44:E46)</f>
        <v>850</v>
      </c>
    </row>
    <row r="48" spans="1:5" ht="18.75">
      <c r="A48" s="253" t="s">
        <v>1275</v>
      </c>
      <c r="B48" s="254" t="s">
        <v>544</v>
      </c>
      <c r="C48" s="295">
        <v>550</v>
      </c>
      <c r="D48" s="566">
        <v>480</v>
      </c>
      <c r="E48" s="34">
        <v>550</v>
      </c>
    </row>
    <row r="49" spans="1:5" ht="18.75">
      <c r="A49" s="253" t="s">
        <v>1274</v>
      </c>
      <c r="B49" s="254" t="s">
        <v>543</v>
      </c>
      <c r="C49" s="295">
        <v>700</v>
      </c>
      <c r="D49" s="34">
        <v>600</v>
      </c>
      <c r="E49" s="34">
        <v>700</v>
      </c>
    </row>
    <row r="50" spans="1:5" ht="18.75">
      <c r="A50" s="253" t="s">
        <v>1276</v>
      </c>
      <c r="B50" s="254" t="s">
        <v>503</v>
      </c>
      <c r="C50" s="295">
        <v>185</v>
      </c>
      <c r="D50" s="34">
        <v>90</v>
      </c>
      <c r="E50" s="34">
        <v>110</v>
      </c>
    </row>
    <row r="51" spans="1:5" ht="18.75">
      <c r="A51" s="575" t="s">
        <v>1273</v>
      </c>
      <c r="B51" s="576" t="s">
        <v>1277</v>
      </c>
      <c r="C51" s="577">
        <f>SUM(C48:C50)</f>
        <v>1435</v>
      </c>
      <c r="D51" s="577">
        <f>SUM(D48:D50)</f>
        <v>1170</v>
      </c>
      <c r="E51" s="577">
        <f>SUM(E48:E50)</f>
        <v>1360</v>
      </c>
    </row>
    <row r="52" spans="1:5" ht="18.75">
      <c r="A52" s="253" t="s">
        <v>1332</v>
      </c>
      <c r="B52" s="254" t="s">
        <v>1278</v>
      </c>
      <c r="C52" s="295"/>
      <c r="D52" s="34"/>
      <c r="E52" s="34"/>
    </row>
    <row r="53" spans="1:5" ht="18.75">
      <c r="A53" s="253" t="s">
        <v>1280</v>
      </c>
      <c r="B53" s="254" t="s">
        <v>26</v>
      </c>
      <c r="C53" s="295">
        <v>50</v>
      </c>
      <c r="D53" s="41">
        <v>25</v>
      </c>
      <c r="E53" s="34">
        <v>50</v>
      </c>
    </row>
    <row r="54" spans="1:5" ht="18.75">
      <c r="A54" s="253" t="s">
        <v>1281</v>
      </c>
      <c r="B54" s="254" t="s">
        <v>1352</v>
      </c>
      <c r="C54" s="377">
        <v>700</v>
      </c>
      <c r="D54" s="34">
        <v>609</v>
      </c>
      <c r="E54" s="34">
        <v>700</v>
      </c>
    </row>
    <row r="55" spans="1:5" ht="18.75">
      <c r="A55" s="575" t="s">
        <v>1283</v>
      </c>
      <c r="B55" s="576" t="s">
        <v>1282</v>
      </c>
      <c r="C55" s="574">
        <f>SUM(C53:C54)</f>
        <v>750</v>
      </c>
      <c r="D55" s="574">
        <f>SUM(D53:D54)</f>
        <v>634</v>
      </c>
      <c r="E55" s="574">
        <f>SUM(E53:E54)</f>
        <v>750</v>
      </c>
    </row>
    <row r="56" spans="1:5" ht="18.75">
      <c r="A56" s="575" t="s">
        <v>1284</v>
      </c>
      <c r="B56" s="588" t="s">
        <v>1333</v>
      </c>
      <c r="C56" s="589"/>
      <c r="D56" s="589"/>
      <c r="E56" s="589"/>
    </row>
    <row r="57" spans="1:5" ht="18.75">
      <c r="A57" s="288"/>
      <c r="B57" s="554" t="s">
        <v>943</v>
      </c>
      <c r="C57" s="554"/>
      <c r="D57" s="554"/>
      <c r="E57" s="554"/>
    </row>
    <row r="58" spans="1:6" ht="46.5">
      <c r="A58" s="288" t="s">
        <v>1353</v>
      </c>
      <c r="B58" s="554" t="s">
        <v>547</v>
      </c>
      <c r="C58" s="554">
        <v>2245</v>
      </c>
      <c r="D58" s="554">
        <v>3444</v>
      </c>
      <c r="E58" s="554">
        <v>2400</v>
      </c>
      <c r="F58" s="604" t="s">
        <v>1525</v>
      </c>
    </row>
    <row r="59" spans="1:5" ht="18.75">
      <c r="A59" s="288" t="s">
        <v>1354</v>
      </c>
      <c r="B59" s="554" t="s">
        <v>1355</v>
      </c>
      <c r="C59" s="554"/>
      <c r="D59" s="554"/>
      <c r="E59" s="554"/>
    </row>
    <row r="60" spans="1:5" ht="27" customHeight="1">
      <c r="A60" s="561" t="s">
        <v>1285</v>
      </c>
      <c r="B60" s="552" t="s">
        <v>945</v>
      </c>
      <c r="C60" s="591">
        <f>SUM(C58:C59)</f>
        <v>2245</v>
      </c>
      <c r="D60" s="591">
        <f>SUM(D58:D59)</f>
        <v>3444</v>
      </c>
      <c r="E60" s="591">
        <f>SUM(E58:E59)</f>
        <v>2400</v>
      </c>
    </row>
    <row r="61" spans="1:5" ht="23.25" customHeight="1">
      <c r="A61" s="462" t="s">
        <v>1356</v>
      </c>
      <c r="B61" s="553" t="s">
        <v>1362</v>
      </c>
      <c r="C61" s="591">
        <v>415</v>
      </c>
      <c r="D61" s="591">
        <v>409</v>
      </c>
      <c r="E61" s="591">
        <v>415</v>
      </c>
    </row>
    <row r="62" spans="1:5" ht="23.25" customHeight="1">
      <c r="A62" s="462" t="s">
        <v>1357</v>
      </c>
      <c r="B62" s="553" t="s">
        <v>1358</v>
      </c>
      <c r="C62" s="591">
        <v>600</v>
      </c>
      <c r="D62" s="591">
        <v>827</v>
      </c>
      <c r="E62" s="591">
        <v>900</v>
      </c>
    </row>
    <row r="63" spans="1:5" ht="23.25" customHeight="1">
      <c r="A63" s="462" t="s">
        <v>1359</v>
      </c>
      <c r="B63" s="553" t="s">
        <v>9</v>
      </c>
      <c r="C63" s="591">
        <v>110</v>
      </c>
      <c r="D63" s="591">
        <v>40</v>
      </c>
      <c r="E63" s="591">
        <v>80</v>
      </c>
    </row>
    <row r="64" spans="1:6" ht="23.25" customHeight="1" thickBot="1">
      <c r="A64" s="462" t="s">
        <v>1360</v>
      </c>
      <c r="B64" s="553" t="s">
        <v>1361</v>
      </c>
      <c r="C64" s="591">
        <v>1140</v>
      </c>
      <c r="D64" s="591">
        <v>330</v>
      </c>
      <c r="E64" s="591">
        <v>500</v>
      </c>
      <c r="F64" s="21" t="s">
        <v>1368</v>
      </c>
    </row>
    <row r="65" spans="1:5" ht="17.25" customHeight="1" thickBot="1">
      <c r="A65" s="298" t="s">
        <v>1286</v>
      </c>
      <c r="B65" s="552" t="s">
        <v>948</v>
      </c>
      <c r="C65" s="591">
        <f>SUM(C61:C64)</f>
        <v>2265</v>
      </c>
      <c r="D65" s="591">
        <f>SUM(D61:D64)</f>
        <v>1606</v>
      </c>
      <c r="E65" s="591">
        <f>SUM(E61:E64)</f>
        <v>1895</v>
      </c>
    </row>
    <row r="66" spans="1:5" ht="25.5" customHeight="1">
      <c r="A66" s="578" t="s">
        <v>1279</v>
      </c>
      <c r="B66" s="579" t="s">
        <v>1287</v>
      </c>
      <c r="C66" s="603">
        <f>SUM(C65+C60+C56+C55+C52+C51)</f>
        <v>6695</v>
      </c>
      <c r="D66" s="603">
        <f>SUM(D65+D60+D56+D55+D52+D51)</f>
        <v>6854</v>
      </c>
      <c r="E66" s="603">
        <f>SUM(E65+E60+E56+E55+E51)</f>
        <v>6405</v>
      </c>
    </row>
    <row r="67" spans="1:5" ht="18.75">
      <c r="A67" s="253" t="s">
        <v>1288</v>
      </c>
      <c r="B67" s="553" t="s">
        <v>952</v>
      </c>
      <c r="C67" s="553">
        <v>330</v>
      </c>
      <c r="D67" s="553">
        <v>192</v>
      </c>
      <c r="E67" s="553">
        <v>300</v>
      </c>
    </row>
    <row r="68" spans="1:5" ht="18.75">
      <c r="A68" s="253" t="s">
        <v>1289</v>
      </c>
      <c r="B68" s="553" t="s">
        <v>954</v>
      </c>
      <c r="C68" s="553"/>
      <c r="D68" s="553"/>
      <c r="E68" s="553"/>
    </row>
    <row r="69" spans="1:5" ht="24" customHeight="1">
      <c r="A69" s="575" t="s">
        <v>1291</v>
      </c>
      <c r="B69" s="579" t="s">
        <v>1290</v>
      </c>
      <c r="C69" s="579">
        <f>SUM(C67:C68)</f>
        <v>330</v>
      </c>
      <c r="D69" s="579">
        <f>SUM(D67:D68)</f>
        <v>192</v>
      </c>
      <c r="E69" s="579">
        <f>SUM(E67:E68)</f>
        <v>300</v>
      </c>
    </row>
    <row r="70" spans="1:7" ht="26.25" customHeight="1" thickBot="1">
      <c r="A70" s="561" t="s">
        <v>1294</v>
      </c>
      <c r="B70" s="552" t="s">
        <v>958</v>
      </c>
      <c r="C70" s="552">
        <v>2494</v>
      </c>
      <c r="D70" s="552">
        <v>2040</v>
      </c>
      <c r="E70" s="552">
        <v>2301</v>
      </c>
      <c r="F70" s="597">
        <f>E43+E47+E51+E55+E60+E63+E64+E68+E75</f>
        <v>8520</v>
      </c>
      <c r="G70" s="21">
        <f>F70*27%</f>
        <v>2300.4</v>
      </c>
    </row>
    <row r="71" spans="1:5" ht="27" customHeight="1" thickBot="1">
      <c r="A71" s="268" t="s">
        <v>1295</v>
      </c>
      <c r="B71" s="552" t="s">
        <v>960</v>
      </c>
      <c r="C71" s="552">
        <v>3900</v>
      </c>
      <c r="D71" s="552">
        <v>2660</v>
      </c>
      <c r="E71" s="552">
        <v>3400</v>
      </c>
    </row>
    <row r="72" spans="1:5" ht="19.5" thickBot="1">
      <c r="A72" s="210" t="s">
        <v>1296</v>
      </c>
      <c r="B72" s="552" t="s">
        <v>1293</v>
      </c>
      <c r="C72" s="552"/>
      <c r="D72" s="552"/>
      <c r="E72" s="552"/>
    </row>
    <row r="73" spans="1:5" ht="24.75" customHeight="1">
      <c r="A73" s="593" t="s">
        <v>1298</v>
      </c>
      <c r="B73" s="594" t="s">
        <v>1363</v>
      </c>
      <c r="C73" s="594"/>
      <c r="D73" s="552"/>
      <c r="E73" s="552"/>
    </row>
    <row r="74" spans="1:6" ht="24.75" customHeight="1">
      <c r="A74" s="592" t="s">
        <v>1364</v>
      </c>
      <c r="B74" s="563" t="s">
        <v>1365</v>
      </c>
      <c r="C74" s="563"/>
      <c r="D74" s="553"/>
      <c r="E74" s="553"/>
      <c r="F74" s="21" t="s">
        <v>1369</v>
      </c>
    </row>
    <row r="75" spans="1:5" ht="24.75" customHeight="1">
      <c r="A75" s="592" t="s">
        <v>1370</v>
      </c>
      <c r="B75" s="563" t="s">
        <v>1367</v>
      </c>
      <c r="C75" s="563">
        <v>200</v>
      </c>
      <c r="D75" s="553">
        <v>15</v>
      </c>
      <c r="E75" s="553"/>
    </row>
    <row r="76" spans="1:5" ht="18.75">
      <c r="A76" s="98" t="s">
        <v>1297</v>
      </c>
      <c r="B76" s="552" t="s">
        <v>970</v>
      </c>
      <c r="C76" s="552">
        <f>SUM(C74:C75)</f>
        <v>200</v>
      </c>
      <c r="D76" s="552">
        <f>SUM(D74:D75)</f>
        <v>15</v>
      </c>
      <c r="E76" s="552">
        <f>SUM(E74:E75)</f>
        <v>0</v>
      </c>
    </row>
    <row r="77" spans="1:5" ht="24.75" customHeight="1">
      <c r="A77" s="580" t="s">
        <v>1292</v>
      </c>
      <c r="B77" s="579" t="s">
        <v>1334</v>
      </c>
      <c r="C77" s="579">
        <f>C76+C73+C72+C71+C70</f>
        <v>6594</v>
      </c>
      <c r="D77" s="579">
        <f>D76+D73+D72+D71+D70</f>
        <v>4715</v>
      </c>
      <c r="E77" s="579">
        <f>E76+E73+E72+E71+E70</f>
        <v>5701</v>
      </c>
    </row>
    <row r="78" spans="1:10" ht="24.75" customHeight="1">
      <c r="A78" s="587" t="s">
        <v>1299</v>
      </c>
      <c r="B78" s="585" t="s">
        <v>70</v>
      </c>
      <c r="C78" s="579">
        <f>SUM(C77+C69+C66+C47+C43)</f>
        <v>17094</v>
      </c>
      <c r="D78" s="579">
        <f>SUM(D77+D69+D66+D47+D43)</f>
        <v>14947</v>
      </c>
      <c r="E78" s="603">
        <f>SUM(E77+E69+E66+E47+E43)</f>
        <v>15836</v>
      </c>
      <c r="F78" s="560"/>
      <c r="G78" s="560"/>
      <c r="H78" s="560"/>
      <c r="I78" s="560"/>
      <c r="J78" s="560"/>
    </row>
    <row r="79" spans="1:10" ht="24.75" customHeight="1">
      <c r="A79" s="98" t="s">
        <v>1307</v>
      </c>
      <c r="B79" s="553" t="s">
        <v>1302</v>
      </c>
      <c r="C79" s="552"/>
      <c r="D79" s="552"/>
      <c r="E79" s="552"/>
      <c r="F79" s="560"/>
      <c r="G79" s="560"/>
      <c r="H79" s="560"/>
      <c r="I79" s="560"/>
      <c r="J79" s="560"/>
    </row>
    <row r="80" spans="1:10" ht="24.75" customHeight="1">
      <c r="A80" s="98" t="s">
        <v>1306</v>
      </c>
      <c r="B80" s="553" t="s">
        <v>1308</v>
      </c>
      <c r="C80" s="552"/>
      <c r="D80" s="552"/>
      <c r="E80" s="552"/>
      <c r="F80" s="560"/>
      <c r="G80" s="560"/>
      <c r="H80" s="560"/>
      <c r="I80" s="560"/>
      <c r="J80" s="560"/>
    </row>
    <row r="81" spans="1:10" ht="24.75" customHeight="1">
      <c r="A81" s="98"/>
      <c r="B81" s="97" t="s">
        <v>1304</v>
      </c>
      <c r="C81" s="552"/>
      <c r="D81" s="552"/>
      <c r="E81" s="552"/>
      <c r="F81" s="560"/>
      <c r="G81" s="560"/>
      <c r="H81" s="560"/>
      <c r="I81" s="560"/>
      <c r="J81" s="560"/>
    </row>
    <row r="82" spans="1:5" ht="18.75">
      <c r="A82" s="98"/>
      <c r="B82" s="97" t="s">
        <v>1303</v>
      </c>
      <c r="C82" s="377"/>
      <c r="D82" s="34"/>
      <c r="E82" s="34"/>
    </row>
    <row r="83" spans="1:5" ht="18.75">
      <c r="A83" s="98"/>
      <c r="B83" s="567" t="s">
        <v>1305</v>
      </c>
      <c r="C83" s="377"/>
      <c r="D83" s="34"/>
      <c r="E83" s="34"/>
    </row>
    <row r="84" spans="1:5" ht="25.5">
      <c r="A84" s="580" t="s">
        <v>1341</v>
      </c>
      <c r="B84" s="579" t="s">
        <v>1337</v>
      </c>
      <c r="C84" s="377">
        <f>SUM(C80:C83)</f>
        <v>0</v>
      </c>
      <c r="D84" s="377">
        <f>SUM(D80:D83)</f>
        <v>0</v>
      </c>
      <c r="E84" s="377">
        <f>SUM(E80:E83)</f>
        <v>0</v>
      </c>
    </row>
    <row r="85" spans="1:5" s="564" customFormat="1" ht="18.75">
      <c r="A85" s="587" t="s">
        <v>1336</v>
      </c>
      <c r="B85" s="587" t="s">
        <v>1340</v>
      </c>
      <c r="C85" s="574">
        <f>SUM(C79+C84)</f>
        <v>0</v>
      </c>
      <c r="D85" s="574">
        <f>SUM(D79+D84)</f>
        <v>0</v>
      </c>
      <c r="E85" s="574">
        <f>SUM(E79+E84)</f>
        <v>0</v>
      </c>
    </row>
    <row r="86" spans="1:5" ht="18.75">
      <c r="A86" s="97" t="s">
        <v>1309</v>
      </c>
      <c r="B86" s="553" t="s">
        <v>1113</v>
      </c>
      <c r="C86" s="553"/>
      <c r="D86" s="553"/>
      <c r="E86" s="553"/>
    </row>
    <row r="87" spans="1:5" s="382" customFormat="1" ht="15">
      <c r="A87" s="97" t="s">
        <v>1310</v>
      </c>
      <c r="B87" s="553" t="s">
        <v>1371</v>
      </c>
      <c r="C87" s="553"/>
      <c r="D87" s="553"/>
      <c r="E87" s="553"/>
    </row>
    <row r="88" spans="1:5" ht="18.75">
      <c r="A88" s="172" t="s">
        <v>1311</v>
      </c>
      <c r="B88" s="553" t="s">
        <v>1117</v>
      </c>
      <c r="C88" s="553"/>
      <c r="D88" s="553"/>
      <c r="E88" s="553"/>
    </row>
    <row r="89" spans="1:6" ht="24" customHeight="1">
      <c r="A89" s="172" t="s">
        <v>1312</v>
      </c>
      <c r="B89" s="553" t="s">
        <v>1118</v>
      </c>
      <c r="C89" s="553"/>
      <c r="D89" s="553"/>
      <c r="E89" s="553">
        <v>120</v>
      </c>
      <c r="F89" s="600" t="s">
        <v>1589</v>
      </c>
    </row>
    <row r="90" spans="1:6" ht="26.25" customHeight="1">
      <c r="A90" s="172" t="s">
        <v>1313</v>
      </c>
      <c r="B90" s="553" t="s">
        <v>1120</v>
      </c>
      <c r="C90" s="553"/>
      <c r="D90" s="553"/>
      <c r="E90" s="553">
        <v>675</v>
      </c>
      <c r="F90" s="21" t="s">
        <v>1581</v>
      </c>
    </row>
    <row r="91" spans="1:6" ht="25.5" customHeight="1">
      <c r="A91" s="172" t="s">
        <v>1314</v>
      </c>
      <c r="B91" s="553" t="s">
        <v>1126</v>
      </c>
      <c r="C91" s="553"/>
      <c r="D91" s="553"/>
      <c r="E91" s="553">
        <v>259</v>
      </c>
      <c r="F91" s="21" t="s">
        <v>1590</v>
      </c>
    </row>
    <row r="92" spans="1:5" ht="18.75">
      <c r="A92" s="584" t="s">
        <v>1315</v>
      </c>
      <c r="B92" s="585" t="s">
        <v>1339</v>
      </c>
      <c r="C92" s="552">
        <f>SUM(C86:C91)</f>
        <v>0</v>
      </c>
      <c r="D92" s="552">
        <f>SUM(D86:D91)</f>
        <v>0</v>
      </c>
      <c r="E92" s="552">
        <f>SUM(E86:E91)</f>
        <v>1054</v>
      </c>
    </row>
    <row r="93" spans="1:5" ht="18.75">
      <c r="A93" s="172" t="s">
        <v>1316</v>
      </c>
      <c r="B93" s="553" t="s">
        <v>1130</v>
      </c>
      <c r="C93" s="553"/>
      <c r="D93" s="553"/>
      <c r="E93" s="553"/>
    </row>
    <row r="94" spans="1:5" ht="18.75">
      <c r="A94" s="172" t="s">
        <v>1317</v>
      </c>
      <c r="B94" s="553" t="s">
        <v>1132</v>
      </c>
      <c r="C94" s="553"/>
      <c r="D94" s="553"/>
      <c r="E94" s="553"/>
    </row>
    <row r="95" spans="1:5" ht="18.75">
      <c r="A95" s="172" t="s">
        <v>1318</v>
      </c>
      <c r="B95" s="553" t="s">
        <v>1134</v>
      </c>
      <c r="C95" s="553"/>
      <c r="D95" s="553"/>
      <c r="E95" s="553"/>
    </row>
    <row r="96" spans="1:5" ht="24" customHeight="1">
      <c r="A96" s="172" t="s">
        <v>1319</v>
      </c>
      <c r="B96" s="553" t="s">
        <v>1136</v>
      </c>
      <c r="C96" s="553"/>
      <c r="D96" s="553"/>
      <c r="E96" s="553"/>
    </row>
    <row r="97" spans="1:5" ht="18.75">
      <c r="A97" s="584" t="s">
        <v>1320</v>
      </c>
      <c r="B97" s="585" t="s">
        <v>1338</v>
      </c>
      <c r="C97" s="552">
        <f>SUM(C93:C96)</f>
        <v>0</v>
      </c>
      <c r="D97" s="552">
        <f>SUM(D93:D96)</f>
        <v>0</v>
      </c>
      <c r="E97" s="552">
        <f>SUM(E93:E96)</f>
        <v>0</v>
      </c>
    </row>
    <row r="98" spans="1:5" ht="25.5" customHeight="1">
      <c r="A98" s="172" t="s">
        <v>1323</v>
      </c>
      <c r="B98" s="555" t="s">
        <v>1325</v>
      </c>
      <c r="C98" s="555"/>
      <c r="D98" s="555"/>
      <c r="E98" s="555"/>
    </row>
    <row r="99" spans="1:5" ht="27" customHeight="1">
      <c r="A99" s="457" t="s">
        <v>1322</v>
      </c>
      <c r="B99" s="553" t="s">
        <v>1321</v>
      </c>
      <c r="C99" s="553"/>
      <c r="D99" s="553"/>
      <c r="E99" s="553"/>
    </row>
    <row r="100" spans="1:5" ht="18.75">
      <c r="A100" s="584" t="s">
        <v>1326</v>
      </c>
      <c r="B100" s="586" t="s">
        <v>1324</v>
      </c>
      <c r="C100" s="295">
        <f>SUM(C98:C99)</f>
        <v>0</v>
      </c>
      <c r="D100" s="295">
        <f>SUM(D98:D99)</f>
        <v>0</v>
      </c>
      <c r="E100" s="295">
        <f>SUM(E98:E99)</f>
        <v>0</v>
      </c>
    </row>
    <row r="101" spans="1:5" ht="18.75">
      <c r="A101" s="34"/>
      <c r="B101" s="36" t="s">
        <v>118</v>
      </c>
      <c r="C101" s="581">
        <f>SUM(C100+C97+C92+C85+C78+C29+C23)</f>
        <v>37320</v>
      </c>
      <c r="D101" s="581">
        <f>SUM(D100+D97+D92+D85+D78+D29+D23)</f>
        <v>16359</v>
      </c>
      <c r="E101" s="581">
        <f>SUM(E100+E97+E92+E85+E78+E29+E23)</f>
        <v>39448.3</v>
      </c>
    </row>
  </sheetData>
  <sheetProtection/>
  <mergeCells count="1">
    <mergeCell ref="A2:E2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50"/>
  </sheetPr>
  <dimension ref="A2:G22"/>
  <sheetViews>
    <sheetView view="pageBreakPreview" zoomScale="60" zoomScalePageLayoutView="0" workbookViewId="0" topLeftCell="A1">
      <selection activeCell="F24" sqref="F24"/>
    </sheetView>
  </sheetViews>
  <sheetFormatPr defaultColWidth="8.66015625" defaultRowHeight="18"/>
  <cols>
    <col min="1" max="1" width="9" style="0" bestFit="1" customWidth="1"/>
    <col min="2" max="2" width="35.75" style="0" customWidth="1"/>
    <col min="3" max="3" width="10.33203125" style="7" customWidth="1"/>
    <col min="4" max="4" width="9.75" style="3" customWidth="1"/>
    <col min="5" max="5" width="11.58203125" style="0" customWidth="1"/>
  </cols>
  <sheetData>
    <row r="2" spans="1:3" ht="19.5" thickBot="1">
      <c r="A2" s="1" t="s">
        <v>187</v>
      </c>
      <c r="B2" s="1" t="s">
        <v>139</v>
      </c>
      <c r="C2" s="6"/>
    </row>
    <row r="3" spans="1:7" ht="19.5" thickTop="1">
      <c r="A3" s="23"/>
      <c r="B3" s="2"/>
      <c r="C3" s="326" t="s">
        <v>280</v>
      </c>
      <c r="D3" s="326" t="s">
        <v>281</v>
      </c>
      <c r="E3" s="326" t="s">
        <v>614</v>
      </c>
      <c r="F3" s="448" t="s">
        <v>625</v>
      </c>
      <c r="G3" s="448" t="s">
        <v>616</v>
      </c>
    </row>
    <row r="4" spans="1:7" ht="18.75">
      <c r="A4" s="40"/>
      <c r="B4" s="352" t="s">
        <v>120</v>
      </c>
      <c r="C4" s="41"/>
      <c r="D4" s="34"/>
      <c r="E4" s="41"/>
      <c r="F4" s="41"/>
      <c r="G4" s="41"/>
    </row>
    <row r="5" spans="1:7" ht="18.75">
      <c r="A5" s="40"/>
      <c r="B5" s="353"/>
      <c r="C5" s="41"/>
      <c r="D5" s="34"/>
      <c r="E5" s="41"/>
      <c r="F5" s="41"/>
      <c r="G5" s="41"/>
    </row>
    <row r="6" spans="1:7" ht="18.75">
      <c r="A6" s="40"/>
      <c r="B6" s="354" t="s">
        <v>41</v>
      </c>
      <c r="C6" s="41"/>
      <c r="D6" s="34"/>
      <c r="E6" s="41"/>
      <c r="F6" s="41"/>
      <c r="G6" s="41"/>
    </row>
    <row r="7" spans="1:7" ht="18.75">
      <c r="A7" s="40"/>
      <c r="B7" s="352"/>
      <c r="C7" s="41"/>
      <c r="D7" s="34"/>
      <c r="E7" s="41"/>
      <c r="F7" s="41"/>
      <c r="G7" s="41"/>
    </row>
    <row r="8" spans="1:7" ht="18.75">
      <c r="A8" s="40"/>
      <c r="B8" s="352" t="s">
        <v>110</v>
      </c>
      <c r="C8" s="41"/>
      <c r="D8" s="34"/>
      <c r="E8" s="41"/>
      <c r="F8" s="41"/>
      <c r="G8" s="41"/>
    </row>
    <row r="9" spans="1:7" ht="18.75">
      <c r="A9" s="40"/>
      <c r="B9" s="352"/>
      <c r="C9" s="41"/>
      <c r="D9" s="34"/>
      <c r="E9" s="41"/>
      <c r="F9" s="41"/>
      <c r="G9" s="41"/>
    </row>
    <row r="10" spans="1:7" ht="18.75">
      <c r="A10" s="40">
        <v>54712</v>
      </c>
      <c r="B10" t="s">
        <v>274</v>
      </c>
      <c r="C10" s="41">
        <v>60</v>
      </c>
      <c r="D10" s="34"/>
      <c r="E10" s="41"/>
      <c r="F10" s="41"/>
      <c r="G10" s="41"/>
    </row>
    <row r="11" spans="1:7" ht="18.75">
      <c r="A11" s="40"/>
      <c r="B11" s="352" t="s">
        <v>167</v>
      </c>
      <c r="C11" s="41">
        <f>SUM(C10)</f>
        <v>60</v>
      </c>
      <c r="D11" s="34"/>
      <c r="E11" s="41"/>
      <c r="F11" s="41"/>
      <c r="G11" s="41"/>
    </row>
    <row r="12" spans="1:7" ht="18.75">
      <c r="A12" s="41">
        <v>55215</v>
      </c>
      <c r="B12" s="293" t="s">
        <v>11</v>
      </c>
      <c r="C12" s="36">
        <v>12000</v>
      </c>
      <c r="D12" s="36">
        <v>12000</v>
      </c>
      <c r="E12" s="41">
        <v>11000</v>
      </c>
      <c r="F12" s="41">
        <v>12459</v>
      </c>
      <c r="G12" s="41">
        <v>13000</v>
      </c>
    </row>
    <row r="13" spans="1:7" ht="18.75">
      <c r="A13" s="41">
        <v>552181</v>
      </c>
      <c r="B13" s="293" t="s">
        <v>114</v>
      </c>
      <c r="C13" s="36">
        <v>823</v>
      </c>
      <c r="D13" s="167">
        <v>857</v>
      </c>
      <c r="E13" s="41">
        <v>857</v>
      </c>
      <c r="F13" s="41">
        <v>890</v>
      </c>
      <c r="G13" s="41">
        <v>1000</v>
      </c>
    </row>
    <row r="14" spans="1:7" ht="18.75">
      <c r="A14" s="40">
        <v>55</v>
      </c>
      <c r="B14" s="352" t="s">
        <v>16</v>
      </c>
      <c r="C14" s="43">
        <f>SUM(C12:C13)</f>
        <v>12823</v>
      </c>
      <c r="D14" s="43">
        <f>SUM(D12:D13)</f>
        <v>12857</v>
      </c>
      <c r="E14" s="43">
        <f>SUM(E12:E13)</f>
        <v>11857</v>
      </c>
      <c r="F14" s="43">
        <f>SUM(F12:F13)</f>
        <v>13349</v>
      </c>
      <c r="G14" s="43">
        <f>SUM(G12:G13)</f>
        <v>14000</v>
      </c>
    </row>
    <row r="15" spans="1:7" ht="18.75">
      <c r="A15" s="41"/>
      <c r="B15" s="293"/>
      <c r="C15" s="36"/>
      <c r="D15" s="36"/>
      <c r="E15" s="41"/>
      <c r="F15" s="41"/>
      <c r="G15" s="41"/>
    </row>
    <row r="16" spans="1:7" ht="18.75">
      <c r="A16" s="41">
        <v>56111</v>
      </c>
      <c r="B16" s="293" t="s">
        <v>55</v>
      </c>
      <c r="C16" s="50">
        <f>(C14+C11)*0.27</f>
        <v>3478.4100000000003</v>
      </c>
      <c r="D16" s="50">
        <f>D14*0.27</f>
        <v>3471.3900000000003</v>
      </c>
      <c r="E16" s="50">
        <f>(E14+E11)*0.27</f>
        <v>3201.3900000000003</v>
      </c>
      <c r="F16" s="41">
        <v>3422</v>
      </c>
      <c r="G16" s="41">
        <f>G14*27%</f>
        <v>3780.0000000000005</v>
      </c>
    </row>
    <row r="17" spans="1:7" ht="18.75">
      <c r="A17" s="41"/>
      <c r="B17" s="293"/>
      <c r="C17" s="36"/>
      <c r="D17" s="36"/>
      <c r="E17" s="41"/>
      <c r="F17" s="41"/>
      <c r="G17" s="41"/>
    </row>
    <row r="18" spans="1:7" ht="18.75">
      <c r="A18" s="40">
        <v>56</v>
      </c>
      <c r="B18" s="352" t="s">
        <v>56</v>
      </c>
      <c r="C18" s="43">
        <f>SUM(C16:C17)</f>
        <v>3478.4100000000003</v>
      </c>
      <c r="D18" s="43">
        <f>SUM(D16:D17)</f>
        <v>3471.3900000000003</v>
      </c>
      <c r="E18" s="43">
        <f>SUM(E16:E17)</f>
        <v>3201.3900000000003</v>
      </c>
      <c r="F18" s="43">
        <f>SUM(F16:F17)</f>
        <v>3422</v>
      </c>
      <c r="G18" s="43">
        <f>SUM(G16:G17)</f>
        <v>3780.0000000000005</v>
      </c>
    </row>
    <row r="19" spans="1:7" ht="18.75">
      <c r="A19" s="40"/>
      <c r="B19" s="352"/>
      <c r="C19" s="36"/>
      <c r="D19" s="36"/>
      <c r="E19" s="41"/>
      <c r="F19" s="41"/>
      <c r="G19" s="41"/>
    </row>
    <row r="20" spans="1:7" ht="18.75">
      <c r="A20" s="40"/>
      <c r="B20" s="352" t="s">
        <v>29</v>
      </c>
      <c r="C20" s="43">
        <f>SUM(C18,C14,C11)</f>
        <v>16361.41</v>
      </c>
      <c r="D20" s="43">
        <f>SUM(D18,D14)</f>
        <v>16328.39</v>
      </c>
      <c r="E20" s="43">
        <f>SUM(E18,E14,E11)</f>
        <v>15058.39</v>
      </c>
      <c r="F20" s="43">
        <f>SUM(F18,F14,F11)</f>
        <v>16771</v>
      </c>
      <c r="G20" s="43">
        <f>SUM(G18,G14,G11)</f>
        <v>17780</v>
      </c>
    </row>
    <row r="21" spans="1:7" ht="18.75">
      <c r="A21" s="41"/>
      <c r="B21" s="293"/>
      <c r="C21" s="41"/>
      <c r="D21" s="34"/>
      <c r="E21" s="41"/>
      <c r="F21" s="41"/>
      <c r="G21" s="41"/>
    </row>
    <row r="22" spans="1:7" ht="19.5" thickBot="1">
      <c r="A22" s="1"/>
      <c r="B22" s="1" t="s">
        <v>0</v>
      </c>
      <c r="C22" s="43">
        <f>SUM(C20,C6)</f>
        <v>16361.41</v>
      </c>
      <c r="D22" s="43">
        <f>SUM(D18,D14,D6)</f>
        <v>16328.39</v>
      </c>
      <c r="E22" s="43">
        <f>SUM(E20,E6)</f>
        <v>15058.39</v>
      </c>
      <c r="F22" s="43">
        <f>SUM(F20,F6)</f>
        <v>16771</v>
      </c>
      <c r="G22" s="43">
        <f>SUM(G20,G6)</f>
        <v>17780</v>
      </c>
    </row>
    <row r="23" ht="19.5" thickTop="1"/>
  </sheetData>
  <sheetProtection/>
  <printOptions horizontalCentered="1"/>
  <pageMargins left="0" right="0" top="1.5748031496062993" bottom="0.984251968503937" header="0.5118110236220472" footer="0.5118110236220472"/>
  <pageSetup horizontalDpi="300" verticalDpi="300" orientation="portrait" paperSize="9" scale="82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C00000"/>
  </sheetPr>
  <dimension ref="A2:J101"/>
  <sheetViews>
    <sheetView zoomScalePageLayoutView="0" workbookViewId="0" topLeftCell="A58">
      <selection activeCell="F71" sqref="F71"/>
    </sheetView>
  </sheetViews>
  <sheetFormatPr defaultColWidth="8.41015625" defaultRowHeight="18"/>
  <cols>
    <col min="1" max="1" width="8.41015625" style="21" customWidth="1"/>
    <col min="2" max="2" width="29.41015625" style="21" customWidth="1"/>
    <col min="3" max="3" width="8" style="382" customWidth="1"/>
    <col min="4" max="4" width="7.33203125" style="21" customWidth="1"/>
    <col min="5" max="5" width="7.75" style="21" customWidth="1"/>
    <col min="6" max="249" width="7.08203125" style="21" customWidth="1"/>
    <col min="250" max="16384" width="8.41015625" style="21" customWidth="1"/>
  </cols>
  <sheetData>
    <row r="2" spans="1:5" ht="18.75">
      <c r="A2" s="620" t="s">
        <v>1331</v>
      </c>
      <c r="B2" s="620"/>
      <c r="C2" s="620"/>
      <c r="D2" s="620"/>
      <c r="E2" s="620"/>
    </row>
    <row r="3" ht="19.5" thickBot="1">
      <c r="C3" s="243"/>
    </row>
    <row r="4" spans="1:5" ht="19.5" thickBot="1">
      <c r="A4" s="595">
        <v>841402</v>
      </c>
      <c r="B4" s="245" t="s">
        <v>230</v>
      </c>
      <c r="C4" s="421" t="s">
        <v>616</v>
      </c>
      <c r="D4" s="41" t="s">
        <v>626</v>
      </c>
      <c r="E4" s="34">
        <v>2016</v>
      </c>
    </row>
    <row r="5" spans="1:5" ht="19.5" thickBot="1">
      <c r="A5" s="596" t="s">
        <v>1393</v>
      </c>
      <c r="B5" s="210"/>
      <c r="C5" s="295"/>
      <c r="D5" s="34"/>
      <c r="E5" s="34"/>
    </row>
    <row r="6" spans="1:5" ht="18.75">
      <c r="A6" s="249" t="s">
        <v>819</v>
      </c>
      <c r="B6" s="250" t="s">
        <v>1238</v>
      </c>
      <c r="C6" s="376"/>
      <c r="D6" s="565"/>
      <c r="E6" s="565"/>
    </row>
    <row r="7" spans="1:5" ht="18.75">
      <c r="A7" s="253" t="s">
        <v>822</v>
      </c>
      <c r="B7" s="254" t="s">
        <v>821</v>
      </c>
      <c r="C7" s="377"/>
      <c r="D7" s="34"/>
      <c r="E7" s="34"/>
    </row>
    <row r="8" spans="1:5" ht="18.75">
      <c r="A8" s="253" t="s">
        <v>823</v>
      </c>
      <c r="B8" s="254" t="s">
        <v>820</v>
      </c>
      <c r="C8" s="377"/>
      <c r="D8" s="34"/>
      <c r="E8" s="381"/>
    </row>
    <row r="9" spans="1:5" ht="18.75">
      <c r="A9" s="253" t="s">
        <v>825</v>
      </c>
      <c r="B9" s="254" t="s">
        <v>824</v>
      </c>
      <c r="C9" s="377"/>
      <c r="D9" s="34"/>
      <c r="E9" s="34"/>
    </row>
    <row r="10" spans="1:5" ht="18.75">
      <c r="A10" s="253" t="s">
        <v>826</v>
      </c>
      <c r="B10" s="260" t="s">
        <v>1239</v>
      </c>
      <c r="C10" s="377"/>
      <c r="D10" s="34"/>
      <c r="E10" s="34"/>
    </row>
    <row r="11" spans="1:5" ht="18.75">
      <c r="A11" s="253" t="s">
        <v>1233</v>
      </c>
      <c r="B11" s="260" t="s">
        <v>1240</v>
      </c>
      <c r="C11" s="378"/>
      <c r="D11" s="34"/>
      <c r="E11" s="34"/>
    </row>
    <row r="12" spans="1:5" ht="18.75">
      <c r="A12" s="253" t="s">
        <v>1241</v>
      </c>
      <c r="B12" s="262" t="s">
        <v>1234</v>
      </c>
      <c r="C12" s="377"/>
      <c r="D12" s="34"/>
      <c r="E12" s="34"/>
    </row>
    <row r="13" spans="1:5" ht="18.75">
      <c r="A13" s="253" t="s">
        <v>1242</v>
      </c>
      <c r="B13" s="262" t="s">
        <v>1235</v>
      </c>
      <c r="C13" s="377"/>
      <c r="D13" s="34"/>
      <c r="E13" s="34"/>
    </row>
    <row r="14" spans="1:5" ht="18.75">
      <c r="A14" s="253" t="s">
        <v>1243</v>
      </c>
      <c r="B14" s="254" t="s">
        <v>528</v>
      </c>
      <c r="C14" s="377"/>
      <c r="D14" s="34"/>
      <c r="E14" s="34"/>
    </row>
    <row r="15" spans="1:5" ht="18.75">
      <c r="A15" s="253" t="s">
        <v>1244</v>
      </c>
      <c r="B15" s="254" t="s">
        <v>1236</v>
      </c>
      <c r="C15" s="377"/>
      <c r="D15" s="34"/>
      <c r="E15" s="34"/>
    </row>
    <row r="16" spans="1:5" ht="19.5" thickBot="1">
      <c r="A16" s="264" t="s">
        <v>1245</v>
      </c>
      <c r="B16" s="265" t="s">
        <v>791</v>
      </c>
      <c r="C16" s="377"/>
      <c r="D16" s="34"/>
      <c r="E16" s="34"/>
    </row>
    <row r="17" spans="1:5" ht="19.5" thickBot="1">
      <c r="A17" s="568" t="s">
        <v>1327</v>
      </c>
      <c r="B17" s="569" t="s">
        <v>1249</v>
      </c>
      <c r="C17" s="379">
        <f>SUM(C6:C16)</f>
        <v>0</v>
      </c>
      <c r="D17" s="379">
        <f>SUM(D6:D16)</f>
        <v>0</v>
      </c>
      <c r="E17" s="379">
        <f>SUM(E6:E16)</f>
        <v>0</v>
      </c>
    </row>
    <row r="18" spans="1:5" ht="19.5" thickBot="1">
      <c r="A18" s="557" t="s">
        <v>1329</v>
      </c>
      <c r="B18" s="558" t="s">
        <v>1248</v>
      </c>
      <c r="C18" s="377"/>
      <c r="D18" s="34"/>
      <c r="E18" s="34"/>
    </row>
    <row r="19" spans="1:5" ht="19.5" thickBot="1">
      <c r="A19" s="557" t="s">
        <v>1328</v>
      </c>
      <c r="B19" s="558" t="s">
        <v>1246</v>
      </c>
      <c r="C19" s="377"/>
      <c r="D19" s="34"/>
      <c r="E19" s="34"/>
    </row>
    <row r="20" spans="1:5" ht="19.5" thickBot="1">
      <c r="A20" s="557" t="s">
        <v>1253</v>
      </c>
      <c r="B20" s="558" t="s">
        <v>19</v>
      </c>
      <c r="C20" s="377"/>
      <c r="D20" s="34"/>
      <c r="E20" s="34"/>
    </row>
    <row r="21" spans="1:5" ht="19.5" thickBot="1">
      <c r="A21" s="557" t="s">
        <v>1254</v>
      </c>
      <c r="B21" s="558" t="s">
        <v>889</v>
      </c>
      <c r="C21" s="377"/>
      <c r="D21" s="34"/>
      <c r="E21" s="34"/>
    </row>
    <row r="22" spans="1:5" ht="19.5" thickBot="1">
      <c r="A22" s="568" t="s">
        <v>1330</v>
      </c>
      <c r="B22" s="569" t="s">
        <v>1247</v>
      </c>
      <c r="C22" s="377">
        <f>SUM(C18:C21)</f>
        <v>0</v>
      </c>
      <c r="D22" s="377">
        <f>SUM(D18:D21)</f>
        <v>0</v>
      </c>
      <c r="E22" s="377">
        <f>SUM(E18:E21)</f>
        <v>0</v>
      </c>
    </row>
    <row r="23" spans="1:5" ht="27" customHeight="1" thickBot="1">
      <c r="A23" s="268" t="s">
        <v>1250</v>
      </c>
      <c r="B23" s="269" t="s">
        <v>1237</v>
      </c>
      <c r="C23" s="379">
        <f>SUM(C22,C17)</f>
        <v>0</v>
      </c>
      <c r="D23" s="379">
        <f>SUM(D22,D17)</f>
        <v>0</v>
      </c>
      <c r="E23" s="379">
        <f>SUM(E22,E17)</f>
        <v>0</v>
      </c>
    </row>
    <row r="24" spans="1:5" ht="19.5" thickBot="1">
      <c r="A24" s="270"/>
      <c r="B24" s="271"/>
      <c r="C24" s="377"/>
      <c r="D24" s="34"/>
      <c r="E24" s="34"/>
    </row>
    <row r="25" spans="1:5" ht="18.75">
      <c r="A25" s="272" t="s">
        <v>1255</v>
      </c>
      <c r="B25" s="97" t="s">
        <v>590</v>
      </c>
      <c r="C25" s="275"/>
      <c r="D25" s="44"/>
      <c r="E25" s="34"/>
    </row>
    <row r="26" spans="1:5" ht="18.75">
      <c r="A26" s="559" t="s">
        <v>1256</v>
      </c>
      <c r="B26" s="97" t="s">
        <v>1251</v>
      </c>
      <c r="C26" s="275"/>
      <c r="D26" s="44"/>
      <c r="E26" s="34"/>
    </row>
    <row r="27" spans="1:5" ht="18.75">
      <c r="A27" s="276" t="s">
        <v>1252</v>
      </c>
      <c r="B27" s="255" t="s">
        <v>4</v>
      </c>
      <c r="C27" s="378"/>
      <c r="D27" s="34"/>
      <c r="E27" s="34"/>
    </row>
    <row r="28" spans="1:5" ht="19.5" thickBot="1">
      <c r="A28" s="462" t="s">
        <v>1257</v>
      </c>
      <c r="B28" s="255" t="s">
        <v>635</v>
      </c>
      <c r="C28" s="378"/>
      <c r="D28" s="34"/>
      <c r="E28" s="34"/>
    </row>
    <row r="29" spans="1:5" ht="19.5" thickBot="1">
      <c r="A29" s="582" t="s">
        <v>1258</v>
      </c>
      <c r="B29" s="583" t="s">
        <v>69</v>
      </c>
      <c r="C29" s="378">
        <f>SUM(C25:C28)</f>
        <v>0</v>
      </c>
      <c r="D29" s="378">
        <f>SUM(D25:D28)</f>
        <v>0</v>
      </c>
      <c r="E29" s="378">
        <f>SUM(E25:E28)</f>
        <v>0</v>
      </c>
    </row>
    <row r="30" spans="1:5" ht="19.5" thickBot="1">
      <c r="A30" s="282"/>
      <c r="B30" s="283"/>
      <c r="C30" s="377"/>
      <c r="D30" s="34"/>
      <c r="E30" s="34"/>
    </row>
    <row r="31" spans="1:5" ht="18.75">
      <c r="A31" s="249" t="s">
        <v>1259</v>
      </c>
      <c r="B31" s="291" t="s">
        <v>533</v>
      </c>
      <c r="C31" s="377"/>
      <c r="D31" s="34"/>
      <c r="E31" s="34"/>
    </row>
    <row r="32" spans="1:5" ht="18.75">
      <c r="A32" s="253" t="s">
        <v>1260</v>
      </c>
      <c r="B32" s="254" t="s">
        <v>534</v>
      </c>
      <c r="C32" s="377"/>
      <c r="D32" s="41"/>
      <c r="E32" s="34"/>
    </row>
    <row r="33" spans="1:5" ht="18.75">
      <c r="A33" s="253" t="s">
        <v>1262</v>
      </c>
      <c r="B33" s="254" t="s">
        <v>1261</v>
      </c>
      <c r="C33" s="377"/>
      <c r="D33" s="41"/>
      <c r="E33" s="34"/>
    </row>
    <row r="34" spans="1:5" ht="18.75">
      <c r="A34" s="253" t="s">
        <v>1263</v>
      </c>
      <c r="B34" s="254" t="s">
        <v>124</v>
      </c>
      <c r="C34" s="377"/>
      <c r="D34" s="41"/>
      <c r="E34" s="34"/>
    </row>
    <row r="35" spans="1:5" ht="18.75">
      <c r="A35" s="253" t="s">
        <v>1264</v>
      </c>
      <c r="B35" s="254" t="s">
        <v>1265</v>
      </c>
      <c r="C35" s="570"/>
      <c r="D35" s="41"/>
      <c r="E35" s="34"/>
    </row>
    <row r="36" spans="1:5" ht="18.75">
      <c r="A36" s="253" t="s">
        <v>1335</v>
      </c>
      <c r="B36" s="562" t="s">
        <v>548</v>
      </c>
      <c r="C36" s="570">
        <f>SUM(C31:C35)</f>
        <v>0</v>
      </c>
      <c r="D36" s="570">
        <f>SUM(D31:D35)</f>
        <v>0</v>
      </c>
      <c r="E36" s="570">
        <f>SUM(E31:E35)</f>
        <v>0</v>
      </c>
    </row>
    <row r="37" spans="1:5" ht="18.75">
      <c r="A37" s="253" t="s">
        <v>1342</v>
      </c>
      <c r="B37" s="254" t="s">
        <v>1343</v>
      </c>
      <c r="C37" s="570"/>
      <c r="D37" s="570"/>
      <c r="E37" s="570"/>
    </row>
    <row r="38" spans="1:5" ht="18.75">
      <c r="A38" s="253" t="s">
        <v>1344</v>
      </c>
      <c r="B38" s="254" t="s">
        <v>1267</v>
      </c>
      <c r="C38" s="570"/>
      <c r="D38" s="34"/>
      <c r="E38" s="34"/>
    </row>
    <row r="39" spans="1:5" ht="18.75">
      <c r="A39" s="253" t="s">
        <v>1345</v>
      </c>
      <c r="B39" s="254" t="s">
        <v>88</v>
      </c>
      <c r="C39" s="570"/>
      <c r="D39" s="34"/>
      <c r="E39" s="34"/>
    </row>
    <row r="40" spans="1:5" ht="18.75">
      <c r="A40" s="253" t="s">
        <v>1346</v>
      </c>
      <c r="B40" s="254" t="s">
        <v>1268</v>
      </c>
      <c r="C40" s="377"/>
      <c r="D40" s="34"/>
      <c r="E40" s="34"/>
    </row>
    <row r="41" spans="1:5" ht="19.5" thickBot="1">
      <c r="A41" s="288" t="s">
        <v>1347</v>
      </c>
      <c r="B41" s="289" t="s">
        <v>1269</v>
      </c>
      <c r="C41" s="377"/>
      <c r="D41" s="34"/>
      <c r="E41" s="34"/>
    </row>
    <row r="42" spans="1:5" ht="17.25" customHeight="1" thickBot="1">
      <c r="A42" s="268" t="s">
        <v>1266</v>
      </c>
      <c r="B42" s="571" t="s">
        <v>1270</v>
      </c>
      <c r="C42" s="377">
        <f>SUM(C37:C41)</f>
        <v>0</v>
      </c>
      <c r="D42" s="377">
        <f>SUM(D38:D41)</f>
        <v>0</v>
      </c>
      <c r="E42" s="377">
        <f>SUM(E38:E41)</f>
        <v>0</v>
      </c>
    </row>
    <row r="43" spans="1:5" ht="22.5" customHeight="1" thickBot="1">
      <c r="A43" s="572" t="s">
        <v>1300</v>
      </c>
      <c r="B43" s="573" t="s">
        <v>595</v>
      </c>
      <c r="C43" s="574">
        <f>SUM(C42,C36)</f>
        <v>0</v>
      </c>
      <c r="D43" s="574">
        <f>SUM(D42,D36)</f>
        <v>0</v>
      </c>
      <c r="E43" s="574">
        <f>SUM(E42,E36)</f>
        <v>0</v>
      </c>
    </row>
    <row r="44" spans="1:5" ht="18.75">
      <c r="A44" s="249" t="s">
        <v>1271</v>
      </c>
      <c r="B44" s="291" t="s">
        <v>1348</v>
      </c>
      <c r="C44" s="377"/>
      <c r="D44" s="34"/>
      <c r="E44" s="34"/>
    </row>
    <row r="45" spans="1:5" ht="18.75">
      <c r="A45" s="494" t="s">
        <v>1350</v>
      </c>
      <c r="B45" s="590" t="s">
        <v>1351</v>
      </c>
      <c r="C45" s="377"/>
      <c r="D45" s="34"/>
      <c r="E45" s="34"/>
    </row>
    <row r="46" spans="1:5" ht="18.75">
      <c r="A46" s="253" t="s">
        <v>1272</v>
      </c>
      <c r="B46" s="254" t="s">
        <v>1349</v>
      </c>
      <c r="C46" s="295"/>
      <c r="D46" s="566"/>
      <c r="E46" s="34"/>
    </row>
    <row r="47" spans="1:5" ht="18.75">
      <c r="A47" s="575" t="s">
        <v>1301</v>
      </c>
      <c r="B47" s="576" t="s">
        <v>1366</v>
      </c>
      <c r="C47" s="577">
        <f>SUM(C44:C46)</f>
        <v>0</v>
      </c>
      <c r="D47" s="577">
        <f>SUM(D44:D46)</f>
        <v>0</v>
      </c>
      <c r="E47" s="577">
        <f>SUM(E44:E46)</f>
        <v>0</v>
      </c>
    </row>
    <row r="48" spans="1:5" ht="18.75">
      <c r="A48" s="253" t="s">
        <v>1275</v>
      </c>
      <c r="B48" s="254" t="s">
        <v>544</v>
      </c>
      <c r="C48" s="295">
        <v>13000</v>
      </c>
      <c r="D48" s="566">
        <v>10000</v>
      </c>
      <c r="E48" s="34">
        <v>13000</v>
      </c>
    </row>
    <row r="49" spans="1:5" ht="18.75">
      <c r="A49" s="253" t="s">
        <v>1274</v>
      </c>
      <c r="B49" s="254" t="s">
        <v>543</v>
      </c>
      <c r="C49" s="295"/>
      <c r="D49" s="34"/>
      <c r="E49" s="34"/>
    </row>
    <row r="50" spans="1:5" ht="18.75">
      <c r="A50" s="253" t="s">
        <v>1276</v>
      </c>
      <c r="B50" s="254" t="s">
        <v>503</v>
      </c>
      <c r="C50" s="295"/>
      <c r="D50" s="34"/>
      <c r="E50" s="34"/>
    </row>
    <row r="51" spans="1:5" ht="18.75">
      <c r="A51" s="575" t="s">
        <v>1273</v>
      </c>
      <c r="B51" s="576" t="s">
        <v>1277</v>
      </c>
      <c r="C51" s="577">
        <f>SUM(C48:C50)</f>
        <v>13000</v>
      </c>
      <c r="D51" s="577">
        <f>SUM(D48:D50)</f>
        <v>10000</v>
      </c>
      <c r="E51" s="577">
        <f>SUM(E48:E50)</f>
        <v>13000</v>
      </c>
    </row>
    <row r="52" spans="1:5" ht="18.75">
      <c r="A52" s="253" t="s">
        <v>1332</v>
      </c>
      <c r="B52" s="254" t="s">
        <v>1278</v>
      </c>
      <c r="C52" s="295"/>
      <c r="D52" s="34"/>
      <c r="E52" s="34"/>
    </row>
    <row r="53" spans="1:5" ht="18.75">
      <c r="A53" s="253" t="s">
        <v>1280</v>
      </c>
      <c r="B53" s="254" t="s">
        <v>26</v>
      </c>
      <c r="C53" s="295"/>
      <c r="D53" s="41"/>
      <c r="E53" s="34"/>
    </row>
    <row r="54" spans="1:5" ht="18.75">
      <c r="A54" s="253" t="s">
        <v>1281</v>
      </c>
      <c r="B54" s="254" t="s">
        <v>1454</v>
      </c>
      <c r="C54" s="384">
        <v>1000</v>
      </c>
      <c r="D54" s="34"/>
      <c r="E54" s="34">
        <v>623</v>
      </c>
    </row>
    <row r="55" spans="1:5" ht="18.75">
      <c r="A55" s="575" t="s">
        <v>1283</v>
      </c>
      <c r="B55" s="576" t="s">
        <v>1282</v>
      </c>
      <c r="C55" s="574">
        <f>SUM(C53:C54)</f>
        <v>1000</v>
      </c>
      <c r="D55" s="574">
        <f>SUM(D53:D54)</f>
        <v>0</v>
      </c>
      <c r="E55" s="574">
        <f>SUM(E53:E54)</f>
        <v>623</v>
      </c>
    </row>
    <row r="56" spans="1:5" ht="18.75">
      <c r="A56" s="575" t="s">
        <v>1284</v>
      </c>
      <c r="B56" s="588" t="s">
        <v>1333</v>
      </c>
      <c r="C56" s="589"/>
      <c r="D56" s="589"/>
      <c r="E56" s="589"/>
    </row>
    <row r="57" spans="1:5" ht="18.75">
      <c r="A57" s="288"/>
      <c r="B57" s="554" t="s">
        <v>943</v>
      </c>
      <c r="C57" s="554"/>
      <c r="D57" s="554"/>
      <c r="E57" s="554"/>
    </row>
    <row r="58" spans="1:5" ht="18.75">
      <c r="A58" s="288" t="s">
        <v>1353</v>
      </c>
      <c r="B58" s="554" t="s">
        <v>547</v>
      </c>
      <c r="C58" s="554"/>
      <c r="D58" s="554"/>
      <c r="E58" s="554"/>
    </row>
    <row r="59" spans="1:5" ht="18.75">
      <c r="A59" s="288" t="s">
        <v>1354</v>
      </c>
      <c r="B59" s="554" t="s">
        <v>1355</v>
      </c>
      <c r="C59" s="554"/>
      <c r="D59" s="554"/>
      <c r="E59" s="554"/>
    </row>
    <row r="60" spans="1:5" ht="27" customHeight="1">
      <c r="A60" s="561" t="s">
        <v>1285</v>
      </c>
      <c r="B60" s="552" t="s">
        <v>945</v>
      </c>
      <c r="C60" s="591">
        <f>SUM(C58:C59)</f>
        <v>0</v>
      </c>
      <c r="D60" s="591">
        <f>SUM(D58:D59)</f>
        <v>0</v>
      </c>
      <c r="E60" s="591">
        <f>SUM(E58:E59)</f>
        <v>0</v>
      </c>
    </row>
    <row r="61" spans="1:5" ht="23.25" customHeight="1">
      <c r="A61" s="462" t="s">
        <v>1356</v>
      </c>
      <c r="B61" s="553" t="s">
        <v>1362</v>
      </c>
      <c r="C61" s="591"/>
      <c r="D61" s="591"/>
      <c r="E61" s="591"/>
    </row>
    <row r="62" spans="1:5" ht="23.25" customHeight="1">
      <c r="A62" s="462" t="s">
        <v>1357</v>
      </c>
      <c r="B62" s="553" t="s">
        <v>1358</v>
      </c>
      <c r="C62" s="591"/>
      <c r="D62" s="591"/>
      <c r="E62" s="591"/>
    </row>
    <row r="63" spans="1:5" ht="23.25" customHeight="1">
      <c r="A63" s="462" t="s">
        <v>1359</v>
      </c>
      <c r="B63" s="553" t="s">
        <v>9</v>
      </c>
      <c r="C63" s="591"/>
      <c r="D63" s="591"/>
      <c r="E63" s="591"/>
    </row>
    <row r="64" spans="1:6" ht="23.25" customHeight="1" thickBot="1">
      <c r="A64" s="462" t="s">
        <v>1360</v>
      </c>
      <c r="B64" s="553" t="s">
        <v>1361</v>
      </c>
      <c r="C64" s="591"/>
      <c r="D64" s="591"/>
      <c r="E64" s="591"/>
      <c r="F64" s="21" t="s">
        <v>1368</v>
      </c>
    </row>
    <row r="65" spans="1:5" ht="17.25" customHeight="1" thickBot="1">
      <c r="A65" s="298" t="s">
        <v>1286</v>
      </c>
      <c r="B65" s="552" t="s">
        <v>948</v>
      </c>
      <c r="C65" s="591">
        <f>SUM(C61:C64)</f>
        <v>0</v>
      </c>
      <c r="D65" s="591">
        <f>SUM(D61:D64)</f>
        <v>0</v>
      </c>
      <c r="E65" s="591">
        <f>SUM(E61:E64)</f>
        <v>0</v>
      </c>
    </row>
    <row r="66" spans="1:5" ht="25.5" customHeight="1">
      <c r="A66" s="578" t="s">
        <v>1279</v>
      </c>
      <c r="B66" s="579" t="s">
        <v>1287</v>
      </c>
      <c r="C66" s="603">
        <f>SUM(C65+C60+C56+C55+C51)</f>
        <v>14000</v>
      </c>
      <c r="D66" s="603">
        <f>SUM(D65+D60+D56+D55+D51)</f>
        <v>10000</v>
      </c>
      <c r="E66" s="603">
        <f>SUM(E65+E60+E56+E55+E51)</f>
        <v>13623</v>
      </c>
    </row>
    <row r="67" spans="1:5" ht="18.75">
      <c r="A67" s="253" t="s">
        <v>1288</v>
      </c>
      <c r="B67" s="553" t="s">
        <v>952</v>
      </c>
      <c r="C67" s="553"/>
      <c r="D67" s="553"/>
      <c r="E67" s="553"/>
    </row>
    <row r="68" spans="1:5" ht="18.75">
      <c r="A68" s="253" t="s">
        <v>1289</v>
      </c>
      <c r="B68" s="553" t="s">
        <v>954</v>
      </c>
      <c r="C68" s="553"/>
      <c r="D68" s="553"/>
      <c r="E68" s="553"/>
    </row>
    <row r="69" spans="1:5" ht="24" customHeight="1">
      <c r="A69" s="575" t="s">
        <v>1291</v>
      </c>
      <c r="B69" s="579" t="s">
        <v>1290</v>
      </c>
      <c r="C69" s="579">
        <f>SUM(C67:C68)</f>
        <v>0</v>
      </c>
      <c r="D69" s="579">
        <f>SUM(D67:D68)</f>
        <v>0</v>
      </c>
      <c r="E69" s="579">
        <f>SUM(E67:E68)</f>
        <v>0</v>
      </c>
    </row>
    <row r="70" spans="1:7" ht="26.25" customHeight="1" thickBot="1">
      <c r="A70" s="561" t="s">
        <v>1294</v>
      </c>
      <c r="B70" s="552" t="s">
        <v>958</v>
      </c>
      <c r="C70" s="552"/>
      <c r="D70" s="552"/>
      <c r="E70" s="552"/>
      <c r="F70" s="597">
        <f>E43+E47+E51+E55+E56+E60+E65+E69</f>
        <v>13623</v>
      </c>
      <c r="G70" s="21">
        <f>F70*27%</f>
        <v>3678.21</v>
      </c>
    </row>
    <row r="71" spans="1:5" ht="27" customHeight="1" thickBot="1">
      <c r="A71" s="268" t="s">
        <v>1295</v>
      </c>
      <c r="B71" s="552" t="s">
        <v>960</v>
      </c>
      <c r="C71" s="552"/>
      <c r="D71" s="552"/>
      <c r="E71" s="598">
        <v>3679</v>
      </c>
    </row>
    <row r="72" spans="1:5" ht="19.5" thickBot="1">
      <c r="A72" s="210" t="s">
        <v>1296</v>
      </c>
      <c r="B72" s="552" t="s">
        <v>1293</v>
      </c>
      <c r="C72" s="552"/>
      <c r="D72" s="552"/>
      <c r="E72" s="552"/>
    </row>
    <row r="73" spans="1:5" ht="24.75" customHeight="1">
      <c r="A73" s="593" t="s">
        <v>1298</v>
      </c>
      <c r="B73" s="594" t="s">
        <v>1363</v>
      </c>
      <c r="C73" s="594"/>
      <c r="D73" s="552"/>
      <c r="E73" s="552"/>
    </row>
    <row r="74" spans="1:6" ht="24.75" customHeight="1">
      <c r="A74" s="592" t="s">
        <v>1364</v>
      </c>
      <c r="B74" s="563" t="s">
        <v>1365</v>
      </c>
      <c r="C74" s="563"/>
      <c r="D74" s="553"/>
      <c r="E74" s="553"/>
      <c r="F74" s="21" t="s">
        <v>1369</v>
      </c>
    </row>
    <row r="75" spans="1:5" ht="24.75" customHeight="1">
      <c r="A75" s="592" t="s">
        <v>1370</v>
      </c>
      <c r="B75" s="563" t="s">
        <v>1367</v>
      </c>
      <c r="C75" s="563"/>
      <c r="D75" s="553"/>
      <c r="E75" s="553"/>
    </row>
    <row r="76" spans="1:5" ht="18.75">
      <c r="A76" s="98" t="s">
        <v>1297</v>
      </c>
      <c r="B76" s="552" t="s">
        <v>970</v>
      </c>
      <c r="C76" s="552">
        <f>SUM(C74:C75)</f>
        <v>0</v>
      </c>
      <c r="D76" s="552">
        <f>SUM(D74:D75)</f>
        <v>0</v>
      </c>
      <c r="E76" s="552">
        <f>SUM(E74:E75)</f>
        <v>0</v>
      </c>
    </row>
    <row r="77" spans="1:5" ht="24.75" customHeight="1">
      <c r="A77" s="580" t="s">
        <v>1292</v>
      </c>
      <c r="B77" s="579" t="s">
        <v>1334</v>
      </c>
      <c r="C77" s="579">
        <f>C76+C73+C72+C71+C70</f>
        <v>0</v>
      </c>
      <c r="D77" s="579">
        <f>D76+D73+D72+D71+D70</f>
        <v>0</v>
      </c>
      <c r="E77" s="599">
        <f>E76+E73+E72+E71+E70</f>
        <v>3679</v>
      </c>
    </row>
    <row r="78" spans="1:10" ht="24.75" customHeight="1">
      <c r="A78" s="587" t="s">
        <v>1299</v>
      </c>
      <c r="B78" s="585" t="s">
        <v>70</v>
      </c>
      <c r="C78" s="579">
        <f>SUM(C77+C69+C66+C47+C43)</f>
        <v>14000</v>
      </c>
      <c r="D78" s="579">
        <f>SUM(D77+D69+D66+D47+D43)</f>
        <v>10000</v>
      </c>
      <c r="E78" s="599">
        <f>SUM(E77+E69+E66+E47+E43)</f>
        <v>17302</v>
      </c>
      <c r="F78" s="560"/>
      <c r="G78" s="560"/>
      <c r="H78" s="560"/>
      <c r="I78" s="560"/>
      <c r="J78" s="560"/>
    </row>
    <row r="79" spans="1:10" ht="24.75" customHeight="1">
      <c r="A79" s="98" t="s">
        <v>1307</v>
      </c>
      <c r="B79" s="553" t="s">
        <v>1302</v>
      </c>
      <c r="C79" s="552"/>
      <c r="D79" s="552"/>
      <c r="E79" s="552"/>
      <c r="F79" s="560"/>
      <c r="G79" s="560"/>
      <c r="H79" s="560"/>
      <c r="I79" s="560"/>
      <c r="J79" s="560"/>
    </row>
    <row r="80" spans="1:10" ht="24.75" customHeight="1">
      <c r="A80" s="98" t="s">
        <v>1306</v>
      </c>
      <c r="B80" s="553" t="s">
        <v>1308</v>
      </c>
      <c r="C80" s="552"/>
      <c r="D80" s="552"/>
      <c r="E80" s="552"/>
      <c r="F80" s="560"/>
      <c r="G80" s="560"/>
      <c r="H80" s="560"/>
      <c r="I80" s="560"/>
      <c r="J80" s="560"/>
    </row>
    <row r="81" spans="1:10" ht="24.75" customHeight="1">
      <c r="A81" s="98"/>
      <c r="B81" s="97" t="s">
        <v>1304</v>
      </c>
      <c r="C81" s="552"/>
      <c r="D81" s="552"/>
      <c r="E81" s="552"/>
      <c r="F81" s="560"/>
      <c r="G81" s="560"/>
      <c r="H81" s="560"/>
      <c r="I81" s="560"/>
      <c r="J81" s="560"/>
    </row>
    <row r="82" spans="1:5" ht="18.75">
      <c r="A82" s="98"/>
      <c r="B82" s="97" t="s">
        <v>1303</v>
      </c>
      <c r="C82" s="377"/>
      <c r="D82" s="34"/>
      <c r="E82" s="34"/>
    </row>
    <row r="83" spans="1:5" ht="18.75">
      <c r="A83" s="98"/>
      <c r="B83" s="567" t="s">
        <v>1305</v>
      </c>
      <c r="C83" s="377"/>
      <c r="D83" s="34"/>
      <c r="E83" s="34"/>
    </row>
    <row r="84" spans="1:5" ht="25.5">
      <c r="A84" s="580" t="s">
        <v>1341</v>
      </c>
      <c r="B84" s="579" t="s">
        <v>1337</v>
      </c>
      <c r="C84" s="377">
        <f>SUM(C80:C83)</f>
        <v>0</v>
      </c>
      <c r="D84" s="377">
        <f>SUM(D80:D83)</f>
        <v>0</v>
      </c>
      <c r="E84" s="377">
        <f>SUM(E80:E83)</f>
        <v>0</v>
      </c>
    </row>
    <row r="85" spans="1:5" s="564" customFormat="1" ht="18.75">
      <c r="A85" s="587" t="s">
        <v>1336</v>
      </c>
      <c r="B85" s="587" t="s">
        <v>1340</v>
      </c>
      <c r="C85" s="574">
        <f>SUM(C79+C84)</f>
        <v>0</v>
      </c>
      <c r="D85" s="574">
        <f>SUM(D79+D84)</f>
        <v>0</v>
      </c>
      <c r="E85" s="574">
        <f>SUM(E79+E84)</f>
        <v>0</v>
      </c>
    </row>
    <row r="86" spans="1:5" ht="18.75">
      <c r="A86" s="97" t="s">
        <v>1309</v>
      </c>
      <c r="B86" s="553" t="s">
        <v>1113</v>
      </c>
      <c r="C86" s="553"/>
      <c r="D86" s="553"/>
      <c r="E86" s="553"/>
    </row>
    <row r="87" spans="1:5" s="382" customFormat="1" ht="15">
      <c r="A87" s="97" t="s">
        <v>1310</v>
      </c>
      <c r="B87" s="553" t="s">
        <v>1371</v>
      </c>
      <c r="C87" s="553"/>
      <c r="D87" s="553"/>
      <c r="E87" s="553"/>
    </row>
    <row r="88" spans="1:5" ht="18.75">
      <c r="A88" s="172" t="s">
        <v>1311</v>
      </c>
      <c r="B88" s="553" t="s">
        <v>1117</v>
      </c>
      <c r="C88" s="553"/>
      <c r="D88" s="553"/>
      <c r="E88" s="553"/>
    </row>
    <row r="89" spans="1:5" ht="24" customHeight="1">
      <c r="A89" s="172" t="s">
        <v>1312</v>
      </c>
      <c r="B89" s="553" t="s">
        <v>1118</v>
      </c>
      <c r="C89" s="553"/>
      <c r="D89" s="553"/>
      <c r="E89" s="553"/>
    </row>
    <row r="90" spans="1:5" ht="26.25" customHeight="1">
      <c r="A90" s="172" t="s">
        <v>1313</v>
      </c>
      <c r="B90" s="553" t="s">
        <v>1120</v>
      </c>
      <c r="C90" s="553"/>
      <c r="D90" s="553"/>
      <c r="E90" s="553"/>
    </row>
    <row r="91" spans="1:5" ht="25.5" customHeight="1">
      <c r="A91" s="172" t="s">
        <v>1314</v>
      </c>
      <c r="B91" s="553" t="s">
        <v>1126</v>
      </c>
      <c r="C91" s="553"/>
      <c r="D91" s="553"/>
      <c r="E91" s="553"/>
    </row>
    <row r="92" spans="1:5" ht="18.75">
      <c r="A92" s="584" t="s">
        <v>1315</v>
      </c>
      <c r="B92" s="585" t="s">
        <v>1339</v>
      </c>
      <c r="C92" s="552">
        <f>SUM(C86:C91)</f>
        <v>0</v>
      </c>
      <c r="D92" s="552">
        <f>SUM(D86:D91)</f>
        <v>0</v>
      </c>
      <c r="E92" s="552">
        <f>SUM(E86:E91)</f>
        <v>0</v>
      </c>
    </row>
    <row r="93" spans="1:5" ht="18.75">
      <c r="A93" s="172" t="s">
        <v>1316</v>
      </c>
      <c r="B93" s="553" t="s">
        <v>1130</v>
      </c>
      <c r="C93" s="553"/>
      <c r="D93" s="553"/>
      <c r="E93" s="553"/>
    </row>
    <row r="94" spans="1:5" ht="18.75">
      <c r="A94" s="172" t="s">
        <v>1317</v>
      </c>
      <c r="B94" s="553" t="s">
        <v>1132</v>
      </c>
      <c r="C94" s="553"/>
      <c r="D94" s="553"/>
      <c r="E94" s="553"/>
    </row>
    <row r="95" spans="1:5" ht="18.75">
      <c r="A95" s="172" t="s">
        <v>1318</v>
      </c>
      <c r="B95" s="553" t="s">
        <v>1134</v>
      </c>
      <c r="C95" s="553"/>
      <c r="D95" s="553"/>
      <c r="E95" s="553"/>
    </row>
    <row r="96" spans="1:5" ht="24" customHeight="1">
      <c r="A96" s="172" t="s">
        <v>1319</v>
      </c>
      <c r="B96" s="553" t="s">
        <v>1136</v>
      </c>
      <c r="C96" s="553"/>
      <c r="D96" s="553"/>
      <c r="E96" s="553"/>
    </row>
    <row r="97" spans="1:5" ht="18.75">
      <c r="A97" s="584" t="s">
        <v>1320</v>
      </c>
      <c r="B97" s="585" t="s">
        <v>1338</v>
      </c>
      <c r="C97" s="552">
        <f>SUM(C93:C96)</f>
        <v>0</v>
      </c>
      <c r="D97" s="552">
        <f>SUM(D93:D96)</f>
        <v>0</v>
      </c>
      <c r="E97" s="552">
        <f>SUM(E93:E96)</f>
        <v>0</v>
      </c>
    </row>
    <row r="98" spans="1:5" ht="25.5" customHeight="1">
      <c r="A98" s="172" t="s">
        <v>1323</v>
      </c>
      <c r="B98" s="555" t="s">
        <v>1325</v>
      </c>
      <c r="C98" s="555"/>
      <c r="D98" s="555"/>
      <c r="E98" s="555"/>
    </row>
    <row r="99" spans="1:5" ht="27" customHeight="1">
      <c r="A99" s="457" t="s">
        <v>1322</v>
      </c>
      <c r="B99" s="553" t="s">
        <v>1321</v>
      </c>
      <c r="C99" s="553"/>
      <c r="D99" s="553"/>
      <c r="E99" s="553"/>
    </row>
    <row r="100" spans="1:5" ht="18.75">
      <c r="A100" s="584" t="s">
        <v>1326</v>
      </c>
      <c r="B100" s="586" t="s">
        <v>1324</v>
      </c>
      <c r="C100" s="295">
        <f>SUM(C98:C99)</f>
        <v>0</v>
      </c>
      <c r="D100" s="295">
        <f>SUM(D98:D99)</f>
        <v>0</v>
      </c>
      <c r="E100" s="295">
        <f>SUM(E98:E99)</f>
        <v>0</v>
      </c>
    </row>
    <row r="101" spans="1:5" ht="18.75">
      <c r="A101" s="34"/>
      <c r="B101" s="36" t="s">
        <v>118</v>
      </c>
      <c r="C101" s="581">
        <f>SUM(C100+C97+C92+C85+C78+C29+C23)</f>
        <v>14000</v>
      </c>
      <c r="D101" s="581">
        <f>SUM(D100+D97+D92+D85+D78+D29+D23)</f>
        <v>10000</v>
      </c>
      <c r="E101" s="581">
        <f>SUM(E100+E97+E92+E85+E78+E29+E23)</f>
        <v>17302</v>
      </c>
    </row>
  </sheetData>
  <sheetProtection/>
  <mergeCells count="1">
    <mergeCell ref="A2:E2"/>
  </mergeCells>
  <printOptions/>
  <pageMargins left="0.7" right="0.7" top="0.75" bottom="0.75" header="0.3" footer="0.3"/>
  <pageSetup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50"/>
  </sheetPr>
  <dimension ref="A1:M66"/>
  <sheetViews>
    <sheetView view="pageBreakPreview" zoomScale="60" zoomScalePageLayoutView="0" workbookViewId="0" topLeftCell="A1">
      <pane xSplit="2" ySplit="2" topLeftCell="C3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48" sqref="I48:M48"/>
    </sheetView>
  </sheetViews>
  <sheetFormatPr defaultColWidth="8.66015625" defaultRowHeight="18"/>
  <cols>
    <col min="1" max="1" width="9" style="93" bestFit="1" customWidth="1"/>
    <col min="2" max="2" width="46" style="93" customWidth="1"/>
    <col min="3" max="3" width="7.58203125" style="11" customWidth="1"/>
    <col min="4" max="4" width="8.25" style="93" customWidth="1"/>
    <col min="5" max="5" width="7.66015625" style="11" customWidth="1"/>
    <col min="6" max="6" width="8.91015625" style="93" customWidth="1"/>
    <col min="7" max="7" width="8.58203125" style="93" customWidth="1"/>
    <col min="8" max="8" width="10.75" style="93" customWidth="1"/>
    <col min="9" max="16384" width="8.91015625" style="93" customWidth="1"/>
  </cols>
  <sheetData>
    <row r="1" spans="1:8" ht="53.25" customHeight="1">
      <c r="A1" s="12">
        <v>841403</v>
      </c>
      <c r="B1" s="14" t="s">
        <v>57</v>
      </c>
      <c r="C1" s="25" t="s">
        <v>262</v>
      </c>
      <c r="D1" s="25" t="s">
        <v>282</v>
      </c>
      <c r="E1" s="328" t="s">
        <v>614</v>
      </c>
      <c r="F1" s="25" t="s">
        <v>626</v>
      </c>
      <c r="G1" s="25" t="s">
        <v>616</v>
      </c>
      <c r="H1" s="38"/>
    </row>
    <row r="2" spans="1:8" s="100" customFormat="1" ht="30.75">
      <c r="A2" s="13"/>
      <c r="B2" s="335"/>
      <c r="C2" s="109" t="s">
        <v>188</v>
      </c>
      <c r="D2" s="133"/>
      <c r="E2" s="449"/>
      <c r="F2" s="130" t="s">
        <v>199</v>
      </c>
      <c r="G2" s="108"/>
      <c r="H2" s="451"/>
    </row>
    <row r="3" spans="1:8" s="101" customFormat="1" ht="31.5" customHeight="1">
      <c r="A3" s="25">
        <v>1263</v>
      </c>
      <c r="B3" s="335"/>
      <c r="C3" s="25"/>
      <c r="D3" s="25"/>
      <c r="E3" s="122"/>
      <c r="F3" s="25"/>
      <c r="G3" s="25"/>
      <c r="H3" s="452"/>
    </row>
    <row r="4" spans="1:8" s="101" customFormat="1" ht="15" customHeight="1">
      <c r="A4" s="25"/>
      <c r="B4" s="335"/>
      <c r="C4" s="25"/>
      <c r="D4" s="25"/>
      <c r="E4" s="122"/>
      <c r="F4" s="25"/>
      <c r="G4" s="25"/>
      <c r="H4" s="452"/>
    </row>
    <row r="5" spans="1:8" s="101" customFormat="1" ht="15" customHeight="1">
      <c r="A5" s="25">
        <v>1263</v>
      </c>
      <c r="B5" s="122" t="s">
        <v>572</v>
      </c>
      <c r="C5" s="25"/>
      <c r="D5" s="25"/>
      <c r="E5" s="122">
        <v>3937</v>
      </c>
      <c r="F5" s="25"/>
      <c r="G5" s="25"/>
      <c r="H5" s="452"/>
    </row>
    <row r="6" spans="1:8" s="101" customFormat="1" ht="15" customHeight="1">
      <c r="A6" s="25"/>
      <c r="B6" s="13" t="s">
        <v>573</v>
      </c>
      <c r="C6" s="25"/>
      <c r="D6" s="25"/>
      <c r="E6" s="122">
        <v>1574</v>
      </c>
      <c r="F6" s="25"/>
      <c r="G6" s="25">
        <v>1575</v>
      </c>
      <c r="H6" s="452"/>
    </row>
    <row r="7" spans="1:9" s="101" customFormat="1" ht="15" customHeight="1">
      <c r="A7" s="25"/>
      <c r="C7" s="25"/>
      <c r="D7" s="25"/>
      <c r="E7" s="122"/>
      <c r="F7" s="25"/>
      <c r="G7" s="25">
        <v>32000</v>
      </c>
      <c r="H7" s="452"/>
      <c r="I7" s="13" t="s">
        <v>796</v>
      </c>
    </row>
    <row r="8" spans="1:12" s="101" customFormat="1" ht="15" customHeight="1">
      <c r="A8" s="25"/>
      <c r="B8" s="13" t="s">
        <v>781</v>
      </c>
      <c r="C8" s="25"/>
      <c r="D8" s="25"/>
      <c r="E8" s="122"/>
      <c r="F8" s="25"/>
      <c r="G8" s="25">
        <v>2000</v>
      </c>
      <c r="H8" s="452"/>
      <c r="I8" s="107" t="s">
        <v>782</v>
      </c>
      <c r="J8" s="107"/>
      <c r="K8" s="107"/>
      <c r="L8" s="107"/>
    </row>
    <row r="9" spans="1:8" s="101" customFormat="1" ht="15" customHeight="1">
      <c r="A9" s="25"/>
      <c r="B9" s="13" t="s">
        <v>613</v>
      </c>
      <c r="C9" s="25"/>
      <c r="D9" s="25"/>
      <c r="E9" s="122">
        <v>1226</v>
      </c>
      <c r="F9" s="25"/>
      <c r="G9" s="25"/>
      <c r="H9" s="452"/>
    </row>
    <row r="10" spans="1:8" s="101" customFormat="1" ht="15" customHeight="1">
      <c r="A10" s="25">
        <v>1263</v>
      </c>
      <c r="B10" s="11" t="s">
        <v>327</v>
      </c>
      <c r="C10" s="25"/>
      <c r="D10" s="25">
        <v>5460</v>
      </c>
      <c r="E10" s="122"/>
      <c r="F10" s="25"/>
      <c r="G10" s="25"/>
      <c r="H10" s="452"/>
    </row>
    <row r="11" spans="1:8" ht="15" customHeight="1">
      <c r="A11" s="38"/>
      <c r="B11" s="11" t="s">
        <v>603</v>
      </c>
      <c r="C11" s="25"/>
      <c r="D11" s="25"/>
      <c r="E11" s="122">
        <v>1000</v>
      </c>
      <c r="F11" s="25"/>
      <c r="G11" s="25"/>
      <c r="H11" s="38"/>
    </row>
    <row r="12" spans="1:8" s="101" customFormat="1" ht="15" customHeight="1">
      <c r="A12" s="25"/>
      <c r="B12" s="11" t="s">
        <v>574</v>
      </c>
      <c r="C12" s="25"/>
      <c r="D12" s="25"/>
      <c r="E12" s="122">
        <f>SUM(E5:E11)</f>
        <v>7737</v>
      </c>
      <c r="F12" s="25"/>
      <c r="G12" s="25">
        <f>SUM(G6:G11)</f>
        <v>35575</v>
      </c>
      <c r="H12" s="452"/>
    </row>
    <row r="13" spans="1:8" s="11" customFormat="1" ht="17.25" customHeight="1">
      <c r="A13" s="25"/>
      <c r="B13" s="335" t="s">
        <v>255</v>
      </c>
      <c r="C13" s="30"/>
      <c r="D13" s="30">
        <v>1474</v>
      </c>
      <c r="E13" s="116">
        <f>E12*27%</f>
        <v>2088.9900000000002</v>
      </c>
      <c r="F13" s="25"/>
      <c r="G13" s="25">
        <f>425+8640+540</f>
        <v>9605</v>
      </c>
      <c r="H13" s="25"/>
    </row>
    <row r="14" spans="1:8" s="12" customFormat="1" ht="24" customHeight="1">
      <c r="A14" s="28"/>
      <c r="B14" s="336" t="s">
        <v>557</v>
      </c>
      <c r="C14" s="29"/>
      <c r="D14" s="29">
        <f>SUM(D10:D13)</f>
        <v>6934</v>
      </c>
      <c r="E14" s="333">
        <f>SUM(E12:E13)</f>
        <v>9825.99</v>
      </c>
      <c r="F14" s="333">
        <f>SUM(F12:F13)</f>
        <v>0</v>
      </c>
      <c r="G14" s="333">
        <f>SUM(G12:G13)</f>
        <v>45180</v>
      </c>
      <c r="H14" s="28"/>
    </row>
    <row r="15" spans="1:8" s="101" customFormat="1" ht="24" customHeight="1">
      <c r="A15" s="25"/>
      <c r="B15" s="335"/>
      <c r="C15" s="30"/>
      <c r="D15" s="30"/>
      <c r="E15" s="116"/>
      <c r="F15" s="25"/>
      <c r="G15" s="25"/>
      <c r="H15" s="452"/>
    </row>
    <row r="16" spans="1:8" s="101" customFormat="1" ht="15" customHeight="1">
      <c r="A16" s="25">
        <v>1811</v>
      </c>
      <c r="B16" s="335" t="s">
        <v>290</v>
      </c>
      <c r="C16" s="26"/>
      <c r="D16" s="26">
        <f>D3*25%</f>
        <v>0</v>
      </c>
      <c r="E16" s="199"/>
      <c r="F16" s="25"/>
      <c r="G16" s="25"/>
      <c r="H16" s="452"/>
    </row>
    <row r="17" spans="1:8" s="102" customFormat="1" ht="15" customHeight="1">
      <c r="A17" s="28"/>
      <c r="B17" s="336" t="s">
        <v>289</v>
      </c>
      <c r="C17" s="27"/>
      <c r="D17" s="27">
        <v>5120</v>
      </c>
      <c r="E17" s="355"/>
      <c r="F17" s="28"/>
      <c r="G17" s="28"/>
      <c r="H17" s="453"/>
    </row>
    <row r="18" spans="1:11" s="102" customFormat="1" ht="15" customHeight="1">
      <c r="A18" s="28"/>
      <c r="B18" s="336"/>
      <c r="C18" s="27"/>
      <c r="D18" s="27"/>
      <c r="E18" s="355"/>
      <c r="F18" s="28"/>
      <c r="G18" s="28">
        <v>361</v>
      </c>
      <c r="H18" s="28" t="s">
        <v>817</v>
      </c>
      <c r="I18" s="12"/>
      <c r="J18" s="12"/>
      <c r="K18" s="12"/>
    </row>
    <row r="19" spans="1:8" s="107" customFormat="1" ht="15" customHeight="1">
      <c r="A19" s="25"/>
      <c r="B19" s="335" t="s">
        <v>760</v>
      </c>
      <c r="C19" s="25">
        <v>488</v>
      </c>
      <c r="D19" s="25"/>
      <c r="E19" s="122"/>
      <c r="F19" s="25"/>
      <c r="G19" s="25">
        <f>500</f>
        <v>500</v>
      </c>
      <c r="H19" s="454" t="s">
        <v>790</v>
      </c>
    </row>
    <row r="20" spans="1:8" s="107" customFormat="1" ht="15" customHeight="1">
      <c r="A20" s="25"/>
      <c r="B20" s="335" t="s">
        <v>565</v>
      </c>
      <c r="C20" s="25"/>
      <c r="D20" s="25"/>
      <c r="E20" s="122">
        <f>990+100</f>
        <v>1090</v>
      </c>
      <c r="F20" s="25"/>
      <c r="G20" s="25">
        <f>1969+250</f>
        <v>2219</v>
      </c>
      <c r="H20" s="454" t="s">
        <v>627</v>
      </c>
    </row>
    <row r="21" spans="1:8" s="107" customFormat="1" ht="15" customHeight="1">
      <c r="A21" s="25"/>
      <c r="B21" s="335" t="s">
        <v>585</v>
      </c>
      <c r="C21" s="25"/>
      <c r="D21" s="25"/>
      <c r="E21" s="122">
        <v>5000</v>
      </c>
      <c r="F21" s="25"/>
      <c r="G21" s="25"/>
      <c r="H21" s="454"/>
    </row>
    <row r="22" spans="1:8" ht="15" customHeight="1">
      <c r="A22" s="25"/>
      <c r="B22" s="335" t="s">
        <v>210</v>
      </c>
      <c r="C22" s="25"/>
      <c r="D22" s="25"/>
      <c r="E22" s="122"/>
      <c r="F22" s="25"/>
      <c r="G22" s="25"/>
      <c r="H22" s="38"/>
    </row>
    <row r="23" spans="1:8" ht="15" customHeight="1">
      <c r="A23" s="25"/>
      <c r="B23" s="122" t="s">
        <v>288</v>
      </c>
      <c r="C23" s="25">
        <v>2027</v>
      </c>
      <c r="D23" s="25"/>
      <c r="E23" s="122"/>
      <c r="F23" s="25"/>
      <c r="G23" s="25"/>
      <c r="H23" s="38"/>
    </row>
    <row r="24" spans="1:8" ht="15" customHeight="1">
      <c r="A24" s="25"/>
      <c r="B24" s="122" t="s">
        <v>291</v>
      </c>
      <c r="C24" s="25">
        <v>1114</v>
      </c>
      <c r="D24" s="25"/>
      <c r="E24" s="122"/>
      <c r="F24" s="25"/>
      <c r="G24" s="25"/>
      <c r="H24" s="38"/>
    </row>
    <row r="25" spans="1:8" s="11" customFormat="1" ht="15" customHeight="1">
      <c r="A25" s="25">
        <v>1254</v>
      </c>
      <c r="B25" s="335" t="s">
        <v>292</v>
      </c>
      <c r="C25" s="25">
        <v>1880</v>
      </c>
      <c r="D25" s="25"/>
      <c r="E25" s="122"/>
      <c r="F25" s="25"/>
      <c r="G25" s="25"/>
      <c r="H25" s="25"/>
    </row>
    <row r="26" spans="1:8" ht="15" customHeight="1">
      <c r="A26" s="25"/>
      <c r="B26" s="335" t="s">
        <v>287</v>
      </c>
      <c r="C26" s="25">
        <v>2169</v>
      </c>
      <c r="D26" s="25">
        <v>3051</v>
      </c>
      <c r="E26" s="122"/>
      <c r="F26" s="25"/>
      <c r="G26" s="25"/>
      <c r="H26" s="38"/>
    </row>
    <row r="27" spans="1:8" s="11" customFormat="1" ht="15" customHeight="1">
      <c r="A27" s="25"/>
      <c r="B27" s="335" t="s">
        <v>273</v>
      </c>
      <c r="C27" s="25">
        <v>350</v>
      </c>
      <c r="D27" s="25"/>
      <c r="E27" s="122"/>
      <c r="F27" s="25"/>
      <c r="G27" s="25"/>
      <c r="H27" s="25"/>
    </row>
    <row r="28" spans="1:8" ht="30" customHeight="1">
      <c r="A28" s="25">
        <v>1143</v>
      </c>
      <c r="B28" s="335" t="s">
        <v>183</v>
      </c>
      <c r="C28" s="25">
        <v>880</v>
      </c>
      <c r="D28" s="25">
        <v>180</v>
      </c>
      <c r="E28" s="122"/>
      <c r="F28" s="25"/>
      <c r="G28" s="25"/>
      <c r="H28" s="38"/>
    </row>
    <row r="29" spans="1:8" ht="18.75" customHeight="1">
      <c r="A29" s="25">
        <v>1154</v>
      </c>
      <c r="B29" s="335" t="s">
        <v>266</v>
      </c>
      <c r="C29" s="25">
        <v>9628</v>
      </c>
      <c r="D29" s="25">
        <v>3050</v>
      </c>
      <c r="E29" s="122">
        <v>530</v>
      </c>
      <c r="F29" s="25" t="s">
        <v>582</v>
      </c>
      <c r="G29" s="25"/>
      <c r="H29" s="38"/>
    </row>
    <row r="30" spans="1:8" ht="27" customHeight="1">
      <c r="A30" s="25"/>
      <c r="B30" s="335" t="s">
        <v>170</v>
      </c>
      <c r="C30" s="26">
        <f>SUM(C17:C29)</f>
        <v>18536</v>
      </c>
      <c r="D30" s="26">
        <f>SUM(D16:D29)</f>
        <v>11401</v>
      </c>
      <c r="E30" s="199">
        <f>SUM(E16:E29)</f>
        <v>6620</v>
      </c>
      <c r="F30" s="25"/>
      <c r="G30" s="25">
        <f>SUM(G16:G29)</f>
        <v>3080</v>
      </c>
      <c r="H30" s="38"/>
    </row>
    <row r="31" spans="1:8" ht="15" customHeight="1">
      <c r="A31" s="25">
        <v>18211</v>
      </c>
      <c r="B31" s="335" t="s">
        <v>171</v>
      </c>
      <c r="C31" s="26">
        <f>C30*27%</f>
        <v>5004.72</v>
      </c>
      <c r="D31" s="26">
        <f>D30*27%</f>
        <v>3078.27</v>
      </c>
      <c r="E31" s="199">
        <f>E30*27%</f>
        <v>1787.4</v>
      </c>
      <c r="F31" s="25"/>
      <c r="G31" s="25">
        <f>532+68+135+98</f>
        <v>833</v>
      </c>
      <c r="H31" s="38"/>
    </row>
    <row r="32" spans="1:8" s="102" customFormat="1" ht="15" customHeight="1">
      <c r="A32" s="28"/>
      <c r="B32" s="336" t="s">
        <v>172</v>
      </c>
      <c r="C32" s="27">
        <f>SUM(C30:C31)</f>
        <v>23540.72</v>
      </c>
      <c r="D32" s="27">
        <f>SUM(D30:D31)</f>
        <v>14479.27</v>
      </c>
      <c r="E32" s="355">
        <f>SUM(E30:E31)</f>
        <v>8407.4</v>
      </c>
      <c r="F32" s="355">
        <f>SUM(F30:F31)</f>
        <v>0</v>
      </c>
      <c r="G32" s="355">
        <f>SUM(G30:G31)</f>
        <v>3913</v>
      </c>
      <c r="H32" s="453"/>
    </row>
    <row r="33" spans="1:8" ht="15" customHeight="1">
      <c r="A33" s="25"/>
      <c r="B33" s="335"/>
      <c r="C33" s="26"/>
      <c r="D33" s="26"/>
      <c r="E33" s="199"/>
      <c r="F33" s="25"/>
      <c r="G33" s="25"/>
      <c r="H33" s="38"/>
    </row>
    <row r="34" spans="1:8" s="99" customFormat="1" ht="15.75">
      <c r="A34" s="28"/>
      <c r="B34" s="123" t="s">
        <v>62</v>
      </c>
      <c r="C34" s="27">
        <f>+C17+C32</f>
        <v>23540.72</v>
      </c>
      <c r="D34" s="27">
        <f>+D14+D32</f>
        <v>21413.27</v>
      </c>
      <c r="E34" s="355">
        <f>+E14+E32</f>
        <v>18233.39</v>
      </c>
      <c r="F34" s="28"/>
      <c r="G34" s="27">
        <f>G32+G14</f>
        <v>49093</v>
      </c>
      <c r="H34" s="49"/>
    </row>
    <row r="35" spans="1:8" ht="10.5" customHeight="1">
      <c r="A35" s="25"/>
      <c r="B35" s="122"/>
      <c r="C35" s="25"/>
      <c r="D35" s="25"/>
      <c r="E35" s="122"/>
      <c r="F35" s="25"/>
      <c r="G35" s="25"/>
      <c r="H35" s="38"/>
    </row>
    <row r="36" spans="1:8" ht="15">
      <c r="A36" s="25">
        <v>382114</v>
      </c>
      <c r="B36" s="122" t="s">
        <v>116</v>
      </c>
      <c r="C36" s="25">
        <v>1100</v>
      </c>
      <c r="D36" s="25">
        <v>2500</v>
      </c>
      <c r="E36" s="122">
        <v>2500</v>
      </c>
      <c r="F36" s="25"/>
      <c r="G36" s="25">
        <v>2500</v>
      </c>
      <c r="H36" s="38"/>
    </row>
    <row r="37" spans="1:8" ht="15" customHeight="1">
      <c r="A37" s="25"/>
      <c r="B37" s="122"/>
      <c r="C37" s="25"/>
      <c r="D37" s="25"/>
      <c r="E37" s="122"/>
      <c r="F37" s="25"/>
      <c r="G37" s="25"/>
      <c r="H37" s="38"/>
    </row>
    <row r="38" spans="1:8" ht="15.75">
      <c r="A38" s="28"/>
      <c r="B38" s="123" t="s">
        <v>63</v>
      </c>
      <c r="C38" s="29" t="e">
        <f>SUM(C36,#REF!,C34)</f>
        <v>#REF!</v>
      </c>
      <c r="D38" s="29">
        <f>SUM(D36,D34)</f>
        <v>23913.27</v>
      </c>
      <c r="E38" s="29">
        <f>SUM(E36,E34)</f>
        <v>20733.39</v>
      </c>
      <c r="F38" s="29">
        <f>SUM(F36,F34)</f>
        <v>0</v>
      </c>
      <c r="G38" s="29">
        <f>SUM(G36,G34)</f>
        <v>51593</v>
      </c>
      <c r="H38" s="38"/>
    </row>
    <row r="39" spans="1:8" ht="15.75">
      <c r="A39" s="28"/>
      <c r="B39" s="123"/>
      <c r="C39" s="29"/>
      <c r="D39" s="29"/>
      <c r="E39" s="333"/>
      <c r="F39" s="25"/>
      <c r="G39" s="26"/>
      <c r="H39" s="38"/>
    </row>
    <row r="40" spans="1:8" ht="15.75">
      <c r="A40" s="25"/>
      <c r="B40" s="123" t="s">
        <v>110</v>
      </c>
      <c r="C40" s="25"/>
      <c r="D40" s="25"/>
      <c r="E40" s="122"/>
      <c r="F40" s="25"/>
      <c r="G40" s="25"/>
      <c r="H40" s="38"/>
    </row>
    <row r="41" spans="1:8" ht="14.25" customHeight="1">
      <c r="A41" s="25">
        <v>54</v>
      </c>
      <c r="B41" s="123" t="s">
        <v>175</v>
      </c>
      <c r="C41" s="25"/>
      <c r="D41" s="25"/>
      <c r="E41" s="122"/>
      <c r="F41" s="25"/>
      <c r="G41" s="25"/>
      <c r="H41" s="38"/>
    </row>
    <row r="42" spans="1:8" ht="14.25" customHeight="1">
      <c r="A42" s="25"/>
      <c r="B42" s="123"/>
      <c r="C42" s="25"/>
      <c r="D42" s="25"/>
      <c r="E42" s="122"/>
      <c r="F42" s="25"/>
      <c r="G42" s="25"/>
      <c r="H42" s="38"/>
    </row>
    <row r="43" spans="1:8" ht="14.25" customHeight="1">
      <c r="A43" s="25">
        <v>55</v>
      </c>
      <c r="B43" s="122" t="s">
        <v>747</v>
      </c>
      <c r="C43" s="25"/>
      <c r="D43" s="25"/>
      <c r="E43" s="122">
        <v>305</v>
      </c>
      <c r="F43" s="25">
        <v>305</v>
      </c>
      <c r="G43" s="25">
        <v>350</v>
      </c>
      <c r="H43" s="38"/>
    </row>
    <row r="44" spans="1:8" ht="15">
      <c r="A44" s="25">
        <v>55214</v>
      </c>
      <c r="B44" s="122" t="s">
        <v>125</v>
      </c>
      <c r="C44" s="25"/>
      <c r="D44" s="25"/>
      <c r="E44" s="122"/>
      <c r="F44" s="25">
        <v>39</v>
      </c>
      <c r="G44" s="25">
        <v>50</v>
      </c>
      <c r="H44" s="38"/>
    </row>
    <row r="45" spans="1:8" ht="15">
      <c r="A45" s="25">
        <v>55215</v>
      </c>
      <c r="B45" s="122" t="s">
        <v>58</v>
      </c>
      <c r="C45" s="25">
        <v>350</v>
      </c>
      <c r="D45" s="25">
        <v>350</v>
      </c>
      <c r="E45" s="122">
        <v>200</v>
      </c>
      <c r="F45" s="25">
        <v>7</v>
      </c>
      <c r="G45" s="25">
        <v>50</v>
      </c>
      <c r="H45" s="38"/>
    </row>
    <row r="46" spans="1:8" ht="15">
      <c r="A46" s="25">
        <v>55217</v>
      </c>
      <c r="B46" s="122" t="s">
        <v>59</v>
      </c>
      <c r="C46" s="25">
        <v>200</v>
      </c>
      <c r="D46" s="25">
        <v>200</v>
      </c>
      <c r="E46" s="122">
        <v>200</v>
      </c>
      <c r="F46" s="25">
        <v>120</v>
      </c>
      <c r="G46" s="25">
        <v>200</v>
      </c>
      <c r="H46" s="38"/>
    </row>
    <row r="47" spans="1:8" ht="15">
      <c r="A47" s="25">
        <v>552181</v>
      </c>
      <c r="B47" s="122" t="s">
        <v>61</v>
      </c>
      <c r="C47" s="25">
        <v>100</v>
      </c>
      <c r="D47" s="25">
        <v>100</v>
      </c>
      <c r="E47" s="122">
        <v>100</v>
      </c>
      <c r="F47" s="25">
        <v>45</v>
      </c>
      <c r="G47" s="25">
        <v>50</v>
      </c>
      <c r="H47" s="38"/>
    </row>
    <row r="48" spans="1:13" ht="134.25" customHeight="1">
      <c r="A48" s="168">
        <v>5531</v>
      </c>
      <c r="B48" s="335" t="s">
        <v>326</v>
      </c>
      <c r="C48" s="110">
        <v>15724</v>
      </c>
      <c r="D48" s="110">
        <v>15395</v>
      </c>
      <c r="E48" s="110">
        <v>10125</v>
      </c>
      <c r="F48" s="110">
        <f>13072</f>
        <v>13072</v>
      </c>
      <c r="G48" s="110">
        <v>12645</v>
      </c>
      <c r="H48" s="38"/>
      <c r="I48" s="719" t="s">
        <v>809</v>
      </c>
      <c r="J48" s="720"/>
      <c r="K48" s="720"/>
      <c r="L48" s="720"/>
      <c r="M48" s="720"/>
    </row>
    <row r="49" spans="1:8" ht="18.75" customHeight="1">
      <c r="A49" s="169">
        <v>55</v>
      </c>
      <c r="B49" s="337" t="s">
        <v>64</v>
      </c>
      <c r="C49" s="111">
        <f>SUM(C44:C48)</f>
        <v>16374</v>
      </c>
      <c r="D49" s="111">
        <f>SUM(D44:D48)</f>
        <v>16045</v>
      </c>
      <c r="E49" s="450">
        <f>SUM(E44:E48)</f>
        <v>10625</v>
      </c>
      <c r="F49" s="450">
        <f>SUM(F44:F48)</f>
        <v>13283</v>
      </c>
      <c r="G49" s="450">
        <f>SUM(G43:G48)</f>
        <v>13345</v>
      </c>
      <c r="H49" s="38"/>
    </row>
    <row r="50" spans="1:8" ht="15">
      <c r="A50" s="25">
        <v>56111</v>
      </c>
      <c r="B50" s="122" t="s">
        <v>152</v>
      </c>
      <c r="C50" s="30">
        <v>3975</v>
      </c>
      <c r="D50" s="30">
        <f>F50</f>
        <v>3070</v>
      </c>
      <c r="E50" s="116">
        <f>(E49+E41+E51-1828)*27%+0.5</f>
        <v>2429.69</v>
      </c>
      <c r="F50" s="25">
        <v>3070</v>
      </c>
      <c r="G50" s="26">
        <f>H50*27%</f>
        <v>3657.15</v>
      </c>
      <c r="H50" s="30">
        <f>G49+G51</f>
        <v>13545</v>
      </c>
    </row>
    <row r="51" spans="1:8" ht="15">
      <c r="A51" s="25">
        <v>56214</v>
      </c>
      <c r="B51" s="122" t="s">
        <v>153</v>
      </c>
      <c r="C51" s="25">
        <v>100</v>
      </c>
      <c r="D51" s="25">
        <v>100</v>
      </c>
      <c r="E51" s="122">
        <v>200</v>
      </c>
      <c r="F51" s="110">
        <v>169</v>
      </c>
      <c r="G51" s="25">
        <v>200</v>
      </c>
      <c r="H51" s="38"/>
    </row>
    <row r="52" spans="1:8" ht="15">
      <c r="A52" s="25"/>
      <c r="B52" s="122" t="s">
        <v>269</v>
      </c>
      <c r="C52" s="25">
        <v>1584</v>
      </c>
      <c r="D52" s="25"/>
      <c r="E52" s="122"/>
      <c r="F52" s="25"/>
      <c r="G52" s="25"/>
      <c r="H52" s="38"/>
    </row>
    <row r="53" spans="1:8" ht="15">
      <c r="A53" s="25">
        <v>56112</v>
      </c>
      <c r="B53" s="122" t="s">
        <v>65</v>
      </c>
      <c r="C53" s="25">
        <v>2500</v>
      </c>
      <c r="D53" s="25">
        <v>500</v>
      </c>
      <c r="E53" s="122"/>
      <c r="F53" s="25"/>
      <c r="G53" s="25"/>
      <c r="H53" s="38"/>
    </row>
    <row r="54" spans="1:8" ht="15.75">
      <c r="A54" s="28">
        <v>56</v>
      </c>
      <c r="B54" s="123" t="s">
        <v>56</v>
      </c>
      <c r="C54" s="29">
        <f>SUM(C50:C53)</f>
        <v>8159</v>
      </c>
      <c r="D54" s="29">
        <f>SUM(D50:D53)</f>
        <v>3670</v>
      </c>
      <c r="E54" s="333">
        <f>SUM(E50:E53)</f>
        <v>2629.69</v>
      </c>
      <c r="F54" s="333">
        <f>SUM(F50:F53)</f>
        <v>3239</v>
      </c>
      <c r="G54" s="333">
        <f>SUM(G50:G53)</f>
        <v>3857.15</v>
      </c>
      <c r="H54" s="38"/>
    </row>
    <row r="55" spans="1:8" ht="15.75">
      <c r="A55" s="28"/>
      <c r="B55" s="123"/>
      <c r="C55" s="25"/>
      <c r="D55" s="25"/>
      <c r="E55" s="122"/>
      <c r="F55" s="25"/>
      <c r="G55" s="25"/>
      <c r="H55" s="38"/>
    </row>
    <row r="56" spans="1:8" ht="15.75">
      <c r="A56" s="28"/>
      <c r="B56" s="123" t="s">
        <v>29</v>
      </c>
      <c r="C56" s="29">
        <f>SUM(C55,C54,C49,)</f>
        <v>24533</v>
      </c>
      <c r="D56" s="29">
        <f>SUM(D55,D54,D49,)</f>
        <v>19715</v>
      </c>
      <c r="E56" s="333">
        <f>SUM(E55,E54,E49,)</f>
        <v>13254.69</v>
      </c>
      <c r="F56" s="333">
        <f>SUM(F55,F54,F49,)</f>
        <v>16522</v>
      </c>
      <c r="G56" s="333">
        <f>SUM(G54,G49)</f>
        <v>17202.15</v>
      </c>
      <c r="H56" s="38"/>
    </row>
    <row r="57" spans="1:8" ht="25.5" customHeight="1">
      <c r="A57" s="28"/>
      <c r="B57" s="123" t="s">
        <v>0</v>
      </c>
      <c r="C57" s="29" t="e">
        <f>SUM(C56,C38)</f>
        <v>#REF!</v>
      </c>
      <c r="D57" s="29">
        <f>SUM(D56,D38)</f>
        <v>43628.270000000004</v>
      </c>
      <c r="E57" s="333">
        <f>SUM(E56,E38)</f>
        <v>33988.08</v>
      </c>
      <c r="F57" s="333">
        <f>SUM(F56,F38)</f>
        <v>16522</v>
      </c>
      <c r="G57" s="333">
        <f>SUM(G56,G38)</f>
        <v>68795.15</v>
      </c>
      <c r="H57" s="38"/>
    </row>
    <row r="58" spans="1:8" ht="15.75">
      <c r="A58" s="28"/>
      <c r="B58" s="25"/>
      <c r="C58" s="25"/>
      <c r="D58" s="25"/>
      <c r="E58" s="13"/>
      <c r="F58" s="25"/>
      <c r="G58" s="25"/>
      <c r="H58" s="38"/>
    </row>
    <row r="59" spans="1:8" ht="15">
      <c r="A59" s="38"/>
      <c r="B59" s="38"/>
      <c r="C59" s="25"/>
      <c r="D59" s="38"/>
      <c r="E59" s="13"/>
      <c r="F59" s="25"/>
      <c r="G59" s="25"/>
      <c r="H59" s="38"/>
    </row>
    <row r="60" spans="1:8" ht="15.75">
      <c r="A60" s="49"/>
      <c r="B60" s="38"/>
      <c r="C60" s="25"/>
      <c r="D60" s="38"/>
      <c r="E60" s="13"/>
      <c r="F60" s="25"/>
      <c r="G60" s="25"/>
      <c r="H60" s="38"/>
    </row>
    <row r="61" spans="1:8" ht="15">
      <c r="A61" s="38"/>
      <c r="B61" s="38"/>
      <c r="C61" s="25"/>
      <c r="D61" s="38"/>
      <c r="E61" s="13"/>
      <c r="F61" s="25"/>
      <c r="G61" s="25"/>
      <c r="H61" s="38"/>
    </row>
    <row r="62" spans="1:8" ht="15">
      <c r="A62" s="38"/>
      <c r="B62" s="38"/>
      <c r="C62" s="25"/>
      <c r="D62" s="38"/>
      <c r="E62" s="13"/>
      <c r="F62" s="25"/>
      <c r="G62" s="25"/>
      <c r="H62" s="38"/>
    </row>
    <row r="63" spans="1:8" ht="15">
      <c r="A63" s="38"/>
      <c r="B63" s="38"/>
      <c r="C63" s="25"/>
      <c r="D63" s="38"/>
      <c r="E63" s="13"/>
      <c r="F63" s="25"/>
      <c r="G63" s="25"/>
      <c r="H63" s="38"/>
    </row>
    <row r="64" spans="1:5" ht="15">
      <c r="A64" s="38"/>
      <c r="B64" s="38"/>
      <c r="C64" s="25"/>
      <c r="D64" s="38"/>
      <c r="E64" s="13"/>
    </row>
    <row r="65" spans="1:5" ht="15">
      <c r="A65" s="38"/>
      <c r="B65" s="38"/>
      <c r="C65" s="25"/>
      <c r="D65" s="38"/>
      <c r="E65" s="13"/>
    </row>
    <row r="66" spans="1:5" ht="15">
      <c r="A66" s="38"/>
      <c r="B66" s="38"/>
      <c r="C66" s="25"/>
      <c r="D66" s="38"/>
      <c r="E66" s="13"/>
    </row>
  </sheetData>
  <sheetProtection/>
  <mergeCells count="1">
    <mergeCell ref="I48:M48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4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C00000"/>
  </sheetPr>
  <dimension ref="A2:J101"/>
  <sheetViews>
    <sheetView zoomScalePageLayoutView="0" workbookViewId="0" topLeftCell="A88">
      <selection activeCell="E85" sqref="E85"/>
    </sheetView>
  </sheetViews>
  <sheetFormatPr defaultColWidth="8.41015625" defaultRowHeight="18"/>
  <cols>
    <col min="1" max="1" width="8.41015625" style="21" customWidth="1"/>
    <col min="2" max="2" width="29.41015625" style="21" customWidth="1"/>
    <col min="3" max="3" width="8" style="382" customWidth="1"/>
    <col min="4" max="4" width="7.33203125" style="21" customWidth="1"/>
    <col min="5" max="5" width="7.75" style="21" customWidth="1"/>
    <col min="6" max="249" width="7.08203125" style="21" customWidth="1"/>
    <col min="250" max="16384" width="8.41015625" style="21" customWidth="1"/>
  </cols>
  <sheetData>
    <row r="2" spans="1:5" ht="18.75">
      <c r="A2" s="620" t="s">
        <v>1331</v>
      </c>
      <c r="B2" s="620"/>
      <c r="C2" s="620"/>
      <c r="D2" s="620"/>
      <c r="E2" s="620"/>
    </row>
    <row r="3" ht="19.5" thickBot="1">
      <c r="C3" s="243"/>
    </row>
    <row r="4" spans="1:5" ht="19.5" thickBot="1">
      <c r="A4" s="595">
        <v>841403</v>
      </c>
      <c r="B4" s="245" t="s">
        <v>1391</v>
      </c>
      <c r="C4" s="421" t="s">
        <v>616</v>
      </c>
      <c r="D4" s="41" t="s">
        <v>626</v>
      </c>
      <c r="E4" s="34">
        <v>2016</v>
      </c>
    </row>
    <row r="5" spans="1:5" ht="19.5" thickBot="1">
      <c r="A5" s="596" t="s">
        <v>1392</v>
      </c>
      <c r="B5" s="210" t="s">
        <v>1425</v>
      </c>
      <c r="C5" s="295"/>
      <c r="D5" s="34"/>
      <c r="E5" s="34"/>
    </row>
    <row r="6" spans="1:6" ht="18.75">
      <c r="A6" s="249" t="s">
        <v>819</v>
      </c>
      <c r="B6" s="250" t="s">
        <v>1238</v>
      </c>
      <c r="C6" s="376">
        <v>455</v>
      </c>
      <c r="D6" s="565">
        <v>607</v>
      </c>
      <c r="E6" s="565">
        <v>771</v>
      </c>
      <c r="F6" s="21" t="s">
        <v>1528</v>
      </c>
    </row>
    <row r="7" spans="1:5" ht="18.75">
      <c r="A7" s="253" t="s">
        <v>822</v>
      </c>
      <c r="B7" s="254" t="s">
        <v>821</v>
      </c>
      <c r="C7" s="377"/>
      <c r="D7" s="34"/>
      <c r="E7" s="34"/>
    </row>
    <row r="8" spans="1:5" ht="18.75">
      <c r="A8" s="253" t="s">
        <v>823</v>
      </c>
      <c r="B8" s="254" t="s">
        <v>820</v>
      </c>
      <c r="C8" s="377"/>
      <c r="D8" s="34"/>
      <c r="E8" s="381"/>
    </row>
    <row r="9" spans="1:5" ht="18.75">
      <c r="A9" s="253" t="s">
        <v>825</v>
      </c>
      <c r="B9" s="254" t="s">
        <v>824</v>
      </c>
      <c r="C9" s="377">
        <v>33</v>
      </c>
      <c r="D9" s="34"/>
      <c r="E9" s="34"/>
    </row>
    <row r="10" spans="1:5" ht="18.75">
      <c r="A10" s="253" t="s">
        <v>826</v>
      </c>
      <c r="B10" s="260" t="s">
        <v>1239</v>
      </c>
      <c r="C10" s="377"/>
      <c r="D10" s="34"/>
      <c r="E10" s="34"/>
    </row>
    <row r="11" spans="1:5" ht="18.75">
      <c r="A11" s="253" t="s">
        <v>1233</v>
      </c>
      <c r="B11" s="260" t="s">
        <v>1240</v>
      </c>
      <c r="C11" s="378"/>
      <c r="D11" s="34"/>
      <c r="E11" s="34"/>
    </row>
    <row r="12" spans="1:5" ht="18.75">
      <c r="A12" s="253" t="s">
        <v>1241</v>
      </c>
      <c r="B12" s="262" t="s">
        <v>1234</v>
      </c>
      <c r="C12" s="377"/>
      <c r="D12" s="34"/>
      <c r="E12" s="34">
        <v>75</v>
      </c>
    </row>
    <row r="13" spans="1:5" ht="18.75">
      <c r="A13" s="253" t="s">
        <v>1242</v>
      </c>
      <c r="B13" s="262" t="s">
        <v>1235</v>
      </c>
      <c r="C13" s="377"/>
      <c r="D13" s="34"/>
      <c r="E13" s="34"/>
    </row>
    <row r="14" spans="1:5" ht="18.75">
      <c r="A14" s="253" t="s">
        <v>1243</v>
      </c>
      <c r="B14" s="254" t="s">
        <v>528</v>
      </c>
      <c r="C14" s="377"/>
      <c r="D14" s="34"/>
      <c r="E14" s="34"/>
    </row>
    <row r="15" spans="1:5" ht="18.75">
      <c r="A15" s="253" t="s">
        <v>1244</v>
      </c>
      <c r="B15" s="254" t="s">
        <v>1236</v>
      </c>
      <c r="C15" s="377"/>
      <c r="D15" s="34"/>
      <c r="E15" s="34"/>
    </row>
    <row r="16" spans="1:5" ht="19.5" thickBot="1">
      <c r="A16" s="264" t="s">
        <v>1245</v>
      </c>
      <c r="B16" s="265" t="s">
        <v>791</v>
      </c>
      <c r="C16" s="377"/>
      <c r="D16" s="34"/>
      <c r="E16" s="34">
        <v>65</v>
      </c>
    </row>
    <row r="17" spans="1:5" ht="19.5" thickBot="1">
      <c r="A17" s="568" t="s">
        <v>1327</v>
      </c>
      <c r="B17" s="569" t="s">
        <v>1249</v>
      </c>
      <c r="C17" s="379">
        <f>SUM(C6:C16)</f>
        <v>488</v>
      </c>
      <c r="D17" s="379">
        <f>SUM(D6:D16)</f>
        <v>607</v>
      </c>
      <c r="E17" s="379">
        <f>SUM(E6:E16)</f>
        <v>911</v>
      </c>
    </row>
    <row r="18" spans="1:5" ht="19.5" thickBot="1">
      <c r="A18" s="557" t="s">
        <v>1329</v>
      </c>
      <c r="B18" s="558" t="s">
        <v>1248</v>
      </c>
      <c r="C18" s="377"/>
      <c r="D18" s="34"/>
      <c r="E18" s="34"/>
    </row>
    <row r="19" spans="1:5" ht="19.5" thickBot="1">
      <c r="A19" s="557" t="s">
        <v>1328</v>
      </c>
      <c r="B19" s="558" t="s">
        <v>1246</v>
      </c>
      <c r="C19" s="377"/>
      <c r="D19" s="34"/>
      <c r="E19" s="34"/>
    </row>
    <row r="20" spans="1:5" ht="19.5" thickBot="1">
      <c r="A20" s="557" t="s">
        <v>1253</v>
      </c>
      <c r="B20" s="558" t="s">
        <v>19</v>
      </c>
      <c r="C20" s="377"/>
      <c r="D20" s="34"/>
      <c r="E20" s="34"/>
    </row>
    <row r="21" spans="1:5" ht="19.5" thickBot="1">
      <c r="A21" s="557" t="s">
        <v>1254</v>
      </c>
      <c r="B21" s="558" t="s">
        <v>889</v>
      </c>
      <c r="C21" s="377">
        <v>60</v>
      </c>
      <c r="D21" s="34"/>
      <c r="E21" s="34"/>
    </row>
    <row r="22" spans="1:5" ht="19.5" thickBot="1">
      <c r="A22" s="568" t="s">
        <v>1330</v>
      </c>
      <c r="B22" s="569" t="s">
        <v>1247</v>
      </c>
      <c r="C22" s="377">
        <f>SUM(C18:C21)</f>
        <v>60</v>
      </c>
      <c r="D22" s="377">
        <f>SUM(D18:D21)</f>
        <v>0</v>
      </c>
      <c r="E22" s="377">
        <f>SUM(E18:E21)</f>
        <v>0</v>
      </c>
    </row>
    <row r="23" spans="1:5" ht="27" customHeight="1" thickBot="1">
      <c r="A23" s="268" t="s">
        <v>1250</v>
      </c>
      <c r="B23" s="269" t="s">
        <v>1237</v>
      </c>
      <c r="C23" s="379">
        <f>SUM(C22,C17)</f>
        <v>548</v>
      </c>
      <c r="D23" s="379">
        <f>SUM(D22,D17)</f>
        <v>607</v>
      </c>
      <c r="E23" s="379">
        <f>SUM(E22,E17)</f>
        <v>911</v>
      </c>
    </row>
    <row r="24" spans="1:5" ht="19.5" thickBot="1">
      <c r="A24" s="270"/>
      <c r="B24" s="271"/>
      <c r="C24" s="377"/>
      <c r="D24" s="34"/>
      <c r="E24" s="34"/>
    </row>
    <row r="25" spans="1:6" ht="18.75">
      <c r="A25" s="272" t="s">
        <v>1255</v>
      </c>
      <c r="B25" s="97" t="s">
        <v>590</v>
      </c>
      <c r="C25" s="275">
        <v>132</v>
      </c>
      <c r="D25" s="44">
        <v>128</v>
      </c>
      <c r="E25" s="44">
        <f>F25*27%</f>
        <v>225.72000000000003</v>
      </c>
      <c r="F25" s="21">
        <f>E6+E7+E8+E9+E10+E11+E16+E22</f>
        <v>836</v>
      </c>
    </row>
    <row r="26" spans="1:5" ht="18.75">
      <c r="A26" s="559" t="s">
        <v>1256</v>
      </c>
      <c r="B26" s="97" t="s">
        <v>1251</v>
      </c>
      <c r="C26" s="275"/>
      <c r="D26" s="44"/>
      <c r="E26" s="44"/>
    </row>
    <row r="27" spans="1:6" ht="18.75">
      <c r="A27" s="276" t="s">
        <v>1252</v>
      </c>
      <c r="B27" s="255" t="s">
        <v>4</v>
      </c>
      <c r="C27" s="378">
        <v>4</v>
      </c>
      <c r="D27" s="34">
        <v>4</v>
      </c>
      <c r="E27" s="44">
        <f>F27*16.67%</f>
        <v>12.502500000000001</v>
      </c>
      <c r="F27" s="21">
        <f>E12+E13</f>
        <v>75</v>
      </c>
    </row>
    <row r="28" spans="1:5" ht="19.5" thickBot="1">
      <c r="A28" s="462" t="s">
        <v>1257</v>
      </c>
      <c r="B28" s="255" t="s">
        <v>635</v>
      </c>
      <c r="C28" s="378">
        <v>5</v>
      </c>
      <c r="D28" s="34">
        <v>5</v>
      </c>
      <c r="E28" s="44">
        <f>F27*19.04%</f>
        <v>14.28</v>
      </c>
    </row>
    <row r="29" spans="1:5" ht="19.5" thickBot="1">
      <c r="A29" s="582" t="s">
        <v>1258</v>
      </c>
      <c r="B29" s="583" t="s">
        <v>69</v>
      </c>
      <c r="C29" s="378">
        <f>SUM(C25:C28)</f>
        <v>141</v>
      </c>
      <c r="D29" s="378">
        <f>SUM(D25:D28)</f>
        <v>137</v>
      </c>
      <c r="E29" s="378">
        <f>SUM(E25:E28)</f>
        <v>252.50250000000003</v>
      </c>
    </row>
    <row r="30" spans="1:5" ht="19.5" thickBot="1">
      <c r="A30" s="282"/>
      <c r="B30" s="283"/>
      <c r="C30" s="377"/>
      <c r="D30" s="34"/>
      <c r="E30" s="34"/>
    </row>
    <row r="31" spans="1:5" ht="18.75">
      <c r="A31" s="249" t="s">
        <v>1259</v>
      </c>
      <c r="B31" s="291" t="s">
        <v>533</v>
      </c>
      <c r="C31" s="377"/>
      <c r="D31" s="34"/>
      <c r="E31" s="34"/>
    </row>
    <row r="32" spans="1:5" ht="18.75">
      <c r="A32" s="253" t="s">
        <v>1260</v>
      </c>
      <c r="B32" s="254" t="s">
        <v>534</v>
      </c>
      <c r="C32" s="377"/>
      <c r="D32" s="41"/>
      <c r="E32" s="34"/>
    </row>
    <row r="33" spans="1:5" ht="18.75">
      <c r="A33" s="253" t="s">
        <v>1262</v>
      </c>
      <c r="B33" s="254" t="s">
        <v>1261</v>
      </c>
      <c r="C33" s="377"/>
      <c r="D33" s="41"/>
      <c r="E33" s="34"/>
    </row>
    <row r="34" spans="1:5" ht="18.75">
      <c r="A34" s="253" t="s">
        <v>1263</v>
      </c>
      <c r="B34" s="254" t="s">
        <v>124</v>
      </c>
      <c r="C34" s="377"/>
      <c r="D34" s="41"/>
      <c r="E34" s="34"/>
    </row>
    <row r="35" spans="1:5" ht="18.75">
      <c r="A35" s="253" t="s">
        <v>1264</v>
      </c>
      <c r="B35" s="254" t="s">
        <v>1265</v>
      </c>
      <c r="C35" s="570"/>
      <c r="D35" s="41"/>
      <c r="E35" s="34"/>
    </row>
    <row r="36" spans="1:5" ht="18.75">
      <c r="A36" s="253" t="s">
        <v>1335</v>
      </c>
      <c r="B36" s="562" t="s">
        <v>548</v>
      </c>
      <c r="C36" s="570">
        <f>SUM(C31:C35)</f>
        <v>0</v>
      </c>
      <c r="D36" s="570">
        <f>SUM(D31:D35)</f>
        <v>0</v>
      </c>
      <c r="E36" s="570">
        <f>SUM(E31:E35)</f>
        <v>0</v>
      </c>
    </row>
    <row r="37" spans="1:5" ht="18.75">
      <c r="A37" s="253" t="s">
        <v>1342</v>
      </c>
      <c r="B37" s="254" t="s">
        <v>1343</v>
      </c>
      <c r="C37" s="570"/>
      <c r="D37" s="570"/>
      <c r="E37" s="570"/>
    </row>
    <row r="38" spans="1:5" ht="18.75">
      <c r="A38" s="253" t="s">
        <v>1344</v>
      </c>
      <c r="B38" s="254" t="s">
        <v>1267</v>
      </c>
      <c r="C38" s="570"/>
      <c r="D38" s="34"/>
      <c r="E38" s="34"/>
    </row>
    <row r="39" spans="1:5" ht="18.75">
      <c r="A39" s="253" t="s">
        <v>1345</v>
      </c>
      <c r="B39" s="254" t="s">
        <v>88</v>
      </c>
      <c r="C39" s="570"/>
      <c r="D39" s="34"/>
      <c r="E39" s="34"/>
    </row>
    <row r="40" spans="1:5" ht="18.75">
      <c r="A40" s="253" t="s">
        <v>1346</v>
      </c>
      <c r="B40" s="254" t="s">
        <v>1268</v>
      </c>
      <c r="C40" s="377"/>
      <c r="D40" s="34"/>
      <c r="E40" s="34"/>
    </row>
    <row r="41" spans="1:6" ht="19.5" thickBot="1">
      <c r="A41" s="288" t="s">
        <v>1347</v>
      </c>
      <c r="B41" s="289" t="s">
        <v>1269</v>
      </c>
      <c r="C41" s="377">
        <v>350</v>
      </c>
      <c r="D41" s="34">
        <v>210</v>
      </c>
      <c r="E41" s="34">
        <v>300</v>
      </c>
      <c r="F41" s="21" t="s">
        <v>1585</v>
      </c>
    </row>
    <row r="42" spans="1:5" ht="17.25" customHeight="1" thickBot="1">
      <c r="A42" s="268" t="s">
        <v>1266</v>
      </c>
      <c r="B42" s="571" t="s">
        <v>1270</v>
      </c>
      <c r="C42" s="377">
        <f>SUM(C37:C41)</f>
        <v>350</v>
      </c>
      <c r="D42" s="377">
        <f>SUM(D38:D41)</f>
        <v>210</v>
      </c>
      <c r="E42" s="377">
        <f>SUM(E38:E41)</f>
        <v>300</v>
      </c>
    </row>
    <row r="43" spans="1:5" ht="22.5" customHeight="1" thickBot="1">
      <c r="A43" s="572" t="s">
        <v>1300</v>
      </c>
      <c r="B43" s="573" t="s">
        <v>595</v>
      </c>
      <c r="C43" s="574">
        <f>SUM(C42,C36)</f>
        <v>350</v>
      </c>
      <c r="D43" s="574">
        <f>SUM(D42,D36)</f>
        <v>210</v>
      </c>
      <c r="E43" s="574">
        <f>SUM(E42,E36)</f>
        <v>300</v>
      </c>
    </row>
    <row r="44" spans="1:5" ht="18.75">
      <c r="A44" s="249" t="s">
        <v>1271</v>
      </c>
      <c r="B44" s="291" t="s">
        <v>1348</v>
      </c>
      <c r="C44" s="377"/>
      <c r="D44" s="34"/>
      <c r="E44" s="34"/>
    </row>
    <row r="45" spans="1:5" ht="18.75">
      <c r="A45" s="494" t="s">
        <v>1350</v>
      </c>
      <c r="B45" s="590" t="s">
        <v>1351</v>
      </c>
      <c r="C45" s="377"/>
      <c r="D45" s="34"/>
      <c r="E45" s="34"/>
    </row>
    <row r="46" spans="1:5" ht="18.75">
      <c r="A46" s="253" t="s">
        <v>1272</v>
      </c>
      <c r="B46" s="254" t="s">
        <v>1349</v>
      </c>
      <c r="C46" s="295"/>
      <c r="D46" s="566"/>
      <c r="E46" s="34"/>
    </row>
    <row r="47" spans="1:5" ht="18.75">
      <c r="A47" s="575" t="s">
        <v>1301</v>
      </c>
      <c r="B47" s="576" t="s">
        <v>1366</v>
      </c>
      <c r="C47" s="577">
        <f>SUM(C44:C46)</f>
        <v>0</v>
      </c>
      <c r="D47" s="577">
        <f>SUM(D44:D46)</f>
        <v>0</v>
      </c>
      <c r="E47" s="577">
        <f>SUM(E44:E46)</f>
        <v>0</v>
      </c>
    </row>
    <row r="48" spans="1:5" ht="18.75">
      <c r="A48" s="253" t="s">
        <v>1275</v>
      </c>
      <c r="B48" s="254" t="s">
        <v>544</v>
      </c>
      <c r="C48" s="295">
        <v>50</v>
      </c>
      <c r="D48" s="566">
        <v>48</v>
      </c>
      <c r="E48" s="34">
        <v>50</v>
      </c>
    </row>
    <row r="49" spans="1:5" ht="18.75">
      <c r="A49" s="253" t="s">
        <v>1274</v>
      </c>
      <c r="B49" s="254" t="s">
        <v>543</v>
      </c>
      <c r="C49" s="295">
        <v>50</v>
      </c>
      <c r="D49" s="34">
        <v>3</v>
      </c>
      <c r="E49" s="34">
        <v>10</v>
      </c>
    </row>
    <row r="50" spans="1:5" ht="18.75">
      <c r="A50" s="253" t="s">
        <v>1276</v>
      </c>
      <c r="B50" s="254" t="s">
        <v>503</v>
      </c>
      <c r="C50" s="295">
        <v>200</v>
      </c>
      <c r="D50" s="34">
        <v>120</v>
      </c>
      <c r="E50" s="34">
        <v>200</v>
      </c>
    </row>
    <row r="51" spans="1:5" ht="18.75">
      <c r="A51" s="575" t="s">
        <v>1273</v>
      </c>
      <c r="B51" s="576" t="s">
        <v>1277</v>
      </c>
      <c r="C51" s="577">
        <f>SUM(C48:C50)</f>
        <v>300</v>
      </c>
      <c r="D51" s="577">
        <f>SUM(D48:D50)</f>
        <v>171</v>
      </c>
      <c r="E51" s="577">
        <f>SUM(E48:E50)</f>
        <v>260</v>
      </c>
    </row>
    <row r="52" spans="1:5" ht="18.75">
      <c r="A52" s="253" t="s">
        <v>1332</v>
      </c>
      <c r="B52" s="254" t="s">
        <v>1278</v>
      </c>
      <c r="C52" s="295"/>
      <c r="D52" s="34"/>
      <c r="E52" s="34"/>
    </row>
    <row r="53" spans="1:6" ht="18.75">
      <c r="A53" s="253" t="s">
        <v>1280</v>
      </c>
      <c r="B53" s="254" t="s">
        <v>26</v>
      </c>
      <c r="C53" s="295">
        <v>50</v>
      </c>
      <c r="D53" s="41"/>
      <c r="E53" s="34">
        <v>709</v>
      </c>
      <c r="F53" t="s">
        <v>1584</v>
      </c>
    </row>
    <row r="54" spans="1:5" ht="18.75">
      <c r="A54" s="253" t="s">
        <v>1281</v>
      </c>
      <c r="B54" s="254" t="s">
        <v>1352</v>
      </c>
      <c r="C54" s="377"/>
      <c r="D54" s="34"/>
      <c r="E54" s="34"/>
    </row>
    <row r="55" spans="1:5" ht="18.75">
      <c r="A55" s="575" t="s">
        <v>1283</v>
      </c>
      <c r="B55" s="576" t="s">
        <v>1282</v>
      </c>
      <c r="C55" s="574">
        <f>SUM(C53:C54)</f>
        <v>50</v>
      </c>
      <c r="D55" s="574">
        <f>SUM(D53:D54)</f>
        <v>0</v>
      </c>
      <c r="E55" s="574">
        <f>SUM(E53:E54)</f>
        <v>709</v>
      </c>
    </row>
    <row r="56" spans="1:5" ht="24" customHeight="1">
      <c r="A56" s="575" t="s">
        <v>1284</v>
      </c>
      <c r="B56" s="588" t="s">
        <v>1333</v>
      </c>
      <c r="C56" s="589"/>
      <c r="D56" s="589"/>
      <c r="E56" s="589"/>
    </row>
    <row r="57" spans="1:5" ht="18.75">
      <c r="A57" s="288"/>
      <c r="B57" s="554" t="s">
        <v>943</v>
      </c>
      <c r="C57" s="554"/>
      <c r="D57" s="554"/>
      <c r="E57" s="554"/>
    </row>
    <row r="58" spans="1:10" ht="60.75" customHeight="1">
      <c r="A58" s="288" t="s">
        <v>1353</v>
      </c>
      <c r="B58" s="554" t="s">
        <v>547</v>
      </c>
      <c r="C58" s="554">
        <v>13970</v>
      </c>
      <c r="D58" s="554">
        <v>11200</v>
      </c>
      <c r="E58" s="554">
        <v>15164</v>
      </c>
      <c r="F58" s="721" t="s">
        <v>1569</v>
      </c>
      <c r="G58" s="722"/>
      <c r="H58" s="722"/>
      <c r="I58" s="722"/>
      <c r="J58" s="722"/>
    </row>
    <row r="59" spans="1:5" ht="18.75">
      <c r="A59" s="288" t="s">
        <v>1354</v>
      </c>
      <c r="B59" s="554" t="s">
        <v>1355</v>
      </c>
      <c r="C59" s="554"/>
      <c r="D59" s="554"/>
      <c r="E59" s="554"/>
    </row>
    <row r="60" spans="1:5" ht="27" customHeight="1">
      <c r="A60" s="561" t="s">
        <v>1285</v>
      </c>
      <c r="B60" s="552" t="s">
        <v>945</v>
      </c>
      <c r="C60" s="591">
        <f>SUM(C58:C59)</f>
        <v>13970</v>
      </c>
      <c r="D60" s="591">
        <f>SUM(D58:D59)</f>
        <v>11200</v>
      </c>
      <c r="E60" s="591">
        <f>SUM(E58:E59)</f>
        <v>15164</v>
      </c>
    </row>
    <row r="61" spans="1:5" ht="23.25" customHeight="1">
      <c r="A61" s="462" t="s">
        <v>1356</v>
      </c>
      <c r="B61" s="553" t="s">
        <v>1362</v>
      </c>
      <c r="C61" s="591"/>
      <c r="D61" s="591"/>
      <c r="E61" s="591"/>
    </row>
    <row r="62" spans="1:5" ht="23.25" customHeight="1">
      <c r="A62" s="462" t="s">
        <v>1357</v>
      </c>
      <c r="B62" s="553" t="s">
        <v>1358</v>
      </c>
      <c r="C62" s="591"/>
      <c r="D62" s="591"/>
      <c r="E62" s="591"/>
    </row>
    <row r="63" spans="1:5" ht="23.25" customHeight="1">
      <c r="A63" s="462" t="s">
        <v>1359</v>
      </c>
      <c r="B63" s="553" t="s">
        <v>9</v>
      </c>
      <c r="C63" s="591"/>
      <c r="D63" s="591"/>
      <c r="E63" s="591"/>
    </row>
    <row r="64" spans="1:6" ht="23.25" customHeight="1" thickBot="1">
      <c r="A64" s="462" t="s">
        <v>1360</v>
      </c>
      <c r="B64" s="553" t="s">
        <v>1361</v>
      </c>
      <c r="C64" s="591"/>
      <c r="D64" s="591"/>
      <c r="E64" s="591"/>
      <c r="F64" s="21" t="s">
        <v>1368</v>
      </c>
    </row>
    <row r="65" spans="1:5" ht="17.25" customHeight="1" thickBot="1">
      <c r="A65" s="298" t="s">
        <v>1286</v>
      </c>
      <c r="B65" s="552" t="s">
        <v>948</v>
      </c>
      <c r="C65" s="591">
        <f>SUM(C61:C64)</f>
        <v>0</v>
      </c>
      <c r="D65" s="591">
        <f>SUM(D61:D64)</f>
        <v>0</v>
      </c>
      <c r="E65" s="591">
        <f>SUM(E61:E64)</f>
        <v>0</v>
      </c>
    </row>
    <row r="66" spans="1:5" ht="25.5" customHeight="1">
      <c r="A66" s="578" t="s">
        <v>1279</v>
      </c>
      <c r="B66" s="579" t="s">
        <v>1287</v>
      </c>
      <c r="C66" s="579">
        <f>SUM(C65+C60+C56+C55+C52)</f>
        <v>14020</v>
      </c>
      <c r="D66" s="579">
        <f>SUM(D65+D60+D56+D55+D52)</f>
        <v>11200</v>
      </c>
      <c r="E66" s="579">
        <f>SUM(E65+E60+E56+E55+E52)</f>
        <v>15873</v>
      </c>
    </row>
    <row r="67" spans="1:5" ht="18.75">
      <c r="A67" s="253" t="s">
        <v>1288</v>
      </c>
      <c r="B67" s="553" t="s">
        <v>952</v>
      </c>
      <c r="C67" s="553"/>
      <c r="D67" s="553"/>
      <c r="E67" s="553"/>
    </row>
    <row r="68" spans="1:5" ht="18.75">
      <c r="A68" s="253" t="s">
        <v>1289</v>
      </c>
      <c r="B68" s="553" t="s">
        <v>954</v>
      </c>
      <c r="C68" s="553">
        <v>200</v>
      </c>
      <c r="D68" s="553">
        <v>45</v>
      </c>
      <c r="E68" s="553">
        <v>100</v>
      </c>
    </row>
    <row r="69" spans="1:5" ht="24" customHeight="1">
      <c r="A69" s="575" t="s">
        <v>1291</v>
      </c>
      <c r="B69" s="579" t="s">
        <v>1290</v>
      </c>
      <c r="C69" s="579">
        <f>SUM(C67:C68)</f>
        <v>200</v>
      </c>
      <c r="D69" s="579">
        <f>SUM(D67:D68)</f>
        <v>45</v>
      </c>
      <c r="E69" s="579">
        <f>SUM(E67:E68)</f>
        <v>100</v>
      </c>
    </row>
    <row r="70" spans="1:7" ht="26.25" customHeight="1" thickBot="1">
      <c r="A70" s="561" t="s">
        <v>1294</v>
      </c>
      <c r="B70" s="552" t="s">
        <v>958</v>
      </c>
      <c r="C70" s="552">
        <v>3657</v>
      </c>
      <c r="D70" s="552">
        <v>2781</v>
      </c>
      <c r="E70" s="552">
        <v>4340</v>
      </c>
      <c r="F70" s="597">
        <f>E43+E47+E66-E62-E68</f>
        <v>16073</v>
      </c>
      <c r="G70" s="21">
        <f>F70*27%</f>
        <v>4339.71</v>
      </c>
    </row>
    <row r="71" spans="1:5" ht="27" customHeight="1" thickBot="1">
      <c r="A71" s="268" t="s">
        <v>1295</v>
      </c>
      <c r="B71" s="553" t="s">
        <v>960</v>
      </c>
      <c r="C71" s="552"/>
      <c r="D71" s="552"/>
      <c r="E71" s="552"/>
    </row>
    <row r="72" spans="1:5" ht="19.5" thickBot="1">
      <c r="A72" s="210" t="s">
        <v>1296</v>
      </c>
      <c r="B72" s="552" t="s">
        <v>1293</v>
      </c>
      <c r="C72" s="552"/>
      <c r="D72" s="552"/>
      <c r="E72" s="552"/>
    </row>
    <row r="73" spans="1:5" ht="24.75" customHeight="1">
      <c r="A73" s="593" t="s">
        <v>1298</v>
      </c>
      <c r="B73" s="594" t="s">
        <v>1363</v>
      </c>
      <c r="C73" s="594"/>
      <c r="D73" s="552"/>
      <c r="E73" s="552"/>
    </row>
    <row r="74" spans="1:6" ht="24.75" customHeight="1">
      <c r="A74" s="592" t="s">
        <v>1364</v>
      </c>
      <c r="B74" s="563" t="s">
        <v>1365</v>
      </c>
      <c r="C74" s="563"/>
      <c r="D74" s="553"/>
      <c r="E74" s="553"/>
      <c r="F74" s="21" t="s">
        <v>1369</v>
      </c>
    </row>
    <row r="75" spans="1:5" ht="24.75" customHeight="1">
      <c r="A75" s="592" t="s">
        <v>1370</v>
      </c>
      <c r="B75" s="563" t="s">
        <v>1367</v>
      </c>
      <c r="C75" s="563"/>
      <c r="D75" s="553"/>
      <c r="E75" s="553"/>
    </row>
    <row r="76" spans="1:5" ht="18.75">
      <c r="A76" s="98" t="s">
        <v>1297</v>
      </c>
      <c r="B76" s="552" t="s">
        <v>970</v>
      </c>
      <c r="C76" s="552">
        <f>SUM(C74:C75)</f>
        <v>0</v>
      </c>
      <c r="D76" s="552">
        <f>SUM(D74:D75)</f>
        <v>0</v>
      </c>
      <c r="E76" s="552">
        <f>SUM(E74:E75)</f>
        <v>0</v>
      </c>
    </row>
    <row r="77" spans="1:5" ht="24.75" customHeight="1">
      <c r="A77" s="580" t="s">
        <v>1292</v>
      </c>
      <c r="B77" s="579" t="s">
        <v>1334</v>
      </c>
      <c r="C77" s="579">
        <f>C76+C73+C72+C71+C70</f>
        <v>3657</v>
      </c>
      <c r="D77" s="579">
        <f>D76+D73+D72+D71+D70</f>
        <v>2781</v>
      </c>
      <c r="E77" s="579">
        <f>E76+E73+E72+E71+E70</f>
        <v>4340</v>
      </c>
    </row>
    <row r="78" spans="1:10" ht="24.75" customHeight="1">
      <c r="A78" s="587" t="s">
        <v>1299</v>
      </c>
      <c r="B78" s="585" t="s">
        <v>70</v>
      </c>
      <c r="C78" s="579">
        <f>SUM(C77+C69+C66+C47+C43)</f>
        <v>18227</v>
      </c>
      <c r="D78" s="579">
        <f>SUM(D77+D69+D66+D47+D43)</f>
        <v>14236</v>
      </c>
      <c r="E78" s="579">
        <f>SUM(E77+E69+E66+E47+E43)</f>
        <v>20613</v>
      </c>
      <c r="F78" s="560"/>
      <c r="G78" s="560"/>
      <c r="H78" s="560"/>
      <c r="I78" s="560"/>
      <c r="J78" s="560"/>
    </row>
    <row r="79" spans="1:10" ht="24.75" customHeight="1">
      <c r="A79" s="98" t="s">
        <v>1307</v>
      </c>
      <c r="B79" s="553" t="s">
        <v>1302</v>
      </c>
      <c r="C79" s="552"/>
      <c r="D79" s="552"/>
      <c r="E79" s="552"/>
      <c r="F79" s="560"/>
      <c r="G79" s="560"/>
      <c r="H79" s="560"/>
      <c r="I79" s="560"/>
      <c r="J79" s="560"/>
    </row>
    <row r="80" spans="1:10" ht="24.75" customHeight="1">
      <c r="A80" s="98" t="s">
        <v>1306</v>
      </c>
      <c r="B80" s="553" t="s">
        <v>1308</v>
      </c>
      <c r="C80" s="552"/>
      <c r="D80" s="552"/>
      <c r="E80" s="552"/>
      <c r="F80" s="560"/>
      <c r="G80" s="560"/>
      <c r="H80" s="560"/>
      <c r="I80" s="560"/>
      <c r="J80" s="560"/>
    </row>
    <row r="81" spans="1:10" ht="24.75" customHeight="1">
      <c r="A81" s="98"/>
      <c r="B81" s="97" t="s">
        <v>1304</v>
      </c>
      <c r="C81" s="552"/>
      <c r="D81" s="552"/>
      <c r="E81" s="552"/>
      <c r="F81" s="560"/>
      <c r="G81" s="560"/>
      <c r="H81" s="560"/>
      <c r="I81" s="560"/>
      <c r="J81" s="560"/>
    </row>
    <row r="82" spans="1:5" ht="18.75">
      <c r="A82" s="98"/>
      <c r="B82" s="97" t="s">
        <v>1303</v>
      </c>
      <c r="C82" s="377"/>
      <c r="D82" s="34"/>
      <c r="E82" s="34"/>
    </row>
    <row r="83" spans="1:5" ht="18.75">
      <c r="A83" s="98"/>
      <c r="B83" s="567" t="s">
        <v>1305</v>
      </c>
      <c r="C83" s="377">
        <v>2500</v>
      </c>
      <c r="D83" s="34">
        <v>2070</v>
      </c>
      <c r="E83" s="34">
        <v>2500</v>
      </c>
    </row>
    <row r="84" spans="1:5" ht="25.5">
      <c r="A84" s="580" t="s">
        <v>1341</v>
      </c>
      <c r="B84" s="579" t="s">
        <v>1337</v>
      </c>
      <c r="C84" s="377">
        <f>SUM(C80:C83)</f>
        <v>2500</v>
      </c>
      <c r="D84" s="377">
        <f>SUM(D80:D83)</f>
        <v>2070</v>
      </c>
      <c r="E84" s="377">
        <f>SUM(E80:E83)</f>
        <v>2500</v>
      </c>
    </row>
    <row r="85" spans="1:5" s="564" customFormat="1" ht="18.75">
      <c r="A85" s="587" t="s">
        <v>1336</v>
      </c>
      <c r="B85" s="587" t="s">
        <v>1340</v>
      </c>
      <c r="C85" s="574">
        <f>SUM(C79+C84)</f>
        <v>2500</v>
      </c>
      <c r="D85" s="574">
        <f>SUM(D79+D84)</f>
        <v>2070</v>
      </c>
      <c r="E85" s="574">
        <f>SUM(E79+E84)</f>
        <v>2500</v>
      </c>
    </row>
    <row r="86" spans="1:5" ht="18.75">
      <c r="A86" s="97" t="s">
        <v>1309</v>
      </c>
      <c r="B86" s="553" t="s">
        <v>1113</v>
      </c>
      <c r="C86" s="553"/>
      <c r="D86" s="553"/>
      <c r="E86" s="553"/>
    </row>
    <row r="87" spans="1:5" s="382" customFormat="1" ht="15">
      <c r="A87" s="97" t="s">
        <v>1310</v>
      </c>
      <c r="B87" s="553" t="s">
        <v>1371</v>
      </c>
      <c r="C87" s="553"/>
      <c r="D87" s="553"/>
      <c r="E87" s="553"/>
    </row>
    <row r="88" spans="1:5" ht="18.75">
      <c r="A88" s="172" t="s">
        <v>1311</v>
      </c>
      <c r="B88" s="553" t="s">
        <v>1117</v>
      </c>
      <c r="C88" s="553"/>
      <c r="D88" s="553"/>
      <c r="E88" s="553"/>
    </row>
    <row r="89" spans="1:5" ht="24" customHeight="1">
      <c r="A89" s="172" t="s">
        <v>1312</v>
      </c>
      <c r="B89" s="553" t="s">
        <v>1118</v>
      </c>
      <c r="C89" s="553"/>
      <c r="D89" s="553"/>
      <c r="E89" s="553"/>
    </row>
    <row r="90" spans="1:6" ht="26.25" customHeight="1">
      <c r="A90" s="172" t="s">
        <v>1313</v>
      </c>
      <c r="B90" s="553" t="s">
        <v>1120</v>
      </c>
      <c r="C90" s="553"/>
      <c r="D90" s="553"/>
      <c r="E90" s="553"/>
      <c r="F90" s="21" t="s">
        <v>1433</v>
      </c>
    </row>
    <row r="91" spans="1:5" ht="25.5" customHeight="1">
      <c r="A91" s="172" t="s">
        <v>1314</v>
      </c>
      <c r="B91" s="553" t="s">
        <v>1126</v>
      </c>
      <c r="C91" s="553"/>
      <c r="D91" s="553"/>
      <c r="E91" s="553"/>
    </row>
    <row r="92" spans="1:5" ht="18.75">
      <c r="A92" s="584" t="s">
        <v>1315</v>
      </c>
      <c r="B92" s="585" t="s">
        <v>1339</v>
      </c>
      <c r="C92" s="552">
        <f>SUM(C86:C91)</f>
        <v>0</v>
      </c>
      <c r="D92" s="552">
        <f>SUM(D86:D91)</f>
        <v>0</v>
      </c>
      <c r="E92" s="552">
        <f>SUM(E86:E91)</f>
        <v>0</v>
      </c>
    </row>
    <row r="93" spans="1:6" ht="18.75">
      <c r="A93" s="172" t="s">
        <v>1316</v>
      </c>
      <c r="B93" s="553" t="s">
        <v>1130</v>
      </c>
      <c r="C93" s="553"/>
      <c r="D93" s="553"/>
      <c r="E93" s="553"/>
      <c r="F93" s="21" t="s">
        <v>1430</v>
      </c>
    </row>
    <row r="94" spans="1:5" ht="18.75">
      <c r="A94" s="172" t="s">
        <v>1317</v>
      </c>
      <c r="B94" s="553" t="s">
        <v>1132</v>
      </c>
      <c r="C94" s="553"/>
      <c r="D94" s="553"/>
      <c r="E94" s="553"/>
    </row>
    <row r="95" spans="1:5" ht="18.75">
      <c r="A95" s="172" t="s">
        <v>1318</v>
      </c>
      <c r="B95" s="553" t="s">
        <v>1134</v>
      </c>
      <c r="C95" s="553"/>
      <c r="D95" s="553"/>
      <c r="E95" s="553"/>
    </row>
    <row r="96" spans="1:5" ht="24" customHeight="1">
      <c r="A96" s="172" t="s">
        <v>1319</v>
      </c>
      <c r="B96" s="553" t="s">
        <v>1136</v>
      </c>
      <c r="C96" s="553"/>
      <c r="D96" s="553"/>
      <c r="E96" s="553"/>
    </row>
    <row r="97" spans="1:5" ht="18.75">
      <c r="A97" s="584" t="s">
        <v>1320</v>
      </c>
      <c r="B97" s="585" t="s">
        <v>1338</v>
      </c>
      <c r="C97" s="552">
        <f>SUM(C93:C96)</f>
        <v>0</v>
      </c>
      <c r="D97" s="552">
        <f>SUM(D93:D96)</f>
        <v>0</v>
      </c>
      <c r="E97" s="552">
        <f>SUM(E93:E96)</f>
        <v>0</v>
      </c>
    </row>
    <row r="98" spans="1:5" ht="25.5" customHeight="1">
      <c r="A98" s="172" t="s">
        <v>1323</v>
      </c>
      <c r="B98" s="555" t="s">
        <v>1325</v>
      </c>
      <c r="C98" s="555"/>
      <c r="D98" s="555"/>
      <c r="E98" s="555"/>
    </row>
    <row r="99" spans="1:5" ht="27" customHeight="1">
      <c r="A99" s="457" t="s">
        <v>1322</v>
      </c>
      <c r="B99" s="553" t="s">
        <v>1321</v>
      </c>
      <c r="C99" s="553"/>
      <c r="D99" s="553"/>
      <c r="E99" s="553"/>
    </row>
    <row r="100" spans="1:5" ht="18.75">
      <c r="A100" s="584" t="s">
        <v>1326</v>
      </c>
      <c r="B100" s="586" t="s">
        <v>1324</v>
      </c>
      <c r="C100" s="295">
        <f>SUM(C98:C99)</f>
        <v>0</v>
      </c>
      <c r="D100" s="295">
        <f>SUM(D98:D99)</f>
        <v>0</v>
      </c>
      <c r="E100" s="295">
        <f>SUM(E98:E99)</f>
        <v>0</v>
      </c>
    </row>
    <row r="101" spans="1:5" ht="18.75">
      <c r="A101" s="34"/>
      <c r="B101" s="36" t="s">
        <v>118</v>
      </c>
      <c r="C101" s="581">
        <f>SUM(C100+C97+C92+C85+C78+C29+C23)</f>
        <v>21416</v>
      </c>
      <c r="D101" s="581">
        <f>SUM(D100+D97+D92+D85+D78+D29+D23)</f>
        <v>17050</v>
      </c>
      <c r="E101" s="581">
        <f>SUM(E100+E97+E92+E85+E78+E29+E23)</f>
        <v>24276.5025</v>
      </c>
    </row>
  </sheetData>
  <sheetProtection/>
  <mergeCells count="2">
    <mergeCell ref="A2:E2"/>
    <mergeCell ref="F58:J58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50"/>
  </sheetPr>
  <dimension ref="A2:G38"/>
  <sheetViews>
    <sheetView view="pageBreakPreview" zoomScale="60" zoomScalePageLayoutView="0" workbookViewId="0" topLeftCell="A1">
      <selection activeCell="G9" sqref="G9"/>
    </sheetView>
  </sheetViews>
  <sheetFormatPr defaultColWidth="8.66015625" defaultRowHeight="18"/>
  <cols>
    <col min="1" max="1" width="9" style="11" bestFit="1" customWidth="1"/>
    <col min="2" max="2" width="29.08203125" style="11" customWidth="1"/>
    <col min="3" max="3" width="8.91015625" style="11" customWidth="1"/>
    <col min="4" max="4" width="8.41015625" style="18" customWidth="1"/>
    <col min="5" max="5" width="10.91015625" style="11" customWidth="1"/>
    <col min="6" max="16384" width="8.91015625" style="11" customWidth="1"/>
  </cols>
  <sheetData>
    <row r="2" spans="1:4" ht="16.5" thickBot="1">
      <c r="A2" s="11">
        <v>842155</v>
      </c>
      <c r="B2" s="10" t="s">
        <v>222</v>
      </c>
      <c r="C2" s="113"/>
      <c r="D2" s="114"/>
    </row>
    <row r="3" spans="1:7" ht="17.25" thickBot="1" thickTop="1">
      <c r="A3" s="10"/>
      <c r="B3" s="14"/>
      <c r="C3" s="108">
        <v>2012</v>
      </c>
      <c r="D3" s="338" t="s">
        <v>281</v>
      </c>
      <c r="E3" s="328" t="s">
        <v>614</v>
      </c>
      <c r="F3" s="25" t="s">
        <v>626</v>
      </c>
      <c r="G3" s="25" t="s">
        <v>616</v>
      </c>
    </row>
    <row r="4" spans="1:7" ht="16.5" thickTop="1">
      <c r="A4" s="14"/>
      <c r="B4" s="14"/>
      <c r="C4" s="108"/>
      <c r="D4" s="338"/>
      <c r="E4" s="122"/>
      <c r="F4" s="25"/>
      <c r="G4" s="25"/>
    </row>
    <row r="5" spans="1:7" ht="15.75">
      <c r="A5" s="28">
        <v>38115</v>
      </c>
      <c r="B5" s="115" t="s">
        <v>260</v>
      </c>
      <c r="C5" s="25"/>
      <c r="D5" s="116"/>
      <c r="E5" s="122"/>
      <c r="F5" s="25"/>
      <c r="G5" s="25"/>
    </row>
    <row r="6" spans="1:7" ht="15">
      <c r="A6" s="25"/>
      <c r="B6" s="25" t="s">
        <v>167</v>
      </c>
      <c r="C6" s="25"/>
      <c r="D6" s="116"/>
      <c r="E6" s="122"/>
      <c r="F6" s="25"/>
      <c r="G6" s="25"/>
    </row>
    <row r="7" spans="1:7" ht="15.75">
      <c r="A7" s="28"/>
      <c r="B7" s="117"/>
      <c r="C7" s="25"/>
      <c r="D7" s="116"/>
      <c r="E7" s="122"/>
      <c r="F7" s="25"/>
      <c r="G7" s="25"/>
    </row>
    <row r="8" spans="1:7" ht="15">
      <c r="A8" s="25">
        <v>5531</v>
      </c>
      <c r="B8" s="117" t="s">
        <v>295</v>
      </c>
      <c r="C8" s="25">
        <v>1016</v>
      </c>
      <c r="D8" s="116">
        <v>500</v>
      </c>
      <c r="E8" s="122">
        <v>500</v>
      </c>
      <c r="F8" s="25">
        <v>519</v>
      </c>
      <c r="G8" s="25">
        <v>500</v>
      </c>
    </row>
    <row r="9" spans="1:7" ht="15">
      <c r="A9" s="25">
        <v>561111</v>
      </c>
      <c r="B9" s="117" t="s">
        <v>232</v>
      </c>
      <c r="C9" s="25">
        <v>139</v>
      </c>
      <c r="D9" s="116">
        <v>135</v>
      </c>
      <c r="E9" s="122">
        <f>E8*27%</f>
        <v>135</v>
      </c>
      <c r="F9" s="25">
        <v>67</v>
      </c>
      <c r="G9" s="25">
        <v>135</v>
      </c>
    </row>
    <row r="10" spans="1:7" ht="15.75">
      <c r="A10" s="28"/>
      <c r="B10" s="115" t="s">
        <v>29</v>
      </c>
      <c r="C10" s="30">
        <f>SUM(C7:C9)</f>
        <v>1155</v>
      </c>
      <c r="D10" s="30">
        <f>SUM(D6:D9)</f>
        <v>635</v>
      </c>
      <c r="E10" s="116">
        <f>SUM(E8:E9)</f>
        <v>635</v>
      </c>
      <c r="F10" s="116">
        <f>SUM(F8:F9)</f>
        <v>586</v>
      </c>
      <c r="G10" s="116">
        <f>SUM(G8:G9)</f>
        <v>635</v>
      </c>
    </row>
    <row r="11" spans="1:7" ht="15.75">
      <c r="A11" s="28"/>
      <c r="B11" s="115"/>
      <c r="C11" s="25"/>
      <c r="D11" s="116"/>
      <c r="E11" s="122"/>
      <c r="F11" s="25"/>
      <c r="G11" s="25"/>
    </row>
    <row r="12" spans="1:7" s="12" customFormat="1" ht="15.75">
      <c r="A12" s="28"/>
      <c r="B12" s="115" t="s">
        <v>111</v>
      </c>
      <c r="C12" s="30">
        <f>SUM(C10)</f>
        <v>1155</v>
      </c>
      <c r="D12" s="116">
        <f>SUM(D10)</f>
        <v>635</v>
      </c>
      <c r="E12" s="116">
        <f>SUM(E10)</f>
        <v>635</v>
      </c>
      <c r="F12" s="116">
        <f>SUM(F10)</f>
        <v>586</v>
      </c>
      <c r="G12" s="116">
        <f>SUM(G10)</f>
        <v>635</v>
      </c>
    </row>
    <row r="13" spans="1:7" ht="15">
      <c r="A13" s="25"/>
      <c r="B13" s="117"/>
      <c r="C13" s="25"/>
      <c r="D13" s="116"/>
      <c r="E13" s="122"/>
      <c r="F13" s="25"/>
      <c r="G13" s="25"/>
    </row>
    <row r="14" spans="1:7" ht="15.75">
      <c r="A14" s="28"/>
      <c r="B14" s="28" t="s">
        <v>108</v>
      </c>
      <c r="C14" s="30">
        <f>SUM(C12)</f>
        <v>1155</v>
      </c>
      <c r="D14" s="30">
        <f>SUM(D12)</f>
        <v>635</v>
      </c>
      <c r="E14" s="116">
        <f>SUM(E12)</f>
        <v>635</v>
      </c>
      <c r="F14" s="116">
        <f>SUM(F12)</f>
        <v>586</v>
      </c>
      <c r="G14" s="116">
        <f>SUM(G12)</f>
        <v>635</v>
      </c>
    </row>
    <row r="19" spans="1:4" s="12" customFormat="1" ht="15.75">
      <c r="A19" s="11"/>
      <c r="B19" s="11"/>
      <c r="C19" s="11"/>
      <c r="D19" s="18"/>
    </row>
    <row r="20" spans="1:4" s="12" customFormat="1" ht="15.75">
      <c r="A20" s="11"/>
      <c r="B20" s="11"/>
      <c r="C20" s="11"/>
      <c r="D20" s="18"/>
    </row>
    <row r="23" spans="1:4" s="12" customFormat="1" ht="15.75">
      <c r="A23" s="11"/>
      <c r="B23" s="11"/>
      <c r="C23" s="11"/>
      <c r="D23" s="18"/>
    </row>
    <row r="24" spans="1:4" s="12" customFormat="1" ht="15.75">
      <c r="A24" s="11"/>
      <c r="B24" s="11"/>
      <c r="C24" s="11"/>
      <c r="D24" s="18"/>
    </row>
    <row r="25" spans="1:4" s="12" customFormat="1" ht="15.75">
      <c r="A25" s="11"/>
      <c r="B25" s="11"/>
      <c r="C25" s="11"/>
      <c r="D25" s="18"/>
    </row>
    <row r="26" spans="1:2" ht="15.75">
      <c r="A26" s="12"/>
      <c r="B26" s="12"/>
    </row>
    <row r="32" spans="1:4" s="12" customFormat="1" ht="15.75">
      <c r="A32" s="11"/>
      <c r="B32" s="11"/>
      <c r="C32" s="11"/>
      <c r="D32" s="18"/>
    </row>
    <row r="33" spans="1:4" s="12" customFormat="1" ht="15.75">
      <c r="A33" s="11"/>
      <c r="B33" s="11"/>
      <c r="C33" s="11"/>
      <c r="D33" s="18"/>
    </row>
    <row r="38" spans="1:4" s="12" customFormat="1" ht="15.75">
      <c r="A38" s="11"/>
      <c r="B38" s="11"/>
      <c r="C38" s="11"/>
      <c r="D38" s="18"/>
    </row>
  </sheetData>
  <sheetProtection/>
  <printOptions/>
  <pageMargins left="0.7" right="0.7" top="0.75" bottom="0.75" header="0.3" footer="0.3"/>
  <pageSetup horizontalDpi="300" verticalDpi="3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Z280"/>
  <sheetViews>
    <sheetView zoomScalePageLayoutView="0" workbookViewId="0" topLeftCell="A1">
      <selection activeCell="C1" sqref="C1:U1"/>
    </sheetView>
  </sheetViews>
  <sheetFormatPr defaultColWidth="8.66015625" defaultRowHeight="18"/>
  <cols>
    <col min="1" max="31" width="2.08203125" style="545" customWidth="1"/>
    <col min="32" max="32" width="3.25" style="545" customWidth="1"/>
    <col min="33" max="58" width="2.08203125" style="545" customWidth="1"/>
    <col min="59" max="16384" width="8.91015625" style="545" customWidth="1"/>
  </cols>
  <sheetData>
    <row r="1" spans="3:21" ht="12.75">
      <c r="C1" s="648" t="s">
        <v>940</v>
      </c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P1" s="649"/>
      <c r="Q1" s="649"/>
      <c r="R1" s="649"/>
      <c r="S1" s="649"/>
      <c r="T1" s="649"/>
      <c r="U1" s="650"/>
    </row>
    <row r="2" spans="1:52" ht="12.75" customHeight="1">
      <c r="A2" s="625" t="s">
        <v>832</v>
      </c>
      <c r="B2" s="625"/>
      <c r="C2" s="635" t="s">
        <v>943</v>
      </c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636"/>
      <c r="P2" s="636"/>
      <c r="Q2" s="636"/>
      <c r="R2" s="636"/>
      <c r="S2" s="636"/>
      <c r="T2" s="636"/>
      <c r="U2" s="637"/>
      <c r="V2" s="625" t="s">
        <v>834</v>
      </c>
      <c r="W2" s="625"/>
      <c r="X2" s="625"/>
      <c r="Y2" s="625" t="s">
        <v>835</v>
      </c>
      <c r="Z2" s="625"/>
      <c r="AA2" s="625"/>
      <c r="AB2" s="625"/>
      <c r="AC2" s="625" t="s">
        <v>836</v>
      </c>
      <c r="AD2" s="625"/>
      <c r="AE2" s="625"/>
      <c r="AF2" s="625"/>
      <c r="AG2" s="625" t="s">
        <v>837</v>
      </c>
      <c r="AH2" s="625"/>
      <c r="AI2" s="625"/>
      <c r="AJ2" s="625"/>
      <c r="AK2" s="625" t="s">
        <v>838</v>
      </c>
      <c r="AL2" s="625"/>
      <c r="AM2" s="625"/>
      <c r="AN2" s="625"/>
      <c r="AO2" s="625" t="s">
        <v>839</v>
      </c>
      <c r="AP2" s="625"/>
      <c r="AQ2" s="625"/>
      <c r="AR2" s="625"/>
      <c r="AS2" s="625" t="s">
        <v>1231</v>
      </c>
      <c r="AT2" s="625"/>
      <c r="AU2" s="625"/>
      <c r="AV2" s="625"/>
      <c r="AW2" s="625" t="s">
        <v>1232</v>
      </c>
      <c r="AX2" s="625"/>
      <c r="AY2" s="625"/>
      <c r="AZ2" s="625"/>
    </row>
    <row r="3" spans="1:52" ht="12.75" customHeight="1">
      <c r="A3" s="634" t="s">
        <v>840</v>
      </c>
      <c r="B3" s="634"/>
      <c r="C3" s="628" t="s">
        <v>945</v>
      </c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  <c r="P3" s="629"/>
      <c r="Q3" s="629"/>
      <c r="R3" s="629"/>
      <c r="S3" s="629"/>
      <c r="T3" s="629"/>
      <c r="U3" s="630"/>
      <c r="V3" s="691" t="s">
        <v>842</v>
      </c>
      <c r="W3" s="691"/>
      <c r="X3" s="691"/>
      <c r="Y3" s="634"/>
      <c r="Z3" s="634"/>
      <c r="AA3" s="634"/>
      <c r="AB3" s="634"/>
      <c r="AC3" s="634"/>
      <c r="AD3" s="634"/>
      <c r="AE3" s="634"/>
      <c r="AF3" s="634"/>
      <c r="AG3" s="634"/>
      <c r="AH3" s="634"/>
      <c r="AI3" s="634"/>
      <c r="AJ3" s="634"/>
      <c r="AK3" s="634"/>
      <c r="AL3" s="634"/>
      <c r="AM3" s="634"/>
      <c r="AN3" s="634"/>
      <c r="AO3" s="634"/>
      <c r="AP3" s="634"/>
      <c r="AQ3" s="634"/>
      <c r="AR3" s="634"/>
      <c r="AS3" s="634"/>
      <c r="AT3" s="634"/>
      <c r="AU3" s="634"/>
      <c r="AV3" s="634"/>
      <c r="AW3" s="634"/>
      <c r="AX3" s="634"/>
      <c r="AY3" s="634"/>
      <c r="AZ3" s="634"/>
    </row>
    <row r="4" spans="1:52" ht="12.75" customHeight="1">
      <c r="A4" s="634" t="s">
        <v>843</v>
      </c>
      <c r="B4" s="634"/>
      <c r="C4" s="628" t="s">
        <v>948</v>
      </c>
      <c r="D4" s="629"/>
      <c r="E4" s="629"/>
      <c r="F4" s="629"/>
      <c r="G4" s="629"/>
      <c r="H4" s="629"/>
      <c r="I4" s="629"/>
      <c r="J4" s="629"/>
      <c r="K4" s="629"/>
      <c r="L4" s="629"/>
      <c r="M4" s="629"/>
      <c r="N4" s="629"/>
      <c r="O4" s="629"/>
      <c r="P4" s="629"/>
      <c r="Q4" s="629"/>
      <c r="R4" s="629"/>
      <c r="S4" s="629"/>
      <c r="T4" s="629"/>
      <c r="U4" s="630"/>
      <c r="V4" s="691" t="s">
        <v>845</v>
      </c>
      <c r="W4" s="691"/>
      <c r="X4" s="691"/>
      <c r="Y4" s="634"/>
      <c r="Z4" s="634"/>
      <c r="AA4" s="634"/>
      <c r="AB4" s="634"/>
      <c r="AC4" s="634"/>
      <c r="AD4" s="634"/>
      <c r="AE4" s="634"/>
      <c r="AF4" s="634"/>
      <c r="AG4" s="634"/>
      <c r="AH4" s="634"/>
      <c r="AI4" s="634"/>
      <c r="AJ4" s="634"/>
      <c r="AK4" s="634"/>
      <c r="AL4" s="634"/>
      <c r="AM4" s="634"/>
      <c r="AN4" s="634"/>
      <c r="AO4" s="634"/>
      <c r="AP4" s="634"/>
      <c r="AQ4" s="634"/>
      <c r="AR4" s="634"/>
      <c r="AS4" s="634"/>
      <c r="AT4" s="634"/>
      <c r="AU4" s="634"/>
      <c r="AV4" s="634"/>
      <c r="AW4" s="634"/>
      <c r="AX4" s="634"/>
      <c r="AY4" s="634"/>
      <c r="AZ4" s="634"/>
    </row>
    <row r="5" spans="1:52" ht="12.75" customHeight="1">
      <c r="A5" s="634" t="s">
        <v>846</v>
      </c>
      <c r="B5" s="634"/>
      <c r="C5" s="640" t="s">
        <v>950</v>
      </c>
      <c r="D5" s="641"/>
      <c r="E5" s="641"/>
      <c r="F5" s="641"/>
      <c r="G5" s="641"/>
      <c r="H5" s="641"/>
      <c r="I5" s="641"/>
      <c r="J5" s="641"/>
      <c r="K5" s="641"/>
      <c r="L5" s="641"/>
      <c r="M5" s="641"/>
      <c r="N5" s="641"/>
      <c r="O5" s="641"/>
      <c r="P5" s="641"/>
      <c r="Q5" s="641"/>
      <c r="R5" s="641"/>
      <c r="S5" s="641"/>
      <c r="T5" s="641"/>
      <c r="U5" s="642"/>
      <c r="V5" s="691" t="s">
        <v>848</v>
      </c>
      <c r="W5" s="691"/>
      <c r="X5" s="691"/>
      <c r="Y5" s="634"/>
      <c r="Z5" s="634"/>
      <c r="AA5" s="634"/>
      <c r="AB5" s="634"/>
      <c r="AC5" s="634"/>
      <c r="AD5" s="634"/>
      <c r="AE5" s="634"/>
      <c r="AF5" s="634"/>
      <c r="AG5" s="634"/>
      <c r="AH5" s="634"/>
      <c r="AI5" s="634"/>
      <c r="AJ5" s="634"/>
      <c r="AK5" s="634"/>
      <c r="AL5" s="634"/>
      <c r="AM5" s="634"/>
      <c r="AN5" s="634"/>
      <c r="AO5" s="634"/>
      <c r="AP5" s="634"/>
      <c r="AQ5" s="634"/>
      <c r="AR5" s="634"/>
      <c r="AS5" s="634"/>
      <c r="AT5" s="634"/>
      <c r="AU5" s="634"/>
      <c r="AV5" s="634"/>
      <c r="AW5" s="634"/>
      <c r="AX5" s="634"/>
      <c r="AY5" s="634"/>
      <c r="AZ5" s="634"/>
    </row>
    <row r="6" spans="1:52" ht="12.75" customHeight="1">
      <c r="A6" s="634" t="s">
        <v>849</v>
      </c>
      <c r="B6" s="634"/>
      <c r="C6" s="628" t="s">
        <v>952</v>
      </c>
      <c r="D6" s="629"/>
      <c r="E6" s="629"/>
      <c r="F6" s="629"/>
      <c r="G6" s="629"/>
      <c r="H6" s="629"/>
      <c r="I6" s="629"/>
      <c r="J6" s="629"/>
      <c r="K6" s="629"/>
      <c r="L6" s="629"/>
      <c r="M6" s="629"/>
      <c r="N6" s="629"/>
      <c r="O6" s="629"/>
      <c r="P6" s="629"/>
      <c r="Q6" s="629"/>
      <c r="R6" s="629"/>
      <c r="S6" s="629"/>
      <c r="T6" s="629"/>
      <c r="U6" s="630"/>
      <c r="V6" s="691" t="s">
        <v>851</v>
      </c>
      <c r="W6" s="691"/>
      <c r="X6" s="691"/>
      <c r="Y6" s="634"/>
      <c r="Z6" s="634"/>
      <c r="AA6" s="634"/>
      <c r="AB6" s="634"/>
      <c r="AC6" s="634"/>
      <c r="AD6" s="634"/>
      <c r="AE6" s="634"/>
      <c r="AF6" s="634"/>
      <c r="AG6" s="634"/>
      <c r="AH6" s="634"/>
      <c r="AI6" s="634"/>
      <c r="AJ6" s="634"/>
      <c r="AK6" s="634"/>
      <c r="AL6" s="634"/>
      <c r="AM6" s="634"/>
      <c r="AN6" s="634"/>
      <c r="AO6" s="634"/>
      <c r="AP6" s="634"/>
      <c r="AQ6" s="634"/>
      <c r="AR6" s="634"/>
      <c r="AS6" s="634"/>
      <c r="AT6" s="634"/>
      <c r="AU6" s="634"/>
      <c r="AV6" s="634"/>
      <c r="AW6" s="634"/>
      <c r="AX6" s="634"/>
      <c r="AY6" s="634"/>
      <c r="AZ6" s="634"/>
    </row>
    <row r="7" spans="1:52" ht="12.75" customHeight="1">
      <c r="A7" s="634" t="s">
        <v>852</v>
      </c>
      <c r="B7" s="634"/>
      <c r="C7" s="628" t="s">
        <v>954</v>
      </c>
      <c r="D7" s="629"/>
      <c r="E7" s="629"/>
      <c r="F7" s="629"/>
      <c r="G7" s="629"/>
      <c r="H7" s="629"/>
      <c r="I7" s="629"/>
      <c r="J7" s="629"/>
      <c r="K7" s="629"/>
      <c r="L7" s="629"/>
      <c r="M7" s="629"/>
      <c r="N7" s="629"/>
      <c r="O7" s="629"/>
      <c r="P7" s="629"/>
      <c r="Q7" s="629"/>
      <c r="R7" s="629"/>
      <c r="S7" s="629"/>
      <c r="T7" s="629"/>
      <c r="U7" s="630"/>
      <c r="V7" s="691" t="s">
        <v>854</v>
      </c>
      <c r="W7" s="691"/>
      <c r="X7" s="691"/>
      <c r="Y7" s="634"/>
      <c r="Z7" s="634"/>
      <c r="AA7" s="634"/>
      <c r="AB7" s="634"/>
      <c r="AC7" s="634"/>
      <c r="AD7" s="634"/>
      <c r="AE7" s="634"/>
      <c r="AF7" s="634"/>
      <c r="AG7" s="634"/>
      <c r="AH7" s="634"/>
      <c r="AI7" s="634"/>
      <c r="AJ7" s="634"/>
      <c r="AK7" s="634"/>
      <c r="AL7" s="634"/>
      <c r="AM7" s="634"/>
      <c r="AN7" s="634"/>
      <c r="AO7" s="634"/>
      <c r="AP7" s="634"/>
      <c r="AQ7" s="634"/>
      <c r="AR7" s="634"/>
      <c r="AS7" s="634"/>
      <c r="AT7" s="634"/>
      <c r="AU7" s="634"/>
      <c r="AV7" s="634"/>
      <c r="AW7" s="634"/>
      <c r="AX7" s="634"/>
      <c r="AY7" s="634"/>
      <c r="AZ7" s="634"/>
    </row>
    <row r="8" spans="1:52" ht="12.75" customHeight="1">
      <c r="A8" s="634" t="s">
        <v>855</v>
      </c>
      <c r="B8" s="634"/>
      <c r="C8" s="640" t="s">
        <v>956</v>
      </c>
      <c r="D8" s="641"/>
      <c r="E8" s="641"/>
      <c r="F8" s="641"/>
      <c r="G8" s="641"/>
      <c r="H8" s="641"/>
      <c r="I8" s="641"/>
      <c r="J8" s="641"/>
      <c r="K8" s="641"/>
      <c r="L8" s="641"/>
      <c r="M8" s="641"/>
      <c r="N8" s="641"/>
      <c r="O8" s="641"/>
      <c r="P8" s="641"/>
      <c r="Q8" s="641"/>
      <c r="R8" s="641"/>
      <c r="S8" s="641"/>
      <c r="T8" s="641"/>
      <c r="U8" s="642"/>
      <c r="V8" s="691" t="s">
        <v>856</v>
      </c>
      <c r="W8" s="691"/>
      <c r="X8" s="691"/>
      <c r="Y8" s="634"/>
      <c r="Z8" s="634"/>
      <c r="AA8" s="634"/>
      <c r="AB8" s="634"/>
      <c r="AC8" s="634"/>
      <c r="AD8" s="634"/>
      <c r="AE8" s="634"/>
      <c r="AF8" s="634"/>
      <c r="AG8" s="634"/>
      <c r="AH8" s="634"/>
      <c r="AI8" s="634"/>
      <c r="AJ8" s="634"/>
      <c r="AK8" s="634"/>
      <c r="AL8" s="634"/>
      <c r="AM8" s="634"/>
      <c r="AN8" s="634"/>
      <c r="AO8" s="634"/>
      <c r="AP8" s="634"/>
      <c r="AQ8" s="634"/>
      <c r="AR8" s="634"/>
      <c r="AS8" s="634"/>
      <c r="AT8" s="634"/>
      <c r="AU8" s="634"/>
      <c r="AV8" s="634"/>
      <c r="AW8" s="634"/>
      <c r="AX8" s="634"/>
      <c r="AY8" s="634"/>
      <c r="AZ8" s="634"/>
    </row>
    <row r="9" spans="1:52" ht="12.75" customHeight="1">
      <c r="A9" s="634" t="s">
        <v>857</v>
      </c>
      <c r="B9" s="634"/>
      <c r="C9" s="628" t="s">
        <v>958</v>
      </c>
      <c r="D9" s="629"/>
      <c r="E9" s="629"/>
      <c r="F9" s="629"/>
      <c r="G9" s="629"/>
      <c r="H9" s="629"/>
      <c r="I9" s="629"/>
      <c r="J9" s="629"/>
      <c r="K9" s="629"/>
      <c r="L9" s="629"/>
      <c r="M9" s="629"/>
      <c r="N9" s="629"/>
      <c r="O9" s="629"/>
      <c r="P9" s="629"/>
      <c r="Q9" s="629"/>
      <c r="R9" s="629"/>
      <c r="S9" s="629"/>
      <c r="T9" s="629"/>
      <c r="U9" s="630"/>
      <c r="V9" s="691" t="s">
        <v>859</v>
      </c>
      <c r="W9" s="691"/>
      <c r="X9" s="691"/>
      <c r="Y9" s="634"/>
      <c r="Z9" s="634"/>
      <c r="AA9" s="634"/>
      <c r="AB9" s="634"/>
      <c r="AC9" s="634"/>
      <c r="AD9" s="634"/>
      <c r="AE9" s="634"/>
      <c r="AF9" s="634"/>
      <c r="AG9" s="634"/>
      <c r="AH9" s="634"/>
      <c r="AI9" s="634"/>
      <c r="AJ9" s="634"/>
      <c r="AK9" s="634"/>
      <c r="AL9" s="634"/>
      <c r="AM9" s="634"/>
      <c r="AN9" s="634"/>
      <c r="AO9" s="634"/>
      <c r="AP9" s="634"/>
      <c r="AQ9" s="634"/>
      <c r="AR9" s="634"/>
      <c r="AS9" s="634"/>
      <c r="AT9" s="634"/>
      <c r="AU9" s="634"/>
      <c r="AV9" s="634"/>
      <c r="AW9" s="634"/>
      <c r="AX9" s="634"/>
      <c r="AY9" s="634"/>
      <c r="AZ9" s="634"/>
    </row>
    <row r="10" spans="1:52" ht="12.75" customHeight="1">
      <c r="A10" s="634" t="s">
        <v>860</v>
      </c>
      <c r="B10" s="634"/>
      <c r="C10" s="628" t="s">
        <v>960</v>
      </c>
      <c r="D10" s="629"/>
      <c r="E10" s="629"/>
      <c r="F10" s="629"/>
      <c r="G10" s="629"/>
      <c r="H10" s="629"/>
      <c r="I10" s="629"/>
      <c r="J10" s="629"/>
      <c r="K10" s="629"/>
      <c r="L10" s="629"/>
      <c r="M10" s="629"/>
      <c r="N10" s="629"/>
      <c r="O10" s="629"/>
      <c r="P10" s="629"/>
      <c r="Q10" s="629"/>
      <c r="R10" s="629"/>
      <c r="S10" s="629"/>
      <c r="T10" s="629"/>
      <c r="U10" s="630"/>
      <c r="V10" s="691" t="s">
        <v>862</v>
      </c>
      <c r="W10" s="691"/>
      <c r="X10" s="691"/>
      <c r="Y10" s="634"/>
      <c r="Z10" s="634"/>
      <c r="AA10" s="634"/>
      <c r="AB10" s="634"/>
      <c r="AC10" s="634"/>
      <c r="AD10" s="634"/>
      <c r="AE10" s="634"/>
      <c r="AF10" s="634"/>
      <c r="AG10" s="634"/>
      <c r="AH10" s="634"/>
      <c r="AI10" s="634"/>
      <c r="AJ10" s="634"/>
      <c r="AK10" s="634"/>
      <c r="AL10" s="634"/>
      <c r="AM10" s="634"/>
      <c r="AN10" s="634"/>
      <c r="AO10" s="634"/>
      <c r="AP10" s="634"/>
      <c r="AQ10" s="634"/>
      <c r="AR10" s="634"/>
      <c r="AS10" s="634"/>
      <c r="AT10" s="634"/>
      <c r="AU10" s="634"/>
      <c r="AV10" s="634"/>
      <c r="AW10" s="634"/>
      <c r="AX10" s="634"/>
      <c r="AY10" s="634"/>
      <c r="AZ10" s="634"/>
    </row>
    <row r="11" spans="1:52" ht="12.75" customHeight="1">
      <c r="A11" s="634" t="s">
        <v>863</v>
      </c>
      <c r="B11" s="634"/>
      <c r="C11" s="628" t="s">
        <v>962</v>
      </c>
      <c r="D11" s="629"/>
      <c r="E11" s="629"/>
      <c r="F11" s="629"/>
      <c r="G11" s="629"/>
      <c r="H11" s="629"/>
      <c r="I11" s="629"/>
      <c r="J11" s="629"/>
      <c r="K11" s="629"/>
      <c r="L11" s="629"/>
      <c r="M11" s="629"/>
      <c r="N11" s="629"/>
      <c r="O11" s="629"/>
      <c r="P11" s="629"/>
      <c r="Q11" s="629"/>
      <c r="R11" s="629"/>
      <c r="S11" s="629"/>
      <c r="T11" s="629"/>
      <c r="U11" s="630"/>
      <c r="V11" s="691" t="s">
        <v>864</v>
      </c>
      <c r="W11" s="691"/>
      <c r="X11" s="691"/>
      <c r="Y11" s="634"/>
      <c r="Z11" s="634"/>
      <c r="AA11" s="634"/>
      <c r="AB11" s="634"/>
      <c r="AC11" s="634"/>
      <c r="AD11" s="634"/>
      <c r="AE11" s="634"/>
      <c r="AF11" s="634"/>
      <c r="AG11" s="634"/>
      <c r="AH11" s="634"/>
      <c r="AI11" s="634"/>
      <c r="AJ11" s="634"/>
      <c r="AK11" s="634"/>
      <c r="AL11" s="634"/>
      <c r="AM11" s="634"/>
      <c r="AN11" s="634"/>
      <c r="AO11" s="634"/>
      <c r="AP11" s="634"/>
      <c r="AQ11" s="634"/>
      <c r="AR11" s="634"/>
      <c r="AS11" s="634"/>
      <c r="AT11" s="634"/>
      <c r="AU11" s="634"/>
      <c r="AV11" s="634"/>
      <c r="AW11" s="634"/>
      <c r="AX11" s="634"/>
      <c r="AY11" s="634"/>
      <c r="AZ11" s="634"/>
    </row>
    <row r="12" spans="1:52" ht="12.75" customHeight="1">
      <c r="A12" s="634" t="s">
        <v>865</v>
      </c>
      <c r="B12" s="634"/>
      <c r="C12" s="635" t="s">
        <v>943</v>
      </c>
      <c r="D12" s="636"/>
      <c r="E12" s="636"/>
      <c r="F12" s="636"/>
      <c r="G12" s="636"/>
      <c r="H12" s="636"/>
      <c r="I12" s="636"/>
      <c r="J12" s="636"/>
      <c r="K12" s="636"/>
      <c r="L12" s="636"/>
      <c r="M12" s="636"/>
      <c r="N12" s="636"/>
      <c r="O12" s="636"/>
      <c r="P12" s="636"/>
      <c r="Q12" s="636"/>
      <c r="R12" s="636"/>
      <c r="S12" s="636"/>
      <c r="T12" s="636"/>
      <c r="U12" s="637"/>
      <c r="V12" s="691" t="s">
        <v>867</v>
      </c>
      <c r="W12" s="691"/>
      <c r="X12" s="691"/>
      <c r="Y12" s="634"/>
      <c r="Z12" s="634"/>
      <c r="AA12" s="634"/>
      <c r="AB12" s="634"/>
      <c r="AC12" s="634"/>
      <c r="AD12" s="634"/>
      <c r="AE12" s="634"/>
      <c r="AF12" s="634"/>
      <c r="AG12" s="634"/>
      <c r="AH12" s="634"/>
      <c r="AI12" s="634"/>
      <c r="AJ12" s="634"/>
      <c r="AK12" s="634"/>
      <c r="AL12" s="634"/>
      <c r="AM12" s="634"/>
      <c r="AN12" s="634"/>
      <c r="AO12" s="634"/>
      <c r="AP12" s="634"/>
      <c r="AQ12" s="634"/>
      <c r="AR12" s="634"/>
      <c r="AS12" s="634"/>
      <c r="AT12" s="634"/>
      <c r="AU12" s="634"/>
      <c r="AV12" s="634"/>
      <c r="AW12" s="634"/>
      <c r="AX12" s="634"/>
      <c r="AY12" s="634"/>
      <c r="AZ12" s="634"/>
    </row>
    <row r="13" spans="1:52" ht="12.75" customHeight="1">
      <c r="A13" s="634" t="s">
        <v>868</v>
      </c>
      <c r="B13" s="634"/>
      <c r="C13" s="635" t="s">
        <v>964</v>
      </c>
      <c r="D13" s="636"/>
      <c r="E13" s="636"/>
      <c r="F13" s="636"/>
      <c r="G13" s="636"/>
      <c r="H13" s="636"/>
      <c r="I13" s="636"/>
      <c r="J13" s="636"/>
      <c r="K13" s="636"/>
      <c r="L13" s="636"/>
      <c r="M13" s="636"/>
      <c r="N13" s="636"/>
      <c r="O13" s="636"/>
      <c r="P13" s="636"/>
      <c r="Q13" s="636"/>
      <c r="R13" s="636"/>
      <c r="S13" s="636"/>
      <c r="T13" s="636"/>
      <c r="U13" s="637"/>
      <c r="V13" s="691" t="s">
        <v>870</v>
      </c>
      <c r="W13" s="691"/>
      <c r="X13" s="691"/>
      <c r="Y13" s="634"/>
      <c r="Z13" s="634"/>
      <c r="AA13" s="634"/>
      <c r="AB13" s="634"/>
      <c r="AC13" s="634"/>
      <c r="AD13" s="634"/>
      <c r="AE13" s="634"/>
      <c r="AF13" s="634"/>
      <c r="AG13" s="634"/>
      <c r="AH13" s="634"/>
      <c r="AI13" s="634"/>
      <c r="AJ13" s="634"/>
      <c r="AK13" s="634"/>
      <c r="AL13" s="634"/>
      <c r="AM13" s="634"/>
      <c r="AN13" s="634"/>
      <c r="AO13" s="634"/>
      <c r="AP13" s="634"/>
      <c r="AQ13" s="634"/>
      <c r="AR13" s="634"/>
      <c r="AS13" s="634"/>
      <c r="AT13" s="634"/>
      <c r="AU13" s="634"/>
      <c r="AV13" s="634"/>
      <c r="AW13" s="634"/>
      <c r="AX13" s="634"/>
      <c r="AY13" s="634"/>
      <c r="AZ13" s="634"/>
    </row>
    <row r="14" spans="1:52" s="546" customFormat="1" ht="12.75" customHeight="1">
      <c r="A14" s="634" t="s">
        <v>871</v>
      </c>
      <c r="B14" s="634"/>
      <c r="C14" s="628" t="s">
        <v>965</v>
      </c>
      <c r="D14" s="629"/>
      <c r="E14" s="629"/>
      <c r="F14" s="629"/>
      <c r="G14" s="629"/>
      <c r="H14" s="629"/>
      <c r="I14" s="629"/>
      <c r="J14" s="629"/>
      <c r="K14" s="629"/>
      <c r="L14" s="629"/>
      <c r="M14" s="629"/>
      <c r="N14" s="629"/>
      <c r="O14" s="629"/>
      <c r="P14" s="629"/>
      <c r="Q14" s="629"/>
      <c r="R14" s="629"/>
      <c r="S14" s="629"/>
      <c r="T14" s="629"/>
      <c r="U14" s="630"/>
      <c r="V14" s="691" t="s">
        <v>873</v>
      </c>
      <c r="W14" s="691"/>
      <c r="X14" s="691"/>
      <c r="Y14" s="634"/>
      <c r="Z14" s="634"/>
      <c r="AA14" s="634"/>
      <c r="AB14" s="634"/>
      <c r="AC14" s="634"/>
      <c r="AD14" s="634"/>
      <c r="AE14" s="634"/>
      <c r="AF14" s="634"/>
      <c r="AG14" s="634"/>
      <c r="AH14" s="634"/>
      <c r="AI14" s="634"/>
      <c r="AJ14" s="634"/>
      <c r="AK14" s="634"/>
      <c r="AL14" s="634"/>
      <c r="AM14" s="634"/>
      <c r="AN14" s="634"/>
      <c r="AO14" s="634"/>
      <c r="AP14" s="634"/>
      <c r="AQ14" s="634"/>
      <c r="AR14" s="634"/>
      <c r="AS14" s="634"/>
      <c r="AT14" s="634"/>
      <c r="AU14" s="634"/>
      <c r="AV14" s="634"/>
      <c r="AW14" s="634"/>
      <c r="AX14" s="634"/>
      <c r="AY14" s="634"/>
      <c r="AZ14" s="634"/>
    </row>
    <row r="15" spans="1:52" s="546" customFormat="1" ht="12.75" customHeight="1">
      <c r="A15" s="634" t="s">
        <v>874</v>
      </c>
      <c r="B15" s="634"/>
      <c r="C15" s="635" t="s">
        <v>967</v>
      </c>
      <c r="D15" s="636"/>
      <c r="E15" s="636"/>
      <c r="F15" s="636"/>
      <c r="G15" s="636"/>
      <c r="H15" s="636"/>
      <c r="I15" s="636"/>
      <c r="J15" s="636"/>
      <c r="K15" s="636"/>
      <c r="L15" s="636"/>
      <c r="M15" s="636"/>
      <c r="N15" s="636"/>
      <c r="O15" s="636"/>
      <c r="P15" s="636"/>
      <c r="Q15" s="636"/>
      <c r="R15" s="636"/>
      <c r="S15" s="636"/>
      <c r="T15" s="636"/>
      <c r="U15" s="637"/>
      <c r="V15" s="691" t="s">
        <v>876</v>
      </c>
      <c r="W15" s="691"/>
      <c r="X15" s="691"/>
      <c r="Y15" s="634"/>
      <c r="Z15" s="634"/>
      <c r="AA15" s="634"/>
      <c r="AB15" s="634"/>
      <c r="AC15" s="634"/>
      <c r="AD15" s="634"/>
      <c r="AE15" s="634"/>
      <c r="AF15" s="634"/>
      <c r="AG15" s="634"/>
      <c r="AH15" s="634"/>
      <c r="AI15" s="634"/>
      <c r="AJ15" s="634"/>
      <c r="AK15" s="634"/>
      <c r="AL15" s="634"/>
      <c r="AM15" s="634"/>
      <c r="AN15" s="634"/>
      <c r="AO15" s="634"/>
      <c r="AP15" s="634"/>
      <c r="AQ15" s="634"/>
      <c r="AR15" s="634"/>
      <c r="AS15" s="634"/>
      <c r="AT15" s="634"/>
      <c r="AU15" s="634"/>
      <c r="AV15" s="634"/>
      <c r="AW15" s="634"/>
      <c r="AX15" s="634"/>
      <c r="AY15" s="634"/>
      <c r="AZ15" s="634"/>
    </row>
    <row r="16" spans="1:52" s="548" customFormat="1" ht="12.75" customHeight="1">
      <c r="A16" s="634" t="s">
        <v>877</v>
      </c>
      <c r="B16" s="634"/>
      <c r="C16" s="635" t="s">
        <v>968</v>
      </c>
      <c r="D16" s="636"/>
      <c r="E16" s="636"/>
      <c r="F16" s="636"/>
      <c r="G16" s="636"/>
      <c r="H16" s="636"/>
      <c r="I16" s="636"/>
      <c r="J16" s="636"/>
      <c r="K16" s="636"/>
      <c r="L16" s="636"/>
      <c r="M16" s="636"/>
      <c r="N16" s="636"/>
      <c r="O16" s="636"/>
      <c r="P16" s="636"/>
      <c r="Q16" s="636"/>
      <c r="R16" s="636"/>
      <c r="S16" s="636"/>
      <c r="T16" s="636"/>
      <c r="U16" s="637"/>
      <c r="V16" s="691" t="s">
        <v>876</v>
      </c>
      <c r="W16" s="691"/>
      <c r="X16" s="691"/>
      <c r="Y16" s="671"/>
      <c r="Z16" s="671"/>
      <c r="AA16" s="671"/>
      <c r="AB16" s="671"/>
      <c r="AC16" s="671"/>
      <c r="AD16" s="671"/>
      <c r="AE16" s="671"/>
      <c r="AF16" s="671"/>
      <c r="AG16" s="671"/>
      <c r="AH16" s="671"/>
      <c r="AI16" s="671"/>
      <c r="AJ16" s="671"/>
      <c r="AK16" s="671"/>
      <c r="AL16" s="671"/>
      <c r="AM16" s="671"/>
      <c r="AN16" s="671"/>
      <c r="AO16" s="671"/>
      <c r="AP16" s="671"/>
      <c r="AQ16" s="671"/>
      <c r="AR16" s="671"/>
      <c r="AS16" s="671"/>
      <c r="AT16" s="671"/>
      <c r="AU16" s="671"/>
      <c r="AV16" s="671"/>
      <c r="AW16" s="634"/>
      <c r="AX16" s="634"/>
      <c r="AY16" s="634"/>
      <c r="AZ16" s="634"/>
    </row>
    <row r="17" spans="1:52" s="546" customFormat="1" ht="12.75" customHeight="1">
      <c r="A17" s="675" t="s">
        <v>879</v>
      </c>
      <c r="B17" s="675"/>
      <c r="C17" s="635" t="s">
        <v>969</v>
      </c>
      <c r="D17" s="636"/>
      <c r="E17" s="636"/>
      <c r="F17" s="636"/>
      <c r="G17" s="636"/>
      <c r="H17" s="636"/>
      <c r="I17" s="636"/>
      <c r="J17" s="636"/>
      <c r="K17" s="636"/>
      <c r="L17" s="636"/>
      <c r="M17" s="636"/>
      <c r="N17" s="636"/>
      <c r="O17" s="636"/>
      <c r="P17" s="636"/>
      <c r="Q17" s="636"/>
      <c r="R17" s="636"/>
      <c r="S17" s="636"/>
      <c r="T17" s="636"/>
      <c r="U17" s="637"/>
      <c r="V17" s="692" t="s">
        <v>881</v>
      </c>
      <c r="W17" s="692"/>
      <c r="X17" s="692"/>
      <c r="Y17" s="646"/>
      <c r="Z17" s="693"/>
      <c r="AA17" s="693"/>
      <c r="AB17" s="693"/>
      <c r="AC17" s="646"/>
      <c r="AD17" s="693"/>
      <c r="AE17" s="693"/>
      <c r="AF17" s="693"/>
      <c r="AG17" s="646"/>
      <c r="AH17" s="693"/>
      <c r="AI17" s="693"/>
      <c r="AJ17" s="693"/>
      <c r="AK17" s="646"/>
      <c r="AL17" s="693"/>
      <c r="AM17" s="693"/>
      <c r="AN17" s="693"/>
      <c r="AO17" s="646"/>
      <c r="AP17" s="693"/>
      <c r="AQ17" s="693"/>
      <c r="AR17" s="693"/>
      <c r="AS17" s="646"/>
      <c r="AT17" s="693"/>
      <c r="AU17" s="693"/>
      <c r="AV17" s="693"/>
      <c r="AW17" s="646"/>
      <c r="AX17" s="693"/>
      <c r="AY17" s="693"/>
      <c r="AZ17" s="693"/>
    </row>
    <row r="18" spans="1:52" ht="12.75" customHeight="1">
      <c r="A18" s="634" t="s">
        <v>882</v>
      </c>
      <c r="B18" s="634"/>
      <c r="C18" s="628" t="s">
        <v>970</v>
      </c>
      <c r="D18" s="629"/>
      <c r="E18" s="629"/>
      <c r="F18" s="629"/>
      <c r="G18" s="629"/>
      <c r="H18" s="629"/>
      <c r="I18" s="629"/>
      <c r="J18" s="629"/>
      <c r="K18" s="629"/>
      <c r="L18" s="629"/>
      <c r="M18" s="629"/>
      <c r="N18" s="629"/>
      <c r="O18" s="629"/>
      <c r="P18" s="629"/>
      <c r="Q18" s="629"/>
      <c r="R18" s="629"/>
      <c r="S18" s="629"/>
      <c r="T18" s="629"/>
      <c r="U18" s="630"/>
      <c r="V18" s="691" t="s">
        <v>884</v>
      </c>
      <c r="W18" s="691"/>
      <c r="X18" s="691"/>
      <c r="Y18" s="634"/>
      <c r="Z18" s="634"/>
      <c r="AA18" s="634"/>
      <c r="AB18" s="634"/>
      <c r="AC18" s="634"/>
      <c r="AD18" s="634"/>
      <c r="AE18" s="634"/>
      <c r="AF18" s="634"/>
      <c r="AG18" s="634"/>
      <c r="AH18" s="634"/>
      <c r="AI18" s="634"/>
      <c r="AJ18" s="634"/>
      <c r="AK18" s="634"/>
      <c r="AL18" s="634"/>
      <c r="AM18" s="634"/>
      <c r="AN18" s="634"/>
      <c r="AO18" s="634"/>
      <c r="AP18" s="634"/>
      <c r="AQ18" s="634"/>
      <c r="AR18" s="634"/>
      <c r="AS18" s="634"/>
      <c r="AT18" s="634"/>
      <c r="AU18" s="634"/>
      <c r="AV18" s="634"/>
      <c r="AW18" s="634"/>
      <c r="AX18" s="634"/>
      <c r="AY18" s="634"/>
      <c r="AZ18" s="634"/>
    </row>
    <row r="19" spans="1:52" ht="25.5" customHeight="1">
      <c r="A19" s="634" t="s">
        <v>885</v>
      </c>
      <c r="B19" s="634"/>
      <c r="C19" s="640" t="s">
        <v>972</v>
      </c>
      <c r="D19" s="641"/>
      <c r="E19" s="641"/>
      <c r="F19" s="641"/>
      <c r="G19" s="641"/>
      <c r="H19" s="641"/>
      <c r="I19" s="641"/>
      <c r="J19" s="641"/>
      <c r="K19" s="641"/>
      <c r="L19" s="641"/>
      <c r="M19" s="641"/>
      <c r="N19" s="641"/>
      <c r="O19" s="641"/>
      <c r="P19" s="641"/>
      <c r="Q19" s="641"/>
      <c r="R19" s="641"/>
      <c r="S19" s="641"/>
      <c r="T19" s="641"/>
      <c r="U19" s="642"/>
      <c r="V19" s="691" t="s">
        <v>887</v>
      </c>
      <c r="W19" s="691"/>
      <c r="X19" s="691"/>
      <c r="Y19" s="634"/>
      <c r="Z19" s="634"/>
      <c r="AA19" s="634"/>
      <c r="AB19" s="634"/>
      <c r="AC19" s="634"/>
      <c r="AD19" s="634"/>
      <c r="AE19" s="634"/>
      <c r="AF19" s="634"/>
      <c r="AG19" s="634"/>
      <c r="AH19" s="634"/>
      <c r="AI19" s="634"/>
      <c r="AJ19" s="634"/>
      <c r="AK19" s="634"/>
      <c r="AL19" s="634"/>
      <c r="AM19" s="634"/>
      <c r="AN19" s="634"/>
      <c r="AO19" s="634"/>
      <c r="AP19" s="634"/>
      <c r="AQ19" s="634"/>
      <c r="AR19" s="634"/>
      <c r="AS19" s="634"/>
      <c r="AT19" s="634"/>
      <c r="AU19" s="634"/>
      <c r="AV19" s="634"/>
      <c r="AW19" s="634"/>
      <c r="AX19" s="634"/>
      <c r="AY19" s="634"/>
      <c r="AZ19" s="634"/>
    </row>
    <row r="20" spans="1:52" ht="12.75" customHeight="1">
      <c r="A20" s="634" t="s">
        <v>888</v>
      </c>
      <c r="B20" s="634"/>
      <c r="C20" s="690" t="s">
        <v>889</v>
      </c>
      <c r="D20" s="690"/>
      <c r="E20" s="690"/>
      <c r="F20" s="690"/>
      <c r="G20" s="690"/>
      <c r="H20" s="690"/>
      <c r="I20" s="690"/>
      <c r="J20" s="690"/>
      <c r="K20" s="690"/>
      <c r="L20" s="690"/>
      <c r="M20" s="690"/>
      <c r="N20" s="690"/>
      <c r="O20" s="690"/>
      <c r="P20" s="690"/>
      <c r="Q20" s="690"/>
      <c r="R20" s="690"/>
      <c r="S20" s="690"/>
      <c r="T20" s="690"/>
      <c r="U20" s="690"/>
      <c r="V20" s="691" t="s">
        <v>890</v>
      </c>
      <c r="W20" s="691"/>
      <c r="X20" s="691"/>
      <c r="Y20" s="634"/>
      <c r="Z20" s="634"/>
      <c r="AA20" s="634"/>
      <c r="AB20" s="634"/>
      <c r="AC20" s="634"/>
      <c r="AD20" s="634"/>
      <c r="AE20" s="634"/>
      <c r="AF20" s="634"/>
      <c r="AG20" s="634"/>
      <c r="AH20" s="634"/>
      <c r="AI20" s="634"/>
      <c r="AJ20" s="634"/>
      <c r="AK20" s="634"/>
      <c r="AL20" s="634"/>
      <c r="AM20" s="634"/>
      <c r="AN20" s="634"/>
      <c r="AO20" s="634"/>
      <c r="AP20" s="634"/>
      <c r="AQ20" s="634"/>
      <c r="AR20" s="634"/>
      <c r="AS20" s="634"/>
      <c r="AT20" s="634"/>
      <c r="AU20" s="634"/>
      <c r="AV20" s="634"/>
      <c r="AW20" s="634"/>
      <c r="AX20" s="634"/>
      <c r="AY20" s="634"/>
      <c r="AZ20" s="634"/>
    </row>
    <row r="21" spans="1:52" ht="12.75" customHeight="1">
      <c r="A21" s="675" t="s">
        <v>891</v>
      </c>
      <c r="B21" s="675"/>
      <c r="C21" s="688" t="s">
        <v>892</v>
      </c>
      <c r="D21" s="688"/>
      <c r="E21" s="688"/>
      <c r="F21" s="688"/>
      <c r="G21" s="688"/>
      <c r="H21" s="688"/>
      <c r="I21" s="688"/>
      <c r="J21" s="688"/>
      <c r="K21" s="688"/>
      <c r="L21" s="688"/>
      <c r="M21" s="688"/>
      <c r="N21" s="688"/>
      <c r="O21" s="688"/>
      <c r="P21" s="688"/>
      <c r="Q21" s="688"/>
      <c r="R21" s="688"/>
      <c r="S21" s="688"/>
      <c r="T21" s="688"/>
      <c r="U21" s="688"/>
      <c r="V21" s="692" t="s">
        <v>893</v>
      </c>
      <c r="W21" s="692"/>
      <c r="X21" s="692"/>
      <c r="Y21" s="646"/>
      <c r="Z21" s="693"/>
      <c r="AA21" s="693"/>
      <c r="AB21" s="693"/>
      <c r="AC21" s="646"/>
      <c r="AD21" s="693"/>
      <c r="AE21" s="693"/>
      <c r="AF21" s="693"/>
      <c r="AG21" s="646"/>
      <c r="AH21" s="693"/>
      <c r="AI21" s="693"/>
      <c r="AJ21" s="693"/>
      <c r="AK21" s="646"/>
      <c r="AL21" s="693"/>
      <c r="AM21" s="693"/>
      <c r="AN21" s="693"/>
      <c r="AO21" s="646"/>
      <c r="AP21" s="693"/>
      <c r="AQ21" s="693"/>
      <c r="AR21" s="693"/>
      <c r="AS21" s="646"/>
      <c r="AT21" s="693"/>
      <c r="AU21" s="693"/>
      <c r="AV21" s="693"/>
      <c r="AW21" s="646"/>
      <c r="AX21" s="693"/>
      <c r="AY21" s="693"/>
      <c r="AZ21" s="693"/>
    </row>
    <row r="22" spans="1:52" ht="12.75" customHeight="1">
      <c r="A22" s="675" t="s">
        <v>894</v>
      </c>
      <c r="B22" s="675"/>
      <c r="C22" s="688" t="s">
        <v>895</v>
      </c>
      <c r="D22" s="688"/>
      <c r="E22" s="688"/>
      <c r="F22" s="688"/>
      <c r="G22" s="688"/>
      <c r="H22" s="688"/>
      <c r="I22" s="688"/>
      <c r="J22" s="688"/>
      <c r="K22" s="688"/>
      <c r="L22" s="688"/>
      <c r="M22" s="688"/>
      <c r="N22" s="688"/>
      <c r="O22" s="688"/>
      <c r="P22" s="688"/>
      <c r="Q22" s="688"/>
      <c r="R22" s="688"/>
      <c r="S22" s="688"/>
      <c r="T22" s="688"/>
      <c r="U22" s="688"/>
      <c r="V22" s="692" t="s">
        <v>896</v>
      </c>
      <c r="W22" s="692"/>
      <c r="X22" s="692"/>
      <c r="Y22" s="646"/>
      <c r="Z22" s="693"/>
      <c r="AA22" s="693"/>
      <c r="AB22" s="693"/>
      <c r="AC22" s="646"/>
      <c r="AD22" s="693"/>
      <c r="AE22" s="693"/>
      <c r="AF22" s="693"/>
      <c r="AG22" s="646"/>
      <c r="AH22" s="693"/>
      <c r="AI22" s="693"/>
      <c r="AJ22" s="693"/>
      <c r="AK22" s="646"/>
      <c r="AL22" s="693"/>
      <c r="AM22" s="693"/>
      <c r="AN22" s="693"/>
      <c r="AO22" s="646"/>
      <c r="AP22" s="693"/>
      <c r="AQ22" s="693"/>
      <c r="AR22" s="693"/>
      <c r="AS22" s="646"/>
      <c r="AT22" s="693"/>
      <c r="AU22" s="693"/>
      <c r="AV22" s="693"/>
      <c r="AW22" s="646"/>
      <c r="AX22" s="693"/>
      <c r="AY22" s="693"/>
      <c r="AZ22" s="693"/>
    </row>
    <row r="23" spans="1:52" s="549" customFormat="1" ht="25.5" customHeight="1">
      <c r="A23" s="675">
        <v>21</v>
      </c>
      <c r="B23" s="675"/>
      <c r="C23" s="688" t="s">
        <v>897</v>
      </c>
      <c r="D23" s="688"/>
      <c r="E23" s="688"/>
      <c r="F23" s="688"/>
      <c r="G23" s="688"/>
      <c r="H23" s="688"/>
      <c r="I23" s="688"/>
      <c r="J23" s="688"/>
      <c r="K23" s="688"/>
      <c r="L23" s="688"/>
      <c r="M23" s="688"/>
      <c r="N23" s="688"/>
      <c r="O23" s="688"/>
      <c r="P23" s="688"/>
      <c r="Q23" s="688"/>
      <c r="R23" s="688"/>
      <c r="S23" s="688"/>
      <c r="T23" s="688"/>
      <c r="U23" s="688"/>
      <c r="V23" s="692" t="s">
        <v>898</v>
      </c>
      <c r="W23" s="692"/>
      <c r="X23" s="692"/>
      <c r="Y23" s="634"/>
      <c r="Z23" s="634"/>
      <c r="AA23" s="634"/>
      <c r="AB23" s="634"/>
      <c r="AC23" s="634"/>
      <c r="AD23" s="634"/>
      <c r="AE23" s="634"/>
      <c r="AF23" s="634"/>
      <c r="AG23" s="634"/>
      <c r="AH23" s="634"/>
      <c r="AI23" s="634"/>
      <c r="AJ23" s="634"/>
      <c r="AK23" s="634"/>
      <c r="AL23" s="634"/>
      <c r="AM23" s="634"/>
      <c r="AN23" s="634"/>
      <c r="AO23" s="634"/>
      <c r="AP23" s="634"/>
      <c r="AQ23" s="634"/>
      <c r="AR23" s="634"/>
      <c r="AS23" s="634"/>
      <c r="AT23" s="634"/>
      <c r="AU23" s="634"/>
      <c r="AV23" s="634"/>
      <c r="AW23" s="646"/>
      <c r="AX23" s="646"/>
      <c r="AY23" s="646"/>
      <c r="AZ23" s="646"/>
    </row>
    <row r="24" spans="1:52" s="548" customFormat="1" ht="12.75" customHeight="1">
      <c r="A24" s="634">
        <v>22</v>
      </c>
      <c r="B24" s="634"/>
      <c r="C24" s="694" t="s">
        <v>899</v>
      </c>
      <c r="D24" s="694"/>
      <c r="E24" s="694"/>
      <c r="F24" s="694"/>
      <c r="G24" s="694"/>
      <c r="H24" s="694"/>
      <c r="I24" s="694"/>
      <c r="J24" s="694"/>
      <c r="K24" s="694"/>
      <c r="L24" s="694"/>
      <c r="M24" s="694"/>
      <c r="N24" s="694"/>
      <c r="O24" s="694"/>
      <c r="P24" s="694"/>
      <c r="Q24" s="694"/>
      <c r="R24" s="694"/>
      <c r="S24" s="694"/>
      <c r="T24" s="694"/>
      <c r="U24" s="694"/>
      <c r="V24" s="691" t="s">
        <v>898</v>
      </c>
      <c r="W24" s="691"/>
      <c r="X24" s="691"/>
      <c r="Y24" s="671"/>
      <c r="Z24" s="671"/>
      <c r="AA24" s="671"/>
      <c r="AB24" s="671"/>
      <c r="AC24" s="671"/>
      <c r="AD24" s="671"/>
      <c r="AE24" s="671"/>
      <c r="AF24" s="671"/>
      <c r="AG24" s="671"/>
      <c r="AH24" s="671"/>
      <c r="AI24" s="671"/>
      <c r="AJ24" s="671"/>
      <c r="AK24" s="671"/>
      <c r="AL24" s="671"/>
      <c r="AM24" s="671"/>
      <c r="AN24" s="671"/>
      <c r="AO24" s="671"/>
      <c r="AP24" s="671"/>
      <c r="AQ24" s="671"/>
      <c r="AR24" s="671"/>
      <c r="AS24" s="671"/>
      <c r="AT24" s="671"/>
      <c r="AU24" s="671"/>
      <c r="AV24" s="671"/>
      <c r="AW24" s="634"/>
      <c r="AX24" s="634"/>
      <c r="AY24" s="634"/>
      <c r="AZ24" s="634"/>
    </row>
    <row r="25" spans="1:52" ht="12.75" customHeight="1">
      <c r="A25" s="634">
        <v>23</v>
      </c>
      <c r="B25" s="634"/>
      <c r="C25" s="694" t="s">
        <v>900</v>
      </c>
      <c r="D25" s="694"/>
      <c r="E25" s="694"/>
      <c r="F25" s="694"/>
      <c r="G25" s="694"/>
      <c r="H25" s="694"/>
      <c r="I25" s="694"/>
      <c r="J25" s="694"/>
      <c r="K25" s="694"/>
      <c r="L25" s="694"/>
      <c r="M25" s="694"/>
      <c r="N25" s="694"/>
      <c r="O25" s="694"/>
      <c r="P25" s="694"/>
      <c r="Q25" s="694"/>
      <c r="R25" s="694"/>
      <c r="S25" s="694"/>
      <c r="T25" s="694"/>
      <c r="U25" s="694"/>
      <c r="V25" s="691" t="s">
        <v>898</v>
      </c>
      <c r="W25" s="691"/>
      <c r="X25" s="691"/>
      <c r="Y25" s="671"/>
      <c r="Z25" s="671"/>
      <c r="AA25" s="671"/>
      <c r="AB25" s="671"/>
      <c r="AC25" s="671"/>
      <c r="AD25" s="671"/>
      <c r="AE25" s="671"/>
      <c r="AF25" s="671"/>
      <c r="AG25" s="671"/>
      <c r="AH25" s="671"/>
      <c r="AI25" s="671"/>
      <c r="AJ25" s="671"/>
      <c r="AK25" s="671"/>
      <c r="AL25" s="671"/>
      <c r="AM25" s="671"/>
      <c r="AN25" s="671"/>
      <c r="AO25" s="671"/>
      <c r="AP25" s="671"/>
      <c r="AQ25" s="671"/>
      <c r="AR25" s="671"/>
      <c r="AS25" s="671"/>
      <c r="AT25" s="671"/>
      <c r="AU25" s="671"/>
      <c r="AV25" s="671"/>
      <c r="AW25" s="634"/>
      <c r="AX25" s="634"/>
      <c r="AY25" s="634"/>
      <c r="AZ25" s="634"/>
    </row>
    <row r="26" spans="1:52" ht="12.75" customHeight="1">
      <c r="A26" s="634">
        <v>24</v>
      </c>
      <c r="B26" s="634"/>
      <c r="C26" s="694" t="s">
        <v>901</v>
      </c>
      <c r="D26" s="694"/>
      <c r="E26" s="694"/>
      <c r="F26" s="694"/>
      <c r="G26" s="694"/>
      <c r="H26" s="694"/>
      <c r="I26" s="694"/>
      <c r="J26" s="694"/>
      <c r="K26" s="694"/>
      <c r="L26" s="694"/>
      <c r="M26" s="694"/>
      <c r="N26" s="694"/>
      <c r="O26" s="694"/>
      <c r="P26" s="694"/>
      <c r="Q26" s="694"/>
      <c r="R26" s="694"/>
      <c r="S26" s="694"/>
      <c r="T26" s="694"/>
      <c r="U26" s="694"/>
      <c r="V26" s="691" t="s">
        <v>898</v>
      </c>
      <c r="W26" s="691"/>
      <c r="X26" s="691"/>
      <c r="Y26" s="671"/>
      <c r="Z26" s="671"/>
      <c r="AA26" s="671"/>
      <c r="AB26" s="671"/>
      <c r="AC26" s="671"/>
      <c r="AD26" s="671"/>
      <c r="AE26" s="671"/>
      <c r="AF26" s="671"/>
      <c r="AG26" s="671"/>
      <c r="AH26" s="671"/>
      <c r="AI26" s="671"/>
      <c r="AJ26" s="671"/>
      <c r="AK26" s="671"/>
      <c r="AL26" s="671"/>
      <c r="AM26" s="671"/>
      <c r="AN26" s="671"/>
      <c r="AO26" s="671"/>
      <c r="AP26" s="671"/>
      <c r="AQ26" s="671"/>
      <c r="AR26" s="671"/>
      <c r="AS26" s="671"/>
      <c r="AT26" s="671"/>
      <c r="AU26" s="671"/>
      <c r="AV26" s="671"/>
      <c r="AW26" s="634"/>
      <c r="AX26" s="634"/>
      <c r="AY26" s="634"/>
      <c r="AZ26" s="634"/>
    </row>
    <row r="27" spans="1:52" ht="12.75" customHeight="1">
      <c r="A27" s="634">
        <v>25</v>
      </c>
      <c r="B27" s="634"/>
      <c r="C27" s="694" t="s">
        <v>902</v>
      </c>
      <c r="D27" s="694"/>
      <c r="E27" s="694"/>
      <c r="F27" s="694"/>
      <c r="G27" s="694"/>
      <c r="H27" s="694"/>
      <c r="I27" s="694"/>
      <c r="J27" s="694"/>
      <c r="K27" s="694"/>
      <c r="L27" s="694"/>
      <c r="M27" s="694"/>
      <c r="N27" s="694"/>
      <c r="O27" s="694"/>
      <c r="P27" s="694"/>
      <c r="Q27" s="694"/>
      <c r="R27" s="694"/>
      <c r="S27" s="694"/>
      <c r="T27" s="694"/>
      <c r="U27" s="694"/>
      <c r="V27" s="691" t="s">
        <v>898</v>
      </c>
      <c r="W27" s="691"/>
      <c r="X27" s="691"/>
      <c r="Y27" s="671"/>
      <c r="Z27" s="671"/>
      <c r="AA27" s="671"/>
      <c r="AB27" s="671"/>
      <c r="AC27" s="671"/>
      <c r="AD27" s="671"/>
      <c r="AE27" s="671"/>
      <c r="AF27" s="671"/>
      <c r="AG27" s="671"/>
      <c r="AH27" s="671"/>
      <c r="AI27" s="671"/>
      <c r="AJ27" s="671"/>
      <c r="AK27" s="671"/>
      <c r="AL27" s="671"/>
      <c r="AM27" s="671"/>
      <c r="AN27" s="671"/>
      <c r="AO27" s="671"/>
      <c r="AP27" s="671"/>
      <c r="AQ27" s="671"/>
      <c r="AR27" s="671"/>
      <c r="AS27" s="671"/>
      <c r="AT27" s="671"/>
      <c r="AU27" s="671"/>
      <c r="AV27" s="671"/>
      <c r="AW27" s="634"/>
      <c r="AX27" s="634"/>
      <c r="AY27" s="634"/>
      <c r="AZ27" s="634"/>
    </row>
    <row r="28" spans="1:52" ht="12.75" customHeight="1">
      <c r="A28" s="634">
        <v>26</v>
      </c>
      <c r="B28" s="634"/>
      <c r="C28" s="694" t="s">
        <v>903</v>
      </c>
      <c r="D28" s="694"/>
      <c r="E28" s="694"/>
      <c r="F28" s="694"/>
      <c r="G28" s="694"/>
      <c r="H28" s="694"/>
      <c r="I28" s="694"/>
      <c r="J28" s="694"/>
      <c r="K28" s="694"/>
      <c r="L28" s="694"/>
      <c r="M28" s="694"/>
      <c r="N28" s="694"/>
      <c r="O28" s="694"/>
      <c r="P28" s="694"/>
      <c r="Q28" s="694"/>
      <c r="R28" s="694"/>
      <c r="S28" s="694"/>
      <c r="T28" s="694"/>
      <c r="U28" s="694"/>
      <c r="V28" s="691" t="s">
        <v>898</v>
      </c>
      <c r="W28" s="691"/>
      <c r="X28" s="691"/>
      <c r="Y28" s="671"/>
      <c r="Z28" s="671"/>
      <c r="AA28" s="671"/>
      <c r="AB28" s="671"/>
      <c r="AC28" s="671"/>
      <c r="AD28" s="671"/>
      <c r="AE28" s="671"/>
      <c r="AF28" s="671"/>
      <c r="AG28" s="671"/>
      <c r="AH28" s="671"/>
      <c r="AI28" s="671"/>
      <c r="AJ28" s="671"/>
      <c r="AK28" s="671"/>
      <c r="AL28" s="671"/>
      <c r="AM28" s="671"/>
      <c r="AN28" s="671"/>
      <c r="AO28" s="671"/>
      <c r="AP28" s="671"/>
      <c r="AQ28" s="671"/>
      <c r="AR28" s="671"/>
      <c r="AS28" s="671"/>
      <c r="AT28" s="671"/>
      <c r="AU28" s="671"/>
      <c r="AV28" s="671"/>
      <c r="AW28" s="634"/>
      <c r="AX28" s="634"/>
      <c r="AY28" s="634"/>
      <c r="AZ28" s="634"/>
    </row>
    <row r="29" spans="1:52" ht="39" customHeight="1">
      <c r="A29" s="634">
        <v>27</v>
      </c>
      <c r="B29" s="634"/>
      <c r="C29" s="694" t="s">
        <v>904</v>
      </c>
      <c r="D29" s="694"/>
      <c r="E29" s="694"/>
      <c r="F29" s="694"/>
      <c r="G29" s="694"/>
      <c r="H29" s="694"/>
      <c r="I29" s="694"/>
      <c r="J29" s="694"/>
      <c r="K29" s="694"/>
      <c r="L29" s="694"/>
      <c r="M29" s="694"/>
      <c r="N29" s="694"/>
      <c r="O29" s="694"/>
      <c r="P29" s="694"/>
      <c r="Q29" s="694"/>
      <c r="R29" s="694"/>
      <c r="S29" s="694"/>
      <c r="T29" s="694"/>
      <c r="U29" s="694"/>
      <c r="V29" s="691" t="s">
        <v>898</v>
      </c>
      <c r="W29" s="691"/>
      <c r="X29" s="691"/>
      <c r="Y29" s="671"/>
      <c r="Z29" s="671"/>
      <c r="AA29" s="671"/>
      <c r="AB29" s="671"/>
      <c r="AC29" s="671"/>
      <c r="AD29" s="671"/>
      <c r="AE29" s="671"/>
      <c r="AF29" s="671"/>
      <c r="AG29" s="671"/>
      <c r="AH29" s="671"/>
      <c r="AI29" s="671"/>
      <c r="AJ29" s="671"/>
      <c r="AK29" s="671"/>
      <c r="AL29" s="671"/>
      <c r="AM29" s="671"/>
      <c r="AN29" s="671"/>
      <c r="AO29" s="671"/>
      <c r="AP29" s="671"/>
      <c r="AQ29" s="671"/>
      <c r="AR29" s="671"/>
      <c r="AS29" s="671"/>
      <c r="AT29" s="671"/>
      <c r="AU29" s="671"/>
      <c r="AV29" s="671"/>
      <c r="AW29" s="634"/>
      <c r="AX29" s="634"/>
      <c r="AY29" s="634"/>
      <c r="AZ29" s="634"/>
    </row>
    <row r="30" spans="1:52" ht="12.75" customHeight="1">
      <c r="A30" s="634">
        <v>28</v>
      </c>
      <c r="B30" s="634"/>
      <c r="C30" s="694" t="s">
        <v>905</v>
      </c>
      <c r="D30" s="694"/>
      <c r="E30" s="694"/>
      <c r="F30" s="694"/>
      <c r="G30" s="694"/>
      <c r="H30" s="694"/>
      <c r="I30" s="694"/>
      <c r="J30" s="694"/>
      <c r="K30" s="694"/>
      <c r="L30" s="694"/>
      <c r="M30" s="694"/>
      <c r="N30" s="694"/>
      <c r="O30" s="694"/>
      <c r="P30" s="694"/>
      <c r="Q30" s="694"/>
      <c r="R30" s="694"/>
      <c r="S30" s="694"/>
      <c r="T30" s="694"/>
      <c r="U30" s="694"/>
      <c r="V30" s="691" t="s">
        <v>898</v>
      </c>
      <c r="W30" s="691"/>
      <c r="X30" s="691"/>
      <c r="Y30" s="671"/>
      <c r="Z30" s="671"/>
      <c r="AA30" s="671"/>
      <c r="AB30" s="671"/>
      <c r="AC30" s="671"/>
      <c r="AD30" s="671"/>
      <c r="AE30" s="671"/>
      <c r="AF30" s="671"/>
      <c r="AG30" s="671"/>
      <c r="AH30" s="671"/>
      <c r="AI30" s="671"/>
      <c r="AJ30" s="671"/>
      <c r="AK30" s="671"/>
      <c r="AL30" s="671"/>
      <c r="AM30" s="671"/>
      <c r="AN30" s="671"/>
      <c r="AO30" s="671"/>
      <c r="AP30" s="671"/>
      <c r="AQ30" s="671"/>
      <c r="AR30" s="671"/>
      <c r="AS30" s="671"/>
      <c r="AT30" s="671"/>
      <c r="AU30" s="671"/>
      <c r="AV30" s="671"/>
      <c r="AW30" s="634"/>
      <c r="AX30" s="634"/>
      <c r="AY30" s="634"/>
      <c r="AZ30" s="634"/>
    </row>
    <row r="31" spans="1:52" ht="12.75" customHeight="1">
      <c r="A31" s="634" t="s">
        <v>906</v>
      </c>
      <c r="B31" s="634"/>
      <c r="C31" s="690" t="s">
        <v>907</v>
      </c>
      <c r="D31" s="690"/>
      <c r="E31" s="690"/>
      <c r="F31" s="690"/>
      <c r="G31" s="690"/>
      <c r="H31" s="690"/>
      <c r="I31" s="690"/>
      <c r="J31" s="690"/>
      <c r="K31" s="690"/>
      <c r="L31" s="690"/>
      <c r="M31" s="690"/>
      <c r="N31" s="690"/>
      <c r="O31" s="690"/>
      <c r="P31" s="690"/>
      <c r="Q31" s="690"/>
      <c r="R31" s="690"/>
      <c r="S31" s="690"/>
      <c r="T31" s="690"/>
      <c r="U31" s="690"/>
      <c r="V31" s="691" t="s">
        <v>908</v>
      </c>
      <c r="W31" s="691"/>
      <c r="X31" s="691"/>
      <c r="Y31" s="634"/>
      <c r="Z31" s="634"/>
      <c r="AA31" s="634"/>
      <c r="AB31" s="634"/>
      <c r="AC31" s="634"/>
      <c r="AD31" s="634"/>
      <c r="AE31" s="634"/>
      <c r="AF31" s="634"/>
      <c r="AG31" s="634"/>
      <c r="AH31" s="634"/>
      <c r="AI31" s="634"/>
      <c r="AJ31" s="634"/>
      <c r="AK31" s="634"/>
      <c r="AL31" s="634"/>
      <c r="AM31" s="634"/>
      <c r="AN31" s="634"/>
      <c r="AO31" s="634"/>
      <c r="AP31" s="634"/>
      <c r="AQ31" s="634"/>
      <c r="AR31" s="634"/>
      <c r="AS31" s="634"/>
      <c r="AT31" s="634"/>
      <c r="AU31" s="634"/>
      <c r="AV31" s="634"/>
      <c r="AW31" s="634"/>
      <c r="AX31" s="634"/>
      <c r="AY31" s="634"/>
      <c r="AZ31" s="634"/>
    </row>
    <row r="32" spans="1:52" ht="12.75" customHeight="1">
      <c r="A32" s="634" t="s">
        <v>909</v>
      </c>
      <c r="B32" s="634"/>
      <c r="C32" s="690" t="s">
        <v>910</v>
      </c>
      <c r="D32" s="690"/>
      <c r="E32" s="690"/>
      <c r="F32" s="690"/>
      <c r="G32" s="690"/>
      <c r="H32" s="690"/>
      <c r="I32" s="690"/>
      <c r="J32" s="690"/>
      <c r="K32" s="690"/>
      <c r="L32" s="690"/>
      <c r="M32" s="690"/>
      <c r="N32" s="690"/>
      <c r="O32" s="690"/>
      <c r="P32" s="690"/>
      <c r="Q32" s="690"/>
      <c r="R32" s="690"/>
      <c r="S32" s="690"/>
      <c r="T32" s="690"/>
      <c r="U32" s="690"/>
      <c r="V32" s="691" t="s">
        <v>911</v>
      </c>
      <c r="W32" s="691"/>
      <c r="X32" s="691"/>
      <c r="Y32" s="634"/>
      <c r="Z32" s="634"/>
      <c r="AA32" s="634"/>
      <c r="AB32" s="634"/>
      <c r="AC32" s="634"/>
      <c r="AD32" s="634"/>
      <c r="AE32" s="634"/>
      <c r="AF32" s="634"/>
      <c r="AG32" s="634"/>
      <c r="AH32" s="634"/>
      <c r="AI32" s="634"/>
      <c r="AJ32" s="634"/>
      <c r="AK32" s="634"/>
      <c r="AL32" s="634"/>
      <c r="AM32" s="634"/>
      <c r="AN32" s="634"/>
      <c r="AO32" s="634"/>
      <c r="AP32" s="634"/>
      <c r="AQ32" s="634"/>
      <c r="AR32" s="634"/>
      <c r="AS32" s="634"/>
      <c r="AT32" s="634"/>
      <c r="AU32" s="634"/>
      <c r="AV32" s="634"/>
      <c r="AW32" s="634"/>
      <c r="AX32" s="634"/>
      <c r="AY32" s="634"/>
      <c r="AZ32" s="634"/>
    </row>
    <row r="33" spans="1:52" ht="12.75" customHeight="1">
      <c r="A33" s="634" t="s">
        <v>912</v>
      </c>
      <c r="B33" s="634"/>
      <c r="C33" s="690" t="s">
        <v>913</v>
      </c>
      <c r="D33" s="690"/>
      <c r="E33" s="690"/>
      <c r="F33" s="690"/>
      <c r="G33" s="690"/>
      <c r="H33" s="690"/>
      <c r="I33" s="690"/>
      <c r="J33" s="690"/>
      <c r="K33" s="690"/>
      <c r="L33" s="690"/>
      <c r="M33" s="690"/>
      <c r="N33" s="690"/>
      <c r="O33" s="690"/>
      <c r="P33" s="690"/>
      <c r="Q33" s="690"/>
      <c r="R33" s="690"/>
      <c r="S33" s="690"/>
      <c r="T33" s="690"/>
      <c r="U33" s="690"/>
      <c r="V33" s="691" t="s">
        <v>914</v>
      </c>
      <c r="W33" s="691"/>
      <c r="X33" s="691"/>
      <c r="Y33" s="634"/>
      <c r="Z33" s="634"/>
      <c r="AA33" s="634"/>
      <c r="AB33" s="634"/>
      <c r="AC33" s="634"/>
      <c r="AD33" s="634"/>
      <c r="AE33" s="634"/>
      <c r="AF33" s="634"/>
      <c r="AG33" s="634"/>
      <c r="AH33" s="634"/>
      <c r="AI33" s="634"/>
      <c r="AJ33" s="634"/>
      <c r="AK33" s="634"/>
      <c r="AL33" s="634"/>
      <c r="AM33" s="634"/>
      <c r="AN33" s="634"/>
      <c r="AO33" s="634"/>
      <c r="AP33" s="634"/>
      <c r="AQ33" s="634"/>
      <c r="AR33" s="634"/>
      <c r="AS33" s="634"/>
      <c r="AT33" s="634"/>
      <c r="AU33" s="634"/>
      <c r="AV33" s="634"/>
      <c r="AW33" s="634"/>
      <c r="AX33" s="634"/>
      <c r="AY33" s="634"/>
      <c r="AZ33" s="634"/>
    </row>
    <row r="34" spans="1:52" ht="12.75" customHeight="1">
      <c r="A34" s="675" t="s">
        <v>915</v>
      </c>
      <c r="B34" s="675"/>
      <c r="C34" s="688" t="s">
        <v>916</v>
      </c>
      <c r="D34" s="688"/>
      <c r="E34" s="688"/>
      <c r="F34" s="688"/>
      <c r="G34" s="688"/>
      <c r="H34" s="688"/>
      <c r="I34" s="688"/>
      <c r="J34" s="688"/>
      <c r="K34" s="688"/>
      <c r="L34" s="688"/>
      <c r="M34" s="688"/>
      <c r="N34" s="688"/>
      <c r="O34" s="688"/>
      <c r="P34" s="688"/>
      <c r="Q34" s="688"/>
      <c r="R34" s="688"/>
      <c r="S34" s="688"/>
      <c r="T34" s="688"/>
      <c r="U34" s="688"/>
      <c r="V34" s="692" t="s">
        <v>917</v>
      </c>
      <c r="W34" s="692"/>
      <c r="X34" s="692"/>
      <c r="Y34" s="646"/>
      <c r="Z34" s="693"/>
      <c r="AA34" s="693"/>
      <c r="AB34" s="693"/>
      <c r="AC34" s="646"/>
      <c r="AD34" s="693"/>
      <c r="AE34" s="693"/>
      <c r="AF34" s="693"/>
      <c r="AG34" s="646"/>
      <c r="AH34" s="693"/>
      <c r="AI34" s="693"/>
      <c r="AJ34" s="693"/>
      <c r="AK34" s="646"/>
      <c r="AL34" s="693"/>
      <c r="AM34" s="693"/>
      <c r="AN34" s="693"/>
      <c r="AO34" s="646"/>
      <c r="AP34" s="693"/>
      <c r="AQ34" s="693"/>
      <c r="AR34" s="693"/>
      <c r="AS34" s="646"/>
      <c r="AT34" s="693"/>
      <c r="AU34" s="693"/>
      <c r="AV34" s="693"/>
      <c r="AW34" s="646"/>
      <c r="AX34" s="693"/>
      <c r="AY34" s="693"/>
      <c r="AZ34" s="693"/>
    </row>
    <row r="35" spans="1:52" ht="12.75" customHeight="1">
      <c r="A35" s="634" t="s">
        <v>918</v>
      </c>
      <c r="B35" s="634"/>
      <c r="C35" s="690" t="s">
        <v>919</v>
      </c>
      <c r="D35" s="690"/>
      <c r="E35" s="690"/>
      <c r="F35" s="690"/>
      <c r="G35" s="690"/>
      <c r="H35" s="690"/>
      <c r="I35" s="690"/>
      <c r="J35" s="690"/>
      <c r="K35" s="690"/>
      <c r="L35" s="690"/>
      <c r="M35" s="690"/>
      <c r="N35" s="690"/>
      <c r="O35" s="690"/>
      <c r="P35" s="690"/>
      <c r="Q35" s="690"/>
      <c r="R35" s="690"/>
      <c r="S35" s="690"/>
      <c r="T35" s="690"/>
      <c r="U35" s="690"/>
      <c r="V35" s="691" t="s">
        <v>920</v>
      </c>
      <c r="W35" s="691"/>
      <c r="X35" s="691"/>
      <c r="Y35" s="634"/>
      <c r="Z35" s="634"/>
      <c r="AA35" s="634"/>
      <c r="AB35" s="634"/>
      <c r="AC35" s="634"/>
      <c r="AD35" s="634"/>
      <c r="AE35" s="634"/>
      <c r="AF35" s="634"/>
      <c r="AG35" s="634"/>
      <c r="AH35" s="634"/>
      <c r="AI35" s="634"/>
      <c r="AJ35" s="634"/>
      <c r="AK35" s="634"/>
      <c r="AL35" s="634"/>
      <c r="AM35" s="634"/>
      <c r="AN35" s="634"/>
      <c r="AO35" s="634"/>
      <c r="AP35" s="634"/>
      <c r="AQ35" s="634"/>
      <c r="AR35" s="634"/>
      <c r="AS35" s="634"/>
      <c r="AT35" s="634"/>
      <c r="AU35" s="634"/>
      <c r="AV35" s="634"/>
      <c r="AW35" s="634"/>
      <c r="AX35" s="634"/>
      <c r="AY35" s="634"/>
      <c r="AZ35" s="634"/>
    </row>
    <row r="36" spans="1:52" ht="12.75" customHeight="1">
      <c r="A36" s="634" t="s">
        <v>921</v>
      </c>
      <c r="B36" s="634"/>
      <c r="C36" s="690" t="s">
        <v>34</v>
      </c>
      <c r="D36" s="690"/>
      <c r="E36" s="690"/>
      <c r="F36" s="690"/>
      <c r="G36" s="690"/>
      <c r="H36" s="690"/>
      <c r="I36" s="690"/>
      <c r="J36" s="690"/>
      <c r="K36" s="690"/>
      <c r="L36" s="690"/>
      <c r="M36" s="690"/>
      <c r="N36" s="690"/>
      <c r="O36" s="690"/>
      <c r="P36" s="690"/>
      <c r="Q36" s="690"/>
      <c r="R36" s="690"/>
      <c r="S36" s="690"/>
      <c r="T36" s="690"/>
      <c r="U36" s="690"/>
      <c r="V36" s="691" t="s">
        <v>922</v>
      </c>
      <c r="W36" s="691"/>
      <c r="X36" s="691"/>
      <c r="Y36" s="634"/>
      <c r="Z36" s="634"/>
      <c r="AA36" s="634"/>
      <c r="AB36" s="634"/>
      <c r="AC36" s="634"/>
      <c r="AD36" s="634"/>
      <c r="AE36" s="634"/>
      <c r="AF36" s="634"/>
      <c r="AG36" s="634"/>
      <c r="AH36" s="634"/>
      <c r="AI36" s="634"/>
      <c r="AJ36" s="634"/>
      <c r="AK36" s="634"/>
      <c r="AL36" s="634"/>
      <c r="AM36" s="634"/>
      <c r="AN36" s="634"/>
      <c r="AO36" s="634"/>
      <c r="AP36" s="634"/>
      <c r="AQ36" s="634"/>
      <c r="AR36" s="634"/>
      <c r="AS36" s="634"/>
      <c r="AT36" s="634"/>
      <c r="AU36" s="634"/>
      <c r="AV36" s="634"/>
      <c r="AW36" s="634"/>
      <c r="AX36" s="634"/>
      <c r="AY36" s="634"/>
      <c r="AZ36" s="634"/>
    </row>
    <row r="37" spans="1:52" ht="12.75" customHeight="1">
      <c r="A37" s="675" t="s">
        <v>923</v>
      </c>
      <c r="B37" s="675"/>
      <c r="C37" s="688" t="s">
        <v>924</v>
      </c>
      <c r="D37" s="688"/>
      <c r="E37" s="688"/>
      <c r="F37" s="688"/>
      <c r="G37" s="688"/>
      <c r="H37" s="688"/>
      <c r="I37" s="688"/>
      <c r="J37" s="688"/>
      <c r="K37" s="688"/>
      <c r="L37" s="688"/>
      <c r="M37" s="688"/>
      <c r="N37" s="688"/>
      <c r="O37" s="688"/>
      <c r="P37" s="688"/>
      <c r="Q37" s="688"/>
      <c r="R37" s="688"/>
      <c r="S37" s="688"/>
      <c r="T37" s="688"/>
      <c r="U37" s="688"/>
      <c r="V37" s="692" t="s">
        <v>925</v>
      </c>
      <c r="W37" s="692"/>
      <c r="X37" s="692"/>
      <c r="Y37" s="646"/>
      <c r="Z37" s="693"/>
      <c r="AA37" s="693"/>
      <c r="AB37" s="693"/>
      <c r="AC37" s="646"/>
      <c r="AD37" s="693"/>
      <c r="AE37" s="693"/>
      <c r="AF37" s="693"/>
      <c r="AG37" s="646"/>
      <c r="AH37" s="693"/>
      <c r="AI37" s="693"/>
      <c r="AJ37" s="693"/>
      <c r="AK37" s="646"/>
      <c r="AL37" s="693"/>
      <c r="AM37" s="693"/>
      <c r="AN37" s="693"/>
      <c r="AO37" s="646"/>
      <c r="AP37" s="693"/>
      <c r="AQ37" s="693"/>
      <c r="AR37" s="693"/>
      <c r="AS37" s="646"/>
      <c r="AT37" s="693"/>
      <c r="AU37" s="693"/>
      <c r="AV37" s="693"/>
      <c r="AW37" s="646"/>
      <c r="AX37" s="693"/>
      <c r="AY37" s="693"/>
      <c r="AZ37" s="693"/>
    </row>
    <row r="38" spans="1:52" ht="12.75" customHeight="1">
      <c r="A38" s="634" t="s">
        <v>926</v>
      </c>
      <c r="B38" s="634"/>
      <c r="C38" s="690" t="s">
        <v>927</v>
      </c>
      <c r="D38" s="690"/>
      <c r="E38" s="690"/>
      <c r="F38" s="690"/>
      <c r="G38" s="690"/>
      <c r="H38" s="690"/>
      <c r="I38" s="690"/>
      <c r="J38" s="690"/>
      <c r="K38" s="690"/>
      <c r="L38" s="690"/>
      <c r="M38" s="690"/>
      <c r="N38" s="690"/>
      <c r="O38" s="690"/>
      <c r="P38" s="690"/>
      <c r="Q38" s="690"/>
      <c r="R38" s="690"/>
      <c r="S38" s="690"/>
      <c r="T38" s="690"/>
      <c r="U38" s="690"/>
      <c r="V38" s="691" t="s">
        <v>928</v>
      </c>
      <c r="W38" s="691"/>
      <c r="X38" s="691"/>
      <c r="Y38" s="634"/>
      <c r="Z38" s="634"/>
      <c r="AA38" s="634"/>
      <c r="AB38" s="634"/>
      <c r="AC38" s="634"/>
      <c r="AD38" s="634"/>
      <c r="AE38" s="634"/>
      <c r="AF38" s="634"/>
      <c r="AG38" s="634"/>
      <c r="AH38" s="634"/>
      <c r="AI38" s="634"/>
      <c r="AJ38" s="634"/>
      <c r="AK38" s="634"/>
      <c r="AL38" s="634"/>
      <c r="AM38" s="634"/>
      <c r="AN38" s="634"/>
      <c r="AO38" s="634"/>
      <c r="AP38" s="634"/>
      <c r="AQ38" s="634"/>
      <c r="AR38" s="634"/>
      <c r="AS38" s="634"/>
      <c r="AT38" s="634"/>
      <c r="AU38" s="634"/>
      <c r="AV38" s="634"/>
      <c r="AW38" s="634"/>
      <c r="AX38" s="634"/>
      <c r="AY38" s="634"/>
      <c r="AZ38" s="634"/>
    </row>
    <row r="39" spans="1:52" ht="12.75" customHeight="1">
      <c r="A39" s="634" t="s">
        <v>929</v>
      </c>
      <c r="B39" s="634"/>
      <c r="C39" s="690" t="s">
        <v>168</v>
      </c>
      <c r="D39" s="690"/>
      <c r="E39" s="690"/>
      <c r="F39" s="690"/>
      <c r="G39" s="690"/>
      <c r="H39" s="690"/>
      <c r="I39" s="690"/>
      <c r="J39" s="690"/>
      <c r="K39" s="690"/>
      <c r="L39" s="690"/>
      <c r="M39" s="690"/>
      <c r="N39" s="690"/>
      <c r="O39" s="690"/>
      <c r="P39" s="690"/>
      <c r="Q39" s="690"/>
      <c r="R39" s="690"/>
      <c r="S39" s="690"/>
      <c r="T39" s="690"/>
      <c r="U39" s="690"/>
      <c r="V39" s="691" t="s">
        <v>930</v>
      </c>
      <c r="W39" s="691"/>
      <c r="X39" s="691"/>
      <c r="Y39" s="634"/>
      <c r="Z39" s="634"/>
      <c r="AA39" s="634"/>
      <c r="AB39" s="634"/>
      <c r="AC39" s="634"/>
      <c r="AD39" s="634"/>
      <c r="AE39" s="634"/>
      <c r="AF39" s="634"/>
      <c r="AG39" s="634"/>
      <c r="AH39" s="634"/>
      <c r="AI39" s="634"/>
      <c r="AJ39" s="634"/>
      <c r="AK39" s="634"/>
      <c r="AL39" s="634"/>
      <c r="AM39" s="634"/>
      <c r="AN39" s="634"/>
      <c r="AO39" s="634"/>
      <c r="AP39" s="634"/>
      <c r="AQ39" s="634"/>
      <c r="AR39" s="634"/>
      <c r="AS39" s="634"/>
      <c r="AT39" s="634"/>
      <c r="AU39" s="634"/>
      <c r="AV39" s="634"/>
      <c r="AW39" s="634"/>
      <c r="AX39" s="634"/>
      <c r="AY39" s="634"/>
      <c r="AZ39" s="634"/>
    </row>
    <row r="40" spans="1:52" ht="12.75" customHeight="1">
      <c r="A40" s="634" t="s">
        <v>931</v>
      </c>
      <c r="B40" s="634"/>
      <c r="C40" s="690" t="s">
        <v>932</v>
      </c>
      <c r="D40" s="690"/>
      <c r="E40" s="690"/>
      <c r="F40" s="690"/>
      <c r="G40" s="690"/>
      <c r="H40" s="690"/>
      <c r="I40" s="690"/>
      <c r="J40" s="690"/>
      <c r="K40" s="690"/>
      <c r="L40" s="690"/>
      <c r="M40" s="690"/>
      <c r="N40" s="690"/>
      <c r="O40" s="690"/>
      <c r="P40" s="690"/>
      <c r="Q40" s="690"/>
      <c r="R40" s="690"/>
      <c r="S40" s="690"/>
      <c r="T40" s="690"/>
      <c r="U40" s="690"/>
      <c r="V40" s="691" t="s">
        <v>933</v>
      </c>
      <c r="W40" s="691"/>
      <c r="X40" s="691"/>
      <c r="Y40" s="634"/>
      <c r="Z40" s="634"/>
      <c r="AA40" s="634"/>
      <c r="AB40" s="634"/>
      <c r="AC40" s="634"/>
      <c r="AD40" s="634"/>
      <c r="AE40" s="634"/>
      <c r="AF40" s="634"/>
      <c r="AG40" s="634"/>
      <c r="AH40" s="634"/>
      <c r="AI40" s="634"/>
      <c r="AJ40" s="634"/>
      <c r="AK40" s="634"/>
      <c r="AL40" s="634"/>
      <c r="AM40" s="634"/>
      <c r="AN40" s="634"/>
      <c r="AO40" s="634"/>
      <c r="AP40" s="634"/>
      <c r="AQ40" s="634"/>
      <c r="AR40" s="634"/>
      <c r="AS40" s="634"/>
      <c r="AT40" s="634"/>
      <c r="AU40" s="634"/>
      <c r="AV40" s="634"/>
      <c r="AW40" s="634"/>
      <c r="AX40" s="634"/>
      <c r="AY40" s="634"/>
      <c r="AZ40" s="634"/>
    </row>
    <row r="41" spans="1:52" ht="25.5" customHeight="1">
      <c r="A41" s="634" t="s">
        <v>934</v>
      </c>
      <c r="B41" s="634"/>
      <c r="C41" s="694" t="s">
        <v>935</v>
      </c>
      <c r="D41" s="694"/>
      <c r="E41" s="694"/>
      <c r="F41" s="694"/>
      <c r="G41" s="694"/>
      <c r="H41" s="694"/>
      <c r="I41" s="694"/>
      <c r="J41" s="694"/>
      <c r="K41" s="694"/>
      <c r="L41" s="694"/>
      <c r="M41" s="694"/>
      <c r="N41" s="694"/>
      <c r="O41" s="694"/>
      <c r="P41" s="694"/>
      <c r="Q41" s="694"/>
      <c r="R41" s="694"/>
      <c r="S41" s="694"/>
      <c r="T41" s="694"/>
      <c r="U41" s="694"/>
      <c r="V41" s="691" t="s">
        <v>933</v>
      </c>
      <c r="W41" s="691"/>
      <c r="X41" s="691"/>
      <c r="Y41" s="671"/>
      <c r="Z41" s="671"/>
      <c r="AA41" s="671"/>
      <c r="AB41" s="671"/>
      <c r="AC41" s="671"/>
      <c r="AD41" s="671"/>
      <c r="AE41" s="671"/>
      <c r="AF41" s="671"/>
      <c r="AG41" s="671"/>
      <c r="AH41" s="671"/>
      <c r="AI41" s="671"/>
      <c r="AJ41" s="671"/>
      <c r="AK41" s="671"/>
      <c r="AL41" s="671"/>
      <c r="AM41" s="671"/>
      <c r="AN41" s="671"/>
      <c r="AO41" s="671"/>
      <c r="AP41" s="671"/>
      <c r="AQ41" s="671"/>
      <c r="AR41" s="671"/>
      <c r="AS41" s="671"/>
      <c r="AT41" s="671"/>
      <c r="AU41" s="671"/>
      <c r="AV41" s="671"/>
      <c r="AW41" s="634"/>
      <c r="AX41" s="634"/>
      <c r="AY41" s="634"/>
      <c r="AZ41" s="634"/>
    </row>
    <row r="42" spans="1:52" ht="12.75" customHeight="1">
      <c r="A42" s="634" t="s">
        <v>936</v>
      </c>
      <c r="B42" s="634"/>
      <c r="C42" s="690" t="s">
        <v>937</v>
      </c>
      <c r="D42" s="690"/>
      <c r="E42" s="690"/>
      <c r="F42" s="690"/>
      <c r="G42" s="690"/>
      <c r="H42" s="690"/>
      <c r="I42" s="690"/>
      <c r="J42" s="690"/>
      <c r="K42" s="690"/>
      <c r="L42" s="690"/>
      <c r="M42" s="690"/>
      <c r="N42" s="690"/>
      <c r="O42" s="690"/>
      <c r="P42" s="690"/>
      <c r="Q42" s="690"/>
      <c r="R42" s="690"/>
      <c r="S42" s="690"/>
      <c r="T42" s="690"/>
      <c r="U42" s="690"/>
      <c r="V42" s="691" t="s">
        <v>938</v>
      </c>
      <c r="W42" s="691"/>
      <c r="X42" s="691"/>
      <c r="Y42" s="634"/>
      <c r="Z42" s="634"/>
      <c r="AA42" s="634"/>
      <c r="AB42" s="634"/>
      <c r="AC42" s="634"/>
      <c r="AD42" s="634"/>
      <c r="AE42" s="634"/>
      <c r="AF42" s="634"/>
      <c r="AG42" s="634"/>
      <c r="AH42" s="634"/>
      <c r="AI42" s="634"/>
      <c r="AJ42" s="634"/>
      <c r="AK42" s="634"/>
      <c r="AL42" s="634"/>
      <c r="AM42" s="634"/>
      <c r="AN42" s="634"/>
      <c r="AO42" s="634"/>
      <c r="AP42" s="634"/>
      <c r="AQ42" s="634"/>
      <c r="AR42" s="634"/>
      <c r="AS42" s="634"/>
      <c r="AT42" s="634"/>
      <c r="AU42" s="634"/>
      <c r="AV42" s="634"/>
      <c r="AW42" s="634"/>
      <c r="AX42" s="634"/>
      <c r="AY42" s="634"/>
      <c r="AZ42" s="634"/>
    </row>
    <row r="43" spans="1:52" ht="12.75" customHeight="1">
      <c r="A43" s="634" t="s">
        <v>939</v>
      </c>
      <c r="B43" s="634"/>
      <c r="C43" s="648" t="s">
        <v>940</v>
      </c>
      <c r="D43" s="649"/>
      <c r="E43" s="649"/>
      <c r="F43" s="649"/>
      <c r="G43" s="649"/>
      <c r="H43" s="649"/>
      <c r="I43" s="649"/>
      <c r="J43" s="649"/>
      <c r="K43" s="649"/>
      <c r="L43" s="649"/>
      <c r="M43" s="649"/>
      <c r="N43" s="649"/>
      <c r="O43" s="649"/>
      <c r="P43" s="649"/>
      <c r="Q43" s="649"/>
      <c r="R43" s="649"/>
      <c r="S43" s="649"/>
      <c r="T43" s="649"/>
      <c r="U43" s="650"/>
      <c r="V43" s="691" t="s">
        <v>941</v>
      </c>
      <c r="W43" s="691"/>
      <c r="X43" s="691"/>
      <c r="Y43" s="634"/>
      <c r="Z43" s="634"/>
      <c r="AA43" s="634"/>
      <c r="AB43" s="634"/>
      <c r="AC43" s="634"/>
      <c r="AD43" s="634"/>
      <c r="AE43" s="634"/>
      <c r="AF43" s="634"/>
      <c r="AG43" s="634"/>
      <c r="AH43" s="634"/>
      <c r="AI43" s="634"/>
      <c r="AJ43" s="634"/>
      <c r="AK43" s="634"/>
      <c r="AL43" s="634"/>
      <c r="AM43" s="634"/>
      <c r="AN43" s="634"/>
      <c r="AO43" s="634"/>
      <c r="AP43" s="634"/>
      <c r="AQ43" s="634"/>
      <c r="AR43" s="634"/>
      <c r="AS43" s="634"/>
      <c r="AT43" s="634"/>
      <c r="AU43" s="634"/>
      <c r="AV43" s="634"/>
      <c r="AW43" s="634"/>
      <c r="AX43" s="634"/>
      <c r="AY43" s="634"/>
      <c r="AZ43" s="634"/>
    </row>
    <row r="44" spans="1:52" ht="12.75" customHeight="1">
      <c r="A44" s="634" t="s">
        <v>942</v>
      </c>
      <c r="B44" s="634"/>
      <c r="C44" s="635" t="s">
        <v>943</v>
      </c>
      <c r="D44" s="636"/>
      <c r="E44" s="636"/>
      <c r="F44" s="636"/>
      <c r="G44" s="636"/>
      <c r="H44" s="636"/>
      <c r="I44" s="636"/>
      <c r="J44" s="636"/>
      <c r="K44" s="636"/>
      <c r="L44" s="636"/>
      <c r="M44" s="636"/>
      <c r="N44" s="636"/>
      <c r="O44" s="636"/>
      <c r="P44" s="636"/>
      <c r="Q44" s="636"/>
      <c r="R44" s="636"/>
      <c r="S44" s="636"/>
      <c r="T44" s="636"/>
      <c r="U44" s="637"/>
      <c r="V44" s="691" t="s">
        <v>941</v>
      </c>
      <c r="W44" s="691"/>
      <c r="X44" s="691"/>
      <c r="Y44" s="671"/>
      <c r="Z44" s="671"/>
      <c r="AA44" s="671"/>
      <c r="AB44" s="671"/>
      <c r="AC44" s="671"/>
      <c r="AD44" s="671"/>
      <c r="AE44" s="671"/>
      <c r="AF44" s="671"/>
      <c r="AG44" s="671"/>
      <c r="AH44" s="671"/>
      <c r="AI44" s="671"/>
      <c r="AJ44" s="671"/>
      <c r="AK44" s="671"/>
      <c r="AL44" s="671"/>
      <c r="AM44" s="671"/>
      <c r="AN44" s="671"/>
      <c r="AO44" s="671"/>
      <c r="AP44" s="671"/>
      <c r="AQ44" s="671"/>
      <c r="AR44" s="671"/>
      <c r="AS44" s="671"/>
      <c r="AT44" s="671"/>
      <c r="AU44" s="671"/>
      <c r="AV44" s="671"/>
      <c r="AW44" s="634"/>
      <c r="AX44" s="634"/>
      <c r="AY44" s="634"/>
      <c r="AZ44" s="634"/>
    </row>
    <row r="45" spans="1:52" ht="12.75" customHeight="1">
      <c r="A45" s="634" t="s">
        <v>944</v>
      </c>
      <c r="B45" s="634"/>
      <c r="C45" s="628" t="s">
        <v>945</v>
      </c>
      <c r="D45" s="629"/>
      <c r="E45" s="629"/>
      <c r="F45" s="629"/>
      <c r="G45" s="629"/>
      <c r="H45" s="629"/>
      <c r="I45" s="629"/>
      <c r="J45" s="629"/>
      <c r="K45" s="629"/>
      <c r="L45" s="629"/>
      <c r="M45" s="629"/>
      <c r="N45" s="629"/>
      <c r="O45" s="629"/>
      <c r="P45" s="629"/>
      <c r="Q45" s="629"/>
      <c r="R45" s="629"/>
      <c r="S45" s="629"/>
      <c r="T45" s="629"/>
      <c r="U45" s="630"/>
      <c r="V45" s="691" t="s">
        <v>946</v>
      </c>
      <c r="W45" s="691"/>
      <c r="X45" s="691"/>
      <c r="Y45" s="634"/>
      <c r="Z45" s="634"/>
      <c r="AA45" s="634"/>
      <c r="AB45" s="634"/>
      <c r="AC45" s="634"/>
      <c r="AD45" s="634"/>
      <c r="AE45" s="634"/>
      <c r="AF45" s="634"/>
      <c r="AG45" s="634"/>
      <c r="AH45" s="634"/>
      <c r="AI45" s="634"/>
      <c r="AJ45" s="634"/>
      <c r="AK45" s="634"/>
      <c r="AL45" s="634"/>
      <c r="AM45" s="634"/>
      <c r="AN45" s="634"/>
      <c r="AO45" s="634"/>
      <c r="AP45" s="634"/>
      <c r="AQ45" s="634"/>
      <c r="AR45" s="634"/>
      <c r="AS45" s="634"/>
      <c r="AT45" s="634"/>
      <c r="AU45" s="634"/>
      <c r="AV45" s="634"/>
      <c r="AW45" s="634"/>
      <c r="AX45" s="634"/>
      <c r="AY45" s="634"/>
      <c r="AZ45" s="634"/>
    </row>
    <row r="46" spans="1:52" ht="12.75" customHeight="1">
      <c r="A46" s="634" t="s">
        <v>947</v>
      </c>
      <c r="B46" s="634"/>
      <c r="C46" s="628" t="s">
        <v>948</v>
      </c>
      <c r="D46" s="629"/>
      <c r="E46" s="629"/>
      <c r="F46" s="629"/>
      <c r="G46" s="629"/>
      <c r="H46" s="629"/>
      <c r="I46" s="629"/>
      <c r="J46" s="629"/>
      <c r="K46" s="629"/>
      <c r="L46" s="629"/>
      <c r="M46" s="629"/>
      <c r="N46" s="629"/>
      <c r="O46" s="629"/>
      <c r="P46" s="629"/>
      <c r="Q46" s="629"/>
      <c r="R46" s="629"/>
      <c r="S46" s="629"/>
      <c r="T46" s="629"/>
      <c r="U46" s="630"/>
      <c r="V46" s="691" t="s">
        <v>949</v>
      </c>
      <c r="W46" s="691"/>
      <c r="X46" s="691"/>
      <c r="Y46" s="634"/>
      <c r="Z46" s="634"/>
      <c r="AA46" s="634"/>
      <c r="AB46" s="634"/>
      <c r="AC46" s="634"/>
      <c r="AD46" s="634"/>
      <c r="AE46" s="634"/>
      <c r="AF46" s="634"/>
      <c r="AG46" s="634"/>
      <c r="AH46" s="634"/>
      <c r="AI46" s="634"/>
      <c r="AJ46" s="634"/>
      <c r="AK46" s="634"/>
      <c r="AL46" s="634"/>
      <c r="AM46" s="634"/>
      <c r="AN46" s="634"/>
      <c r="AO46" s="634"/>
      <c r="AP46" s="634"/>
      <c r="AQ46" s="634"/>
      <c r="AR46" s="634"/>
      <c r="AS46" s="634"/>
      <c r="AT46" s="634"/>
      <c r="AU46" s="634"/>
      <c r="AV46" s="634"/>
      <c r="AW46" s="634"/>
      <c r="AX46" s="634"/>
      <c r="AY46" s="634"/>
      <c r="AZ46" s="634"/>
    </row>
    <row r="47" spans="1:52" ht="12.75" customHeight="1">
      <c r="A47" s="675">
        <v>45</v>
      </c>
      <c r="B47" s="675"/>
      <c r="C47" s="640" t="s">
        <v>950</v>
      </c>
      <c r="D47" s="641"/>
      <c r="E47" s="641"/>
      <c r="F47" s="641"/>
      <c r="G47" s="641"/>
      <c r="H47" s="641"/>
      <c r="I47" s="641"/>
      <c r="J47" s="641"/>
      <c r="K47" s="641"/>
      <c r="L47" s="641"/>
      <c r="M47" s="641"/>
      <c r="N47" s="641"/>
      <c r="O47" s="641"/>
      <c r="P47" s="641"/>
      <c r="Q47" s="641"/>
      <c r="R47" s="641"/>
      <c r="S47" s="641"/>
      <c r="T47" s="641"/>
      <c r="U47" s="642"/>
      <c r="V47" s="692" t="s">
        <v>951</v>
      </c>
      <c r="W47" s="692"/>
      <c r="X47" s="692"/>
      <c r="Y47" s="646"/>
      <c r="Z47" s="693"/>
      <c r="AA47" s="693"/>
      <c r="AB47" s="693"/>
      <c r="AC47" s="646"/>
      <c r="AD47" s="693"/>
      <c r="AE47" s="693"/>
      <c r="AF47" s="693"/>
      <c r="AG47" s="646"/>
      <c r="AH47" s="693"/>
      <c r="AI47" s="693"/>
      <c r="AJ47" s="693"/>
      <c r="AK47" s="646"/>
      <c r="AL47" s="693"/>
      <c r="AM47" s="693"/>
      <c r="AN47" s="693"/>
      <c r="AO47" s="646"/>
      <c r="AP47" s="693"/>
      <c r="AQ47" s="693"/>
      <c r="AR47" s="693"/>
      <c r="AS47" s="646"/>
      <c r="AT47" s="693"/>
      <c r="AU47" s="693"/>
      <c r="AV47" s="693"/>
      <c r="AW47" s="646"/>
      <c r="AX47" s="693"/>
      <c r="AY47" s="693"/>
      <c r="AZ47" s="693"/>
    </row>
    <row r="48" spans="1:52" ht="12.75" customHeight="1">
      <c r="A48" s="634">
        <v>46</v>
      </c>
      <c r="B48" s="634"/>
      <c r="C48" s="628" t="s">
        <v>952</v>
      </c>
      <c r="D48" s="629"/>
      <c r="E48" s="629"/>
      <c r="F48" s="629"/>
      <c r="G48" s="629"/>
      <c r="H48" s="629"/>
      <c r="I48" s="629"/>
      <c r="J48" s="629"/>
      <c r="K48" s="629"/>
      <c r="L48" s="629"/>
      <c r="M48" s="629"/>
      <c r="N48" s="629"/>
      <c r="O48" s="629"/>
      <c r="P48" s="629"/>
      <c r="Q48" s="629"/>
      <c r="R48" s="629"/>
      <c r="S48" s="629"/>
      <c r="T48" s="629"/>
      <c r="U48" s="630"/>
      <c r="V48" s="691" t="s">
        <v>953</v>
      </c>
      <c r="W48" s="691"/>
      <c r="X48" s="691"/>
      <c r="Y48" s="634"/>
      <c r="Z48" s="634"/>
      <c r="AA48" s="634"/>
      <c r="AB48" s="634"/>
      <c r="AC48" s="634"/>
      <c r="AD48" s="634"/>
      <c r="AE48" s="634"/>
      <c r="AF48" s="634"/>
      <c r="AG48" s="634"/>
      <c r="AH48" s="634"/>
      <c r="AI48" s="634"/>
      <c r="AJ48" s="634"/>
      <c r="AK48" s="634"/>
      <c r="AL48" s="634"/>
      <c r="AM48" s="634"/>
      <c r="AN48" s="634"/>
      <c r="AO48" s="634"/>
      <c r="AP48" s="634"/>
      <c r="AQ48" s="634"/>
      <c r="AR48" s="634"/>
      <c r="AS48" s="634"/>
      <c r="AT48" s="634"/>
      <c r="AU48" s="634"/>
      <c r="AV48" s="634"/>
      <c r="AW48" s="634"/>
      <c r="AX48" s="634"/>
      <c r="AY48" s="634"/>
      <c r="AZ48" s="634"/>
    </row>
    <row r="49" spans="1:52" ht="12.75" customHeight="1">
      <c r="A49" s="634">
        <v>47</v>
      </c>
      <c r="B49" s="634"/>
      <c r="C49" s="628" t="s">
        <v>954</v>
      </c>
      <c r="D49" s="629"/>
      <c r="E49" s="629"/>
      <c r="F49" s="629"/>
      <c r="G49" s="629"/>
      <c r="H49" s="629"/>
      <c r="I49" s="629"/>
      <c r="J49" s="629"/>
      <c r="K49" s="629"/>
      <c r="L49" s="629"/>
      <c r="M49" s="629"/>
      <c r="N49" s="629"/>
      <c r="O49" s="629"/>
      <c r="P49" s="629"/>
      <c r="Q49" s="629"/>
      <c r="R49" s="629"/>
      <c r="S49" s="629"/>
      <c r="T49" s="629"/>
      <c r="U49" s="630"/>
      <c r="V49" s="691" t="s">
        <v>955</v>
      </c>
      <c r="W49" s="691"/>
      <c r="X49" s="691"/>
      <c r="Y49" s="634"/>
      <c r="Z49" s="634"/>
      <c r="AA49" s="634"/>
      <c r="AB49" s="634"/>
      <c r="AC49" s="634"/>
      <c r="AD49" s="634"/>
      <c r="AE49" s="634"/>
      <c r="AF49" s="634"/>
      <c r="AG49" s="634"/>
      <c r="AH49" s="634"/>
      <c r="AI49" s="634"/>
      <c r="AJ49" s="634"/>
      <c r="AK49" s="634"/>
      <c r="AL49" s="634"/>
      <c r="AM49" s="634"/>
      <c r="AN49" s="634"/>
      <c r="AO49" s="634"/>
      <c r="AP49" s="634"/>
      <c r="AQ49" s="634"/>
      <c r="AR49" s="634"/>
      <c r="AS49" s="634"/>
      <c r="AT49" s="634"/>
      <c r="AU49" s="634"/>
      <c r="AV49" s="634"/>
      <c r="AW49" s="634"/>
      <c r="AX49" s="634"/>
      <c r="AY49" s="634"/>
      <c r="AZ49" s="634"/>
    </row>
    <row r="50" spans="1:52" ht="12.75" customHeight="1">
      <c r="A50" s="675">
        <v>48</v>
      </c>
      <c r="B50" s="675"/>
      <c r="C50" s="640" t="s">
        <v>956</v>
      </c>
      <c r="D50" s="641"/>
      <c r="E50" s="641"/>
      <c r="F50" s="641"/>
      <c r="G50" s="641"/>
      <c r="H50" s="641"/>
      <c r="I50" s="641"/>
      <c r="J50" s="641"/>
      <c r="K50" s="641"/>
      <c r="L50" s="641"/>
      <c r="M50" s="641"/>
      <c r="N50" s="641"/>
      <c r="O50" s="641"/>
      <c r="P50" s="641"/>
      <c r="Q50" s="641"/>
      <c r="R50" s="641"/>
      <c r="S50" s="641"/>
      <c r="T50" s="641"/>
      <c r="U50" s="642"/>
      <c r="V50" s="692" t="s">
        <v>957</v>
      </c>
      <c r="W50" s="692"/>
      <c r="X50" s="692"/>
      <c r="Y50" s="646"/>
      <c r="Z50" s="693"/>
      <c r="AA50" s="693"/>
      <c r="AB50" s="693"/>
      <c r="AC50" s="646"/>
      <c r="AD50" s="693"/>
      <c r="AE50" s="693"/>
      <c r="AF50" s="693"/>
      <c r="AG50" s="646"/>
      <c r="AH50" s="693"/>
      <c r="AI50" s="693"/>
      <c r="AJ50" s="693"/>
      <c r="AK50" s="646"/>
      <c r="AL50" s="693"/>
      <c r="AM50" s="693"/>
      <c r="AN50" s="693"/>
      <c r="AO50" s="646"/>
      <c r="AP50" s="693"/>
      <c r="AQ50" s="693"/>
      <c r="AR50" s="693"/>
      <c r="AS50" s="646"/>
      <c r="AT50" s="693"/>
      <c r="AU50" s="693"/>
      <c r="AV50" s="693"/>
      <c r="AW50" s="646"/>
      <c r="AX50" s="693"/>
      <c r="AY50" s="693"/>
      <c r="AZ50" s="693"/>
    </row>
    <row r="51" spans="1:52" ht="12.75" customHeight="1">
      <c r="A51" s="634">
        <v>49</v>
      </c>
      <c r="B51" s="634"/>
      <c r="C51" s="628" t="s">
        <v>958</v>
      </c>
      <c r="D51" s="629"/>
      <c r="E51" s="629"/>
      <c r="F51" s="629"/>
      <c r="G51" s="629"/>
      <c r="H51" s="629"/>
      <c r="I51" s="629"/>
      <c r="J51" s="629"/>
      <c r="K51" s="629"/>
      <c r="L51" s="629"/>
      <c r="M51" s="629"/>
      <c r="N51" s="629"/>
      <c r="O51" s="629"/>
      <c r="P51" s="629"/>
      <c r="Q51" s="629"/>
      <c r="R51" s="629"/>
      <c r="S51" s="629"/>
      <c r="T51" s="629"/>
      <c r="U51" s="630"/>
      <c r="V51" s="691" t="s">
        <v>959</v>
      </c>
      <c r="W51" s="691"/>
      <c r="X51" s="691"/>
      <c r="Y51" s="634"/>
      <c r="Z51" s="634"/>
      <c r="AA51" s="634"/>
      <c r="AB51" s="634"/>
      <c r="AC51" s="634"/>
      <c r="AD51" s="634"/>
      <c r="AE51" s="634"/>
      <c r="AF51" s="634"/>
      <c r="AG51" s="634"/>
      <c r="AH51" s="634"/>
      <c r="AI51" s="634"/>
      <c r="AJ51" s="634"/>
      <c r="AK51" s="634"/>
      <c r="AL51" s="634"/>
      <c r="AM51" s="634"/>
      <c r="AN51" s="634"/>
      <c r="AO51" s="634"/>
      <c r="AP51" s="634"/>
      <c r="AQ51" s="634"/>
      <c r="AR51" s="634"/>
      <c r="AS51" s="634"/>
      <c r="AT51" s="634"/>
      <c r="AU51" s="634"/>
      <c r="AV51" s="634"/>
      <c r="AW51" s="634"/>
      <c r="AX51" s="634"/>
      <c r="AY51" s="634"/>
      <c r="AZ51" s="634"/>
    </row>
    <row r="52" spans="1:52" ht="12.75" customHeight="1">
      <c r="A52" s="634">
        <v>50</v>
      </c>
      <c r="B52" s="634"/>
      <c r="C52" s="628" t="s">
        <v>960</v>
      </c>
      <c r="D52" s="629"/>
      <c r="E52" s="629"/>
      <c r="F52" s="629"/>
      <c r="G52" s="629"/>
      <c r="H52" s="629"/>
      <c r="I52" s="629"/>
      <c r="J52" s="629"/>
      <c r="K52" s="629"/>
      <c r="L52" s="629"/>
      <c r="M52" s="629"/>
      <c r="N52" s="629"/>
      <c r="O52" s="629"/>
      <c r="P52" s="629"/>
      <c r="Q52" s="629"/>
      <c r="R52" s="629"/>
      <c r="S52" s="629"/>
      <c r="T52" s="629"/>
      <c r="U52" s="630"/>
      <c r="V52" s="691" t="s">
        <v>961</v>
      </c>
      <c r="W52" s="691"/>
      <c r="X52" s="691"/>
      <c r="Y52" s="634"/>
      <c r="Z52" s="634"/>
      <c r="AA52" s="634"/>
      <c r="AB52" s="634"/>
      <c r="AC52" s="634"/>
      <c r="AD52" s="634"/>
      <c r="AE52" s="634"/>
      <c r="AF52" s="634"/>
      <c r="AG52" s="634"/>
      <c r="AH52" s="634"/>
      <c r="AI52" s="634"/>
      <c r="AJ52" s="634"/>
      <c r="AK52" s="634"/>
      <c r="AL52" s="634"/>
      <c r="AM52" s="634"/>
      <c r="AN52" s="634"/>
      <c r="AO52" s="634"/>
      <c r="AP52" s="634"/>
      <c r="AQ52" s="634"/>
      <c r="AR52" s="634"/>
      <c r="AS52" s="634"/>
      <c r="AT52" s="634"/>
      <c r="AU52" s="634"/>
      <c r="AV52" s="634"/>
      <c r="AW52" s="634"/>
      <c r="AX52" s="634"/>
      <c r="AY52" s="634"/>
      <c r="AZ52" s="634"/>
    </row>
    <row r="53" spans="1:52" ht="12.75" customHeight="1">
      <c r="A53" s="634">
        <v>51</v>
      </c>
      <c r="B53" s="634"/>
      <c r="C53" s="628" t="s">
        <v>962</v>
      </c>
      <c r="D53" s="629"/>
      <c r="E53" s="629"/>
      <c r="F53" s="629"/>
      <c r="G53" s="629"/>
      <c r="H53" s="629"/>
      <c r="I53" s="629"/>
      <c r="J53" s="629"/>
      <c r="K53" s="629"/>
      <c r="L53" s="629"/>
      <c r="M53" s="629"/>
      <c r="N53" s="629"/>
      <c r="O53" s="629"/>
      <c r="P53" s="629"/>
      <c r="Q53" s="629"/>
      <c r="R53" s="629"/>
      <c r="S53" s="629"/>
      <c r="T53" s="629"/>
      <c r="U53" s="630"/>
      <c r="V53" s="691" t="s">
        <v>963</v>
      </c>
      <c r="W53" s="691"/>
      <c r="X53" s="691"/>
      <c r="Y53" s="634"/>
      <c r="Z53" s="634"/>
      <c r="AA53" s="634"/>
      <c r="AB53" s="634"/>
      <c r="AC53" s="634"/>
      <c r="AD53" s="634"/>
      <c r="AE53" s="634"/>
      <c r="AF53" s="634"/>
      <c r="AG53" s="634"/>
      <c r="AH53" s="634"/>
      <c r="AI53" s="634"/>
      <c r="AJ53" s="634"/>
      <c r="AK53" s="634"/>
      <c r="AL53" s="634"/>
      <c r="AM53" s="634"/>
      <c r="AN53" s="634"/>
      <c r="AO53" s="634"/>
      <c r="AP53" s="634"/>
      <c r="AQ53" s="634"/>
      <c r="AR53" s="634"/>
      <c r="AS53" s="634"/>
      <c r="AT53" s="634"/>
      <c r="AU53" s="634"/>
      <c r="AV53" s="634"/>
      <c r="AW53" s="634"/>
      <c r="AX53" s="634"/>
      <c r="AY53" s="634"/>
      <c r="AZ53" s="634"/>
    </row>
    <row r="54" spans="1:52" ht="12.75" customHeight="1">
      <c r="A54" s="634">
        <v>52</v>
      </c>
      <c r="B54" s="634"/>
      <c r="C54" s="635" t="s">
        <v>943</v>
      </c>
      <c r="D54" s="636"/>
      <c r="E54" s="636"/>
      <c r="F54" s="636"/>
      <c r="G54" s="636"/>
      <c r="H54" s="636"/>
      <c r="I54" s="636"/>
      <c r="J54" s="636"/>
      <c r="K54" s="636"/>
      <c r="L54" s="636"/>
      <c r="M54" s="636"/>
      <c r="N54" s="636"/>
      <c r="O54" s="636"/>
      <c r="P54" s="636"/>
      <c r="Q54" s="636"/>
      <c r="R54" s="636"/>
      <c r="S54" s="636"/>
      <c r="T54" s="636"/>
      <c r="U54" s="637"/>
      <c r="V54" s="691" t="s">
        <v>963</v>
      </c>
      <c r="W54" s="691"/>
      <c r="X54" s="691"/>
      <c r="Y54" s="671"/>
      <c r="Z54" s="671"/>
      <c r="AA54" s="671"/>
      <c r="AB54" s="671"/>
      <c r="AC54" s="671"/>
      <c r="AD54" s="671"/>
      <c r="AE54" s="671"/>
      <c r="AF54" s="671"/>
      <c r="AG54" s="671"/>
      <c r="AH54" s="671"/>
      <c r="AI54" s="671"/>
      <c r="AJ54" s="671"/>
      <c r="AK54" s="671"/>
      <c r="AL54" s="671"/>
      <c r="AM54" s="671"/>
      <c r="AN54" s="671"/>
      <c r="AO54" s="671"/>
      <c r="AP54" s="671"/>
      <c r="AQ54" s="671"/>
      <c r="AR54" s="671"/>
      <c r="AS54" s="671"/>
      <c r="AT54" s="671"/>
      <c r="AU54" s="671"/>
      <c r="AV54" s="671"/>
      <c r="AW54" s="634"/>
      <c r="AX54" s="634"/>
      <c r="AY54" s="634"/>
      <c r="AZ54" s="634"/>
    </row>
    <row r="55" spans="1:52" ht="12.75" customHeight="1">
      <c r="A55" s="634">
        <v>53</v>
      </c>
      <c r="B55" s="634"/>
      <c r="C55" s="635" t="s">
        <v>964</v>
      </c>
      <c r="D55" s="636"/>
      <c r="E55" s="636"/>
      <c r="F55" s="636"/>
      <c r="G55" s="636"/>
      <c r="H55" s="636"/>
      <c r="I55" s="636"/>
      <c r="J55" s="636"/>
      <c r="K55" s="636"/>
      <c r="L55" s="636"/>
      <c r="M55" s="636"/>
      <c r="N55" s="636"/>
      <c r="O55" s="636"/>
      <c r="P55" s="636"/>
      <c r="Q55" s="636"/>
      <c r="R55" s="636"/>
      <c r="S55" s="636"/>
      <c r="T55" s="636"/>
      <c r="U55" s="637"/>
      <c r="V55" s="691" t="s">
        <v>963</v>
      </c>
      <c r="W55" s="691"/>
      <c r="X55" s="691"/>
      <c r="Y55" s="671"/>
      <c r="Z55" s="671"/>
      <c r="AA55" s="671"/>
      <c r="AB55" s="671"/>
      <c r="AC55" s="671"/>
      <c r="AD55" s="671"/>
      <c r="AE55" s="671"/>
      <c r="AF55" s="671"/>
      <c r="AG55" s="671"/>
      <c r="AH55" s="671"/>
      <c r="AI55" s="671"/>
      <c r="AJ55" s="671"/>
      <c r="AK55" s="671"/>
      <c r="AL55" s="671"/>
      <c r="AM55" s="671"/>
      <c r="AN55" s="671"/>
      <c r="AO55" s="671"/>
      <c r="AP55" s="671"/>
      <c r="AQ55" s="671"/>
      <c r="AR55" s="671"/>
      <c r="AS55" s="671"/>
      <c r="AT55" s="671"/>
      <c r="AU55" s="671"/>
      <c r="AV55" s="671"/>
      <c r="AW55" s="634"/>
      <c r="AX55" s="634"/>
      <c r="AY55" s="634"/>
      <c r="AZ55" s="634"/>
    </row>
    <row r="56" spans="1:52" ht="12.75" customHeight="1">
      <c r="A56" s="634">
        <v>54</v>
      </c>
      <c r="B56" s="634"/>
      <c r="C56" s="628" t="s">
        <v>965</v>
      </c>
      <c r="D56" s="629"/>
      <c r="E56" s="629"/>
      <c r="F56" s="629"/>
      <c r="G56" s="629"/>
      <c r="H56" s="629"/>
      <c r="I56" s="629"/>
      <c r="J56" s="629"/>
      <c r="K56" s="629"/>
      <c r="L56" s="629"/>
      <c r="M56" s="629"/>
      <c r="N56" s="629"/>
      <c r="O56" s="629"/>
      <c r="P56" s="629"/>
      <c r="Q56" s="629"/>
      <c r="R56" s="629"/>
      <c r="S56" s="629"/>
      <c r="T56" s="629"/>
      <c r="U56" s="630"/>
      <c r="V56" s="691" t="s">
        <v>966</v>
      </c>
      <c r="W56" s="691"/>
      <c r="X56" s="691"/>
      <c r="Y56" s="634"/>
      <c r="Z56" s="634"/>
      <c r="AA56" s="634"/>
      <c r="AB56" s="634"/>
      <c r="AC56" s="634"/>
      <c r="AD56" s="634"/>
      <c r="AE56" s="634"/>
      <c r="AF56" s="634"/>
      <c r="AG56" s="634"/>
      <c r="AH56" s="634"/>
      <c r="AI56" s="634"/>
      <c r="AJ56" s="634"/>
      <c r="AK56" s="634"/>
      <c r="AL56" s="634"/>
      <c r="AM56" s="634"/>
      <c r="AN56" s="634"/>
      <c r="AO56" s="634"/>
      <c r="AP56" s="634"/>
      <c r="AQ56" s="634"/>
      <c r="AR56" s="634"/>
      <c r="AS56" s="634"/>
      <c r="AT56" s="634"/>
      <c r="AU56" s="634"/>
      <c r="AV56" s="634"/>
      <c r="AW56" s="634"/>
      <c r="AX56" s="634"/>
      <c r="AY56" s="634"/>
      <c r="AZ56" s="634"/>
    </row>
    <row r="57" spans="1:52" ht="12.75" customHeight="1">
      <c r="A57" s="634">
        <v>55</v>
      </c>
      <c r="B57" s="634"/>
      <c r="C57" s="635" t="s">
        <v>967</v>
      </c>
      <c r="D57" s="636"/>
      <c r="E57" s="636"/>
      <c r="F57" s="636"/>
      <c r="G57" s="636"/>
      <c r="H57" s="636"/>
      <c r="I57" s="636"/>
      <c r="J57" s="636"/>
      <c r="K57" s="636"/>
      <c r="L57" s="636"/>
      <c r="M57" s="636"/>
      <c r="N57" s="636"/>
      <c r="O57" s="636"/>
      <c r="P57" s="636"/>
      <c r="Q57" s="636"/>
      <c r="R57" s="636"/>
      <c r="S57" s="636"/>
      <c r="T57" s="636"/>
      <c r="U57" s="637"/>
      <c r="V57" s="691" t="s">
        <v>966</v>
      </c>
      <c r="W57" s="691"/>
      <c r="X57" s="691"/>
      <c r="Y57" s="671"/>
      <c r="Z57" s="671"/>
      <c r="AA57" s="671"/>
      <c r="AB57" s="671"/>
      <c r="AC57" s="671"/>
      <c r="AD57" s="671"/>
      <c r="AE57" s="671"/>
      <c r="AF57" s="671"/>
      <c r="AG57" s="671"/>
      <c r="AH57" s="671"/>
      <c r="AI57" s="671"/>
      <c r="AJ57" s="671"/>
      <c r="AK57" s="671"/>
      <c r="AL57" s="671"/>
      <c r="AM57" s="671"/>
      <c r="AN57" s="671"/>
      <c r="AO57" s="671"/>
      <c r="AP57" s="671"/>
      <c r="AQ57" s="671"/>
      <c r="AR57" s="671"/>
      <c r="AS57" s="671"/>
      <c r="AT57" s="671"/>
      <c r="AU57" s="671"/>
      <c r="AV57" s="671"/>
      <c r="AW57" s="634"/>
      <c r="AX57" s="634"/>
      <c r="AY57" s="634"/>
      <c r="AZ57" s="634"/>
    </row>
    <row r="58" spans="1:52" ht="25.5" customHeight="1">
      <c r="A58" s="634">
        <v>56</v>
      </c>
      <c r="B58" s="634"/>
      <c r="C58" s="635" t="s">
        <v>968</v>
      </c>
      <c r="D58" s="636"/>
      <c r="E58" s="636"/>
      <c r="F58" s="636"/>
      <c r="G58" s="636"/>
      <c r="H58" s="636"/>
      <c r="I58" s="636"/>
      <c r="J58" s="636"/>
      <c r="K58" s="636"/>
      <c r="L58" s="636"/>
      <c r="M58" s="636"/>
      <c r="N58" s="636"/>
      <c r="O58" s="636"/>
      <c r="P58" s="636"/>
      <c r="Q58" s="636"/>
      <c r="R58" s="636"/>
      <c r="S58" s="636"/>
      <c r="T58" s="636"/>
      <c r="U58" s="637"/>
      <c r="V58" s="691" t="s">
        <v>966</v>
      </c>
      <c r="W58" s="691"/>
      <c r="X58" s="691"/>
      <c r="Y58" s="671"/>
      <c r="Z58" s="671"/>
      <c r="AA58" s="671"/>
      <c r="AB58" s="671"/>
      <c r="AC58" s="671"/>
      <c r="AD58" s="671"/>
      <c r="AE58" s="671"/>
      <c r="AF58" s="671"/>
      <c r="AG58" s="671"/>
      <c r="AH58" s="671"/>
      <c r="AI58" s="671"/>
      <c r="AJ58" s="671"/>
      <c r="AK58" s="671"/>
      <c r="AL58" s="671"/>
      <c r="AM58" s="671"/>
      <c r="AN58" s="671"/>
      <c r="AO58" s="671"/>
      <c r="AP58" s="671"/>
      <c r="AQ58" s="671"/>
      <c r="AR58" s="671"/>
      <c r="AS58" s="671"/>
      <c r="AT58" s="671"/>
      <c r="AU58" s="671"/>
      <c r="AV58" s="671"/>
      <c r="AW58" s="634"/>
      <c r="AX58" s="634"/>
      <c r="AY58" s="634"/>
      <c r="AZ58" s="634"/>
    </row>
    <row r="59" spans="1:52" ht="12.75" customHeight="1">
      <c r="A59" s="634">
        <v>57</v>
      </c>
      <c r="B59" s="634"/>
      <c r="C59" s="635" t="s">
        <v>969</v>
      </c>
      <c r="D59" s="636"/>
      <c r="E59" s="636"/>
      <c r="F59" s="636"/>
      <c r="G59" s="636"/>
      <c r="H59" s="636"/>
      <c r="I59" s="636"/>
      <c r="J59" s="636"/>
      <c r="K59" s="636"/>
      <c r="L59" s="636"/>
      <c r="M59" s="636"/>
      <c r="N59" s="636"/>
      <c r="O59" s="636"/>
      <c r="P59" s="636"/>
      <c r="Q59" s="636"/>
      <c r="R59" s="636"/>
      <c r="S59" s="636"/>
      <c r="T59" s="636"/>
      <c r="U59" s="637"/>
      <c r="V59" s="691" t="s">
        <v>966</v>
      </c>
      <c r="W59" s="691"/>
      <c r="X59" s="691"/>
      <c r="Y59" s="671"/>
      <c r="Z59" s="671"/>
      <c r="AA59" s="671"/>
      <c r="AB59" s="671"/>
      <c r="AC59" s="671"/>
      <c r="AD59" s="671"/>
      <c r="AE59" s="671"/>
      <c r="AF59" s="671"/>
      <c r="AG59" s="671"/>
      <c r="AH59" s="671"/>
      <c r="AI59" s="671"/>
      <c r="AJ59" s="671"/>
      <c r="AK59" s="671"/>
      <c r="AL59" s="671"/>
      <c r="AM59" s="671"/>
      <c r="AN59" s="671"/>
      <c r="AO59" s="671"/>
      <c r="AP59" s="671"/>
      <c r="AQ59" s="671"/>
      <c r="AR59" s="671"/>
      <c r="AS59" s="671"/>
      <c r="AT59" s="671"/>
      <c r="AU59" s="671"/>
      <c r="AV59" s="671"/>
      <c r="AW59" s="634"/>
      <c r="AX59" s="634"/>
      <c r="AY59" s="634"/>
      <c r="AZ59" s="634"/>
    </row>
    <row r="60" spans="1:52" ht="12.75" customHeight="1">
      <c r="A60" s="634">
        <v>58</v>
      </c>
      <c r="B60" s="634"/>
      <c r="C60" s="628" t="s">
        <v>970</v>
      </c>
      <c r="D60" s="629"/>
      <c r="E60" s="629"/>
      <c r="F60" s="629"/>
      <c r="G60" s="629"/>
      <c r="H60" s="629"/>
      <c r="I60" s="629"/>
      <c r="J60" s="629"/>
      <c r="K60" s="629"/>
      <c r="L60" s="629"/>
      <c r="M60" s="629"/>
      <c r="N60" s="629"/>
      <c r="O60" s="629"/>
      <c r="P60" s="629"/>
      <c r="Q60" s="629"/>
      <c r="R60" s="629"/>
      <c r="S60" s="629"/>
      <c r="T60" s="629"/>
      <c r="U60" s="630"/>
      <c r="V60" s="691" t="s">
        <v>971</v>
      </c>
      <c r="W60" s="691"/>
      <c r="X60" s="691"/>
      <c r="Y60" s="634"/>
      <c r="Z60" s="634"/>
      <c r="AA60" s="634"/>
      <c r="AB60" s="634"/>
      <c r="AC60" s="634"/>
      <c r="AD60" s="634"/>
      <c r="AE60" s="634"/>
      <c r="AF60" s="634"/>
      <c r="AG60" s="634"/>
      <c r="AH60" s="634"/>
      <c r="AI60" s="634"/>
      <c r="AJ60" s="634"/>
      <c r="AK60" s="634"/>
      <c r="AL60" s="634"/>
      <c r="AM60" s="634"/>
      <c r="AN60" s="634"/>
      <c r="AO60" s="634"/>
      <c r="AP60" s="634"/>
      <c r="AQ60" s="634"/>
      <c r="AR60" s="634"/>
      <c r="AS60" s="634"/>
      <c r="AT60" s="634"/>
      <c r="AU60" s="634"/>
      <c r="AV60" s="634"/>
      <c r="AW60" s="634"/>
      <c r="AX60" s="634"/>
      <c r="AY60" s="634"/>
      <c r="AZ60" s="634"/>
    </row>
    <row r="61" spans="1:52" ht="25.5" customHeight="1">
      <c r="A61" s="675">
        <v>59</v>
      </c>
      <c r="B61" s="675"/>
      <c r="C61" s="640" t="s">
        <v>972</v>
      </c>
      <c r="D61" s="641"/>
      <c r="E61" s="641"/>
      <c r="F61" s="641"/>
      <c r="G61" s="641"/>
      <c r="H61" s="641"/>
      <c r="I61" s="641"/>
      <c r="J61" s="641"/>
      <c r="K61" s="641"/>
      <c r="L61" s="641"/>
      <c r="M61" s="641"/>
      <c r="N61" s="641"/>
      <c r="O61" s="641"/>
      <c r="P61" s="641"/>
      <c r="Q61" s="641"/>
      <c r="R61" s="641"/>
      <c r="S61" s="641"/>
      <c r="T61" s="641"/>
      <c r="U61" s="642"/>
      <c r="V61" s="692" t="s">
        <v>973</v>
      </c>
      <c r="W61" s="692"/>
      <c r="X61" s="692"/>
      <c r="Y61" s="646"/>
      <c r="Z61" s="693"/>
      <c r="AA61" s="693"/>
      <c r="AB61" s="693"/>
      <c r="AC61" s="646"/>
      <c r="AD61" s="693"/>
      <c r="AE61" s="693"/>
      <c r="AF61" s="693"/>
      <c r="AG61" s="646"/>
      <c r="AH61" s="693"/>
      <c r="AI61" s="693"/>
      <c r="AJ61" s="693"/>
      <c r="AK61" s="646"/>
      <c r="AL61" s="693"/>
      <c r="AM61" s="693"/>
      <c r="AN61" s="693"/>
      <c r="AO61" s="646"/>
      <c r="AP61" s="693"/>
      <c r="AQ61" s="693"/>
      <c r="AR61" s="693"/>
      <c r="AS61" s="646"/>
      <c r="AT61" s="693"/>
      <c r="AU61" s="693"/>
      <c r="AV61" s="693"/>
      <c r="AW61" s="646"/>
      <c r="AX61" s="693"/>
      <c r="AY61" s="693"/>
      <c r="AZ61" s="693"/>
    </row>
    <row r="62" spans="1:52" ht="12.75" customHeight="1">
      <c r="A62" s="675">
        <v>60</v>
      </c>
      <c r="B62" s="675"/>
      <c r="C62" s="688" t="s">
        <v>974</v>
      </c>
      <c r="D62" s="688"/>
      <c r="E62" s="688"/>
      <c r="F62" s="688"/>
      <c r="G62" s="688"/>
      <c r="H62" s="688"/>
      <c r="I62" s="688"/>
      <c r="J62" s="688"/>
      <c r="K62" s="688"/>
      <c r="L62" s="688"/>
      <c r="M62" s="688"/>
      <c r="N62" s="688"/>
      <c r="O62" s="688"/>
      <c r="P62" s="688"/>
      <c r="Q62" s="688"/>
      <c r="R62" s="688"/>
      <c r="S62" s="688"/>
      <c r="T62" s="688"/>
      <c r="U62" s="688"/>
      <c r="V62" s="692" t="s">
        <v>975</v>
      </c>
      <c r="W62" s="692"/>
      <c r="X62" s="692"/>
      <c r="Y62" s="646"/>
      <c r="Z62" s="693"/>
      <c r="AA62" s="693"/>
      <c r="AB62" s="693"/>
      <c r="AC62" s="646"/>
      <c r="AD62" s="693"/>
      <c r="AE62" s="693"/>
      <c r="AF62" s="693"/>
      <c r="AG62" s="646"/>
      <c r="AH62" s="693"/>
      <c r="AI62" s="693"/>
      <c r="AJ62" s="693"/>
      <c r="AK62" s="646"/>
      <c r="AL62" s="693"/>
      <c r="AM62" s="693"/>
      <c r="AN62" s="693"/>
      <c r="AO62" s="646"/>
      <c r="AP62" s="693"/>
      <c r="AQ62" s="693"/>
      <c r="AR62" s="693"/>
      <c r="AS62" s="646"/>
      <c r="AT62" s="693"/>
      <c r="AU62" s="693"/>
      <c r="AV62" s="693"/>
      <c r="AW62" s="646"/>
      <c r="AX62" s="693"/>
      <c r="AY62" s="693"/>
      <c r="AZ62" s="693"/>
    </row>
    <row r="63" spans="1:52" ht="12.75" customHeight="1">
      <c r="A63" s="634">
        <v>61</v>
      </c>
      <c r="B63" s="634"/>
      <c r="C63" s="695" t="s">
        <v>976</v>
      </c>
      <c r="D63" s="695"/>
      <c r="E63" s="695"/>
      <c r="F63" s="695"/>
      <c r="G63" s="695"/>
      <c r="H63" s="695"/>
      <c r="I63" s="695"/>
      <c r="J63" s="695"/>
      <c r="K63" s="695"/>
      <c r="L63" s="695"/>
      <c r="M63" s="695"/>
      <c r="N63" s="695"/>
      <c r="O63" s="695"/>
      <c r="P63" s="695"/>
      <c r="Q63" s="695"/>
      <c r="R63" s="695"/>
      <c r="S63" s="695"/>
      <c r="T63" s="695"/>
      <c r="U63" s="695"/>
      <c r="V63" s="691" t="s">
        <v>977</v>
      </c>
      <c r="W63" s="691"/>
      <c r="X63" s="691"/>
      <c r="Y63" s="634"/>
      <c r="Z63" s="634"/>
      <c r="AA63" s="634"/>
      <c r="AB63" s="634"/>
      <c r="AC63" s="634"/>
      <c r="AD63" s="634"/>
      <c r="AE63" s="634"/>
      <c r="AF63" s="634"/>
      <c r="AG63" s="634"/>
      <c r="AH63" s="634"/>
      <c r="AI63" s="634"/>
      <c r="AJ63" s="634"/>
      <c r="AK63" s="634"/>
      <c r="AL63" s="634"/>
      <c r="AM63" s="634"/>
      <c r="AN63" s="634"/>
      <c r="AO63" s="634"/>
      <c r="AP63" s="634"/>
      <c r="AQ63" s="634"/>
      <c r="AR63" s="634"/>
      <c r="AS63" s="634"/>
      <c r="AT63" s="634"/>
      <c r="AU63" s="634"/>
      <c r="AV63" s="634"/>
      <c r="AW63" s="634"/>
      <c r="AX63" s="634"/>
      <c r="AY63" s="634"/>
      <c r="AZ63" s="634"/>
    </row>
    <row r="64" spans="1:52" s="415" customFormat="1" ht="12.75" customHeight="1">
      <c r="A64" s="634">
        <v>62</v>
      </c>
      <c r="B64" s="634"/>
      <c r="C64" s="695" t="s">
        <v>978</v>
      </c>
      <c r="D64" s="695"/>
      <c r="E64" s="695"/>
      <c r="F64" s="695"/>
      <c r="G64" s="695"/>
      <c r="H64" s="695"/>
      <c r="I64" s="695"/>
      <c r="J64" s="695"/>
      <c r="K64" s="695"/>
      <c r="L64" s="695"/>
      <c r="M64" s="695"/>
      <c r="N64" s="695"/>
      <c r="O64" s="695"/>
      <c r="P64" s="695"/>
      <c r="Q64" s="695"/>
      <c r="R64" s="695"/>
      <c r="S64" s="695"/>
      <c r="T64" s="695"/>
      <c r="U64" s="695"/>
      <c r="V64" s="696" t="s">
        <v>979</v>
      </c>
      <c r="W64" s="696"/>
      <c r="X64" s="696"/>
      <c r="Y64" s="663"/>
      <c r="Z64" s="663"/>
      <c r="AA64" s="663"/>
      <c r="AB64" s="663"/>
      <c r="AC64" s="663"/>
      <c r="AD64" s="663"/>
      <c r="AE64" s="663"/>
      <c r="AF64" s="663"/>
      <c r="AG64" s="663"/>
      <c r="AH64" s="663"/>
      <c r="AI64" s="663"/>
      <c r="AJ64" s="663"/>
      <c r="AK64" s="663"/>
      <c r="AL64" s="663"/>
      <c r="AM64" s="663"/>
      <c r="AN64" s="663"/>
      <c r="AO64" s="663"/>
      <c r="AP64" s="663"/>
      <c r="AQ64" s="663"/>
      <c r="AR64" s="663"/>
      <c r="AS64" s="663"/>
      <c r="AT64" s="663"/>
      <c r="AU64" s="663"/>
      <c r="AV64" s="663"/>
      <c r="AW64" s="646"/>
      <c r="AX64" s="693"/>
      <c r="AY64" s="693"/>
      <c r="AZ64" s="693"/>
    </row>
    <row r="65" spans="1:52" ht="12.75" customHeight="1">
      <c r="A65" s="634">
        <v>63</v>
      </c>
      <c r="B65" s="634"/>
      <c r="C65" s="695" t="s">
        <v>980</v>
      </c>
      <c r="D65" s="695"/>
      <c r="E65" s="695"/>
      <c r="F65" s="695"/>
      <c r="G65" s="695"/>
      <c r="H65" s="695"/>
      <c r="I65" s="695"/>
      <c r="J65" s="695"/>
      <c r="K65" s="695"/>
      <c r="L65" s="695"/>
      <c r="M65" s="695"/>
      <c r="N65" s="695"/>
      <c r="O65" s="695"/>
      <c r="P65" s="695"/>
      <c r="Q65" s="695"/>
      <c r="R65" s="695"/>
      <c r="S65" s="695"/>
      <c r="T65" s="695"/>
      <c r="U65" s="695"/>
      <c r="V65" s="691" t="s">
        <v>979</v>
      </c>
      <c r="W65" s="691"/>
      <c r="X65" s="691"/>
      <c r="Y65" s="671"/>
      <c r="Z65" s="671"/>
      <c r="AA65" s="671"/>
      <c r="AB65" s="671"/>
      <c r="AC65" s="671"/>
      <c r="AD65" s="671"/>
      <c r="AE65" s="671"/>
      <c r="AF65" s="671"/>
      <c r="AG65" s="671"/>
      <c r="AH65" s="671"/>
      <c r="AI65" s="671"/>
      <c r="AJ65" s="671"/>
      <c r="AK65" s="671"/>
      <c r="AL65" s="671"/>
      <c r="AM65" s="671"/>
      <c r="AN65" s="671"/>
      <c r="AO65" s="671"/>
      <c r="AP65" s="671"/>
      <c r="AQ65" s="671"/>
      <c r="AR65" s="671"/>
      <c r="AS65" s="671"/>
      <c r="AT65" s="671"/>
      <c r="AU65" s="671"/>
      <c r="AV65" s="671"/>
      <c r="AW65" s="634"/>
      <c r="AX65" s="634"/>
      <c r="AY65" s="634"/>
      <c r="AZ65" s="634"/>
    </row>
    <row r="66" spans="1:52" ht="12.75" customHeight="1">
      <c r="A66" s="634">
        <v>64</v>
      </c>
      <c r="B66" s="634"/>
      <c r="C66" s="695" t="s">
        <v>981</v>
      </c>
      <c r="D66" s="695"/>
      <c r="E66" s="695"/>
      <c r="F66" s="695"/>
      <c r="G66" s="695"/>
      <c r="H66" s="695"/>
      <c r="I66" s="695"/>
      <c r="J66" s="695"/>
      <c r="K66" s="695"/>
      <c r="L66" s="695"/>
      <c r="M66" s="695"/>
      <c r="N66" s="695"/>
      <c r="O66" s="695"/>
      <c r="P66" s="695"/>
      <c r="Q66" s="695"/>
      <c r="R66" s="695"/>
      <c r="S66" s="695"/>
      <c r="T66" s="695"/>
      <c r="U66" s="695"/>
      <c r="V66" s="691" t="s">
        <v>979</v>
      </c>
      <c r="W66" s="691"/>
      <c r="X66" s="691"/>
      <c r="Y66" s="671"/>
      <c r="Z66" s="671"/>
      <c r="AA66" s="671"/>
      <c r="AB66" s="671"/>
      <c r="AC66" s="671"/>
      <c r="AD66" s="671"/>
      <c r="AE66" s="671"/>
      <c r="AF66" s="671"/>
      <c r="AG66" s="671"/>
      <c r="AH66" s="671"/>
      <c r="AI66" s="671"/>
      <c r="AJ66" s="671"/>
      <c r="AK66" s="671"/>
      <c r="AL66" s="671"/>
      <c r="AM66" s="671"/>
      <c r="AN66" s="671"/>
      <c r="AO66" s="671"/>
      <c r="AP66" s="671"/>
      <c r="AQ66" s="671"/>
      <c r="AR66" s="671"/>
      <c r="AS66" s="671"/>
      <c r="AT66" s="671"/>
      <c r="AU66" s="671"/>
      <c r="AV66" s="671"/>
      <c r="AW66" s="634"/>
      <c r="AX66" s="634"/>
      <c r="AY66" s="634"/>
      <c r="AZ66" s="634"/>
    </row>
    <row r="67" spans="1:52" ht="12.75" customHeight="1">
      <c r="A67" s="634">
        <v>65</v>
      </c>
      <c r="B67" s="634"/>
      <c r="C67" s="695" t="s">
        <v>982</v>
      </c>
      <c r="D67" s="695"/>
      <c r="E67" s="695"/>
      <c r="F67" s="695"/>
      <c r="G67" s="695"/>
      <c r="H67" s="695"/>
      <c r="I67" s="695"/>
      <c r="J67" s="695"/>
      <c r="K67" s="695"/>
      <c r="L67" s="695"/>
      <c r="M67" s="695"/>
      <c r="N67" s="695"/>
      <c r="O67" s="695"/>
      <c r="P67" s="695"/>
      <c r="Q67" s="695"/>
      <c r="R67" s="695"/>
      <c r="S67" s="695"/>
      <c r="T67" s="695"/>
      <c r="U67" s="695"/>
      <c r="V67" s="691" t="s">
        <v>979</v>
      </c>
      <c r="W67" s="691"/>
      <c r="X67" s="691"/>
      <c r="Y67" s="671"/>
      <c r="Z67" s="671"/>
      <c r="AA67" s="671"/>
      <c r="AB67" s="671"/>
      <c r="AC67" s="671"/>
      <c r="AD67" s="671"/>
      <c r="AE67" s="671"/>
      <c r="AF67" s="671"/>
      <c r="AG67" s="671"/>
      <c r="AH67" s="671"/>
      <c r="AI67" s="671"/>
      <c r="AJ67" s="671"/>
      <c r="AK67" s="671"/>
      <c r="AL67" s="671"/>
      <c r="AM67" s="671"/>
      <c r="AN67" s="671"/>
      <c r="AO67" s="671"/>
      <c r="AP67" s="671"/>
      <c r="AQ67" s="671"/>
      <c r="AR67" s="671"/>
      <c r="AS67" s="671"/>
      <c r="AT67" s="671"/>
      <c r="AU67" s="671"/>
      <c r="AV67" s="671"/>
      <c r="AW67" s="634"/>
      <c r="AX67" s="634"/>
      <c r="AY67" s="634"/>
      <c r="AZ67" s="634"/>
    </row>
    <row r="68" spans="1:52" ht="12.75" customHeight="1">
      <c r="A68" s="634">
        <v>66</v>
      </c>
      <c r="B68" s="634"/>
      <c r="C68" s="695" t="s">
        <v>983</v>
      </c>
      <c r="D68" s="695"/>
      <c r="E68" s="695"/>
      <c r="F68" s="695"/>
      <c r="G68" s="695"/>
      <c r="H68" s="695"/>
      <c r="I68" s="695"/>
      <c r="J68" s="695"/>
      <c r="K68" s="695"/>
      <c r="L68" s="695"/>
      <c r="M68" s="695"/>
      <c r="N68" s="695"/>
      <c r="O68" s="695"/>
      <c r="P68" s="695"/>
      <c r="Q68" s="695"/>
      <c r="R68" s="695"/>
      <c r="S68" s="695"/>
      <c r="T68" s="695"/>
      <c r="U68" s="695"/>
      <c r="V68" s="691" t="s">
        <v>979</v>
      </c>
      <c r="W68" s="691"/>
      <c r="X68" s="691"/>
      <c r="Y68" s="671"/>
      <c r="Z68" s="671"/>
      <c r="AA68" s="671"/>
      <c r="AB68" s="671"/>
      <c r="AC68" s="671"/>
      <c r="AD68" s="671"/>
      <c r="AE68" s="671"/>
      <c r="AF68" s="671"/>
      <c r="AG68" s="671"/>
      <c r="AH68" s="671"/>
      <c r="AI68" s="671"/>
      <c r="AJ68" s="671"/>
      <c r="AK68" s="671"/>
      <c r="AL68" s="671"/>
      <c r="AM68" s="671"/>
      <c r="AN68" s="671"/>
      <c r="AO68" s="671"/>
      <c r="AP68" s="671"/>
      <c r="AQ68" s="671"/>
      <c r="AR68" s="671"/>
      <c r="AS68" s="671"/>
      <c r="AT68" s="671"/>
      <c r="AU68" s="671"/>
      <c r="AV68" s="671"/>
      <c r="AW68" s="634"/>
      <c r="AX68" s="634"/>
      <c r="AY68" s="634"/>
      <c r="AZ68" s="634"/>
    </row>
    <row r="69" spans="1:52" ht="25.5" customHeight="1">
      <c r="A69" s="634">
        <v>67</v>
      </c>
      <c r="B69" s="634"/>
      <c r="C69" s="695" t="s">
        <v>984</v>
      </c>
      <c r="D69" s="695"/>
      <c r="E69" s="695"/>
      <c r="F69" s="695"/>
      <c r="G69" s="695"/>
      <c r="H69" s="695"/>
      <c r="I69" s="695"/>
      <c r="J69" s="695"/>
      <c r="K69" s="695"/>
      <c r="L69" s="695"/>
      <c r="M69" s="695"/>
      <c r="N69" s="695"/>
      <c r="O69" s="695"/>
      <c r="P69" s="695"/>
      <c r="Q69" s="695"/>
      <c r="R69" s="695"/>
      <c r="S69" s="695"/>
      <c r="T69" s="695"/>
      <c r="U69" s="695"/>
      <c r="V69" s="691" t="s">
        <v>979</v>
      </c>
      <c r="W69" s="691"/>
      <c r="X69" s="691"/>
      <c r="Y69" s="671"/>
      <c r="Z69" s="671"/>
      <c r="AA69" s="671"/>
      <c r="AB69" s="671"/>
      <c r="AC69" s="671"/>
      <c r="AD69" s="671"/>
      <c r="AE69" s="671"/>
      <c r="AF69" s="671"/>
      <c r="AG69" s="671"/>
      <c r="AH69" s="671"/>
      <c r="AI69" s="671"/>
      <c r="AJ69" s="671"/>
      <c r="AK69" s="671"/>
      <c r="AL69" s="671"/>
      <c r="AM69" s="671"/>
      <c r="AN69" s="671"/>
      <c r="AO69" s="671"/>
      <c r="AP69" s="671"/>
      <c r="AQ69" s="671"/>
      <c r="AR69" s="671"/>
      <c r="AS69" s="671"/>
      <c r="AT69" s="671"/>
      <c r="AU69" s="671"/>
      <c r="AV69" s="671"/>
      <c r="AW69" s="634"/>
      <c r="AX69" s="634"/>
      <c r="AY69" s="634"/>
      <c r="AZ69" s="634"/>
    </row>
    <row r="70" spans="1:52" ht="12.75" customHeight="1">
      <c r="A70" s="634">
        <v>68</v>
      </c>
      <c r="B70" s="634"/>
      <c r="C70" s="695" t="s">
        <v>985</v>
      </c>
      <c r="D70" s="695"/>
      <c r="E70" s="695"/>
      <c r="F70" s="695"/>
      <c r="G70" s="695"/>
      <c r="H70" s="695"/>
      <c r="I70" s="695"/>
      <c r="J70" s="695"/>
      <c r="K70" s="695"/>
      <c r="L70" s="695"/>
      <c r="M70" s="695"/>
      <c r="N70" s="695"/>
      <c r="O70" s="695"/>
      <c r="P70" s="695"/>
      <c r="Q70" s="695"/>
      <c r="R70" s="695"/>
      <c r="S70" s="695"/>
      <c r="T70" s="695"/>
      <c r="U70" s="695"/>
      <c r="V70" s="691" t="s">
        <v>979</v>
      </c>
      <c r="W70" s="691"/>
      <c r="X70" s="691"/>
      <c r="Y70" s="671"/>
      <c r="Z70" s="671"/>
      <c r="AA70" s="671"/>
      <c r="AB70" s="671"/>
      <c r="AC70" s="671"/>
      <c r="AD70" s="671"/>
      <c r="AE70" s="671"/>
      <c r="AF70" s="671"/>
      <c r="AG70" s="671"/>
      <c r="AH70" s="671"/>
      <c r="AI70" s="671"/>
      <c r="AJ70" s="671"/>
      <c r="AK70" s="671"/>
      <c r="AL70" s="671"/>
      <c r="AM70" s="671"/>
      <c r="AN70" s="671"/>
      <c r="AO70" s="671"/>
      <c r="AP70" s="671"/>
      <c r="AQ70" s="671"/>
      <c r="AR70" s="671"/>
      <c r="AS70" s="671"/>
      <c r="AT70" s="671"/>
      <c r="AU70" s="671"/>
      <c r="AV70" s="671"/>
      <c r="AW70" s="634"/>
      <c r="AX70" s="634"/>
      <c r="AY70" s="634"/>
      <c r="AZ70" s="634"/>
    </row>
    <row r="71" spans="1:52" ht="12.75" customHeight="1">
      <c r="A71" s="634">
        <v>69</v>
      </c>
      <c r="B71" s="634"/>
      <c r="C71" s="695" t="s">
        <v>986</v>
      </c>
      <c r="D71" s="695"/>
      <c r="E71" s="695"/>
      <c r="F71" s="695"/>
      <c r="G71" s="695"/>
      <c r="H71" s="695"/>
      <c r="I71" s="695"/>
      <c r="J71" s="695"/>
      <c r="K71" s="695"/>
      <c r="L71" s="695"/>
      <c r="M71" s="695"/>
      <c r="N71" s="695"/>
      <c r="O71" s="695"/>
      <c r="P71" s="695"/>
      <c r="Q71" s="695"/>
      <c r="R71" s="695"/>
      <c r="S71" s="695"/>
      <c r="T71" s="695"/>
      <c r="U71" s="695"/>
      <c r="V71" s="691" t="s">
        <v>979</v>
      </c>
      <c r="W71" s="691"/>
      <c r="X71" s="691"/>
      <c r="Y71" s="671"/>
      <c r="Z71" s="671"/>
      <c r="AA71" s="671"/>
      <c r="AB71" s="671"/>
      <c r="AC71" s="671"/>
      <c r="AD71" s="671"/>
      <c r="AE71" s="671"/>
      <c r="AF71" s="671"/>
      <c r="AG71" s="671"/>
      <c r="AH71" s="671"/>
      <c r="AI71" s="671"/>
      <c r="AJ71" s="671"/>
      <c r="AK71" s="671"/>
      <c r="AL71" s="671"/>
      <c r="AM71" s="671"/>
      <c r="AN71" s="671"/>
      <c r="AO71" s="671"/>
      <c r="AP71" s="671"/>
      <c r="AQ71" s="671"/>
      <c r="AR71" s="671"/>
      <c r="AS71" s="671"/>
      <c r="AT71" s="671"/>
      <c r="AU71" s="671"/>
      <c r="AV71" s="671"/>
      <c r="AW71" s="634"/>
      <c r="AX71" s="634"/>
      <c r="AY71" s="634"/>
      <c r="AZ71" s="634"/>
    </row>
    <row r="72" spans="1:52" ht="12.75" customHeight="1">
      <c r="A72" s="634">
        <v>70</v>
      </c>
      <c r="B72" s="634"/>
      <c r="C72" s="695" t="s">
        <v>987</v>
      </c>
      <c r="D72" s="695"/>
      <c r="E72" s="695"/>
      <c r="F72" s="695"/>
      <c r="G72" s="695"/>
      <c r="H72" s="695"/>
      <c r="I72" s="695"/>
      <c r="J72" s="695"/>
      <c r="K72" s="695"/>
      <c r="L72" s="695"/>
      <c r="M72" s="695"/>
      <c r="N72" s="695"/>
      <c r="O72" s="695"/>
      <c r="P72" s="695"/>
      <c r="Q72" s="695"/>
      <c r="R72" s="695"/>
      <c r="S72" s="695"/>
      <c r="T72" s="695"/>
      <c r="U72" s="695"/>
      <c r="V72" s="691" t="s">
        <v>979</v>
      </c>
      <c r="W72" s="691"/>
      <c r="X72" s="691"/>
      <c r="Y72" s="671"/>
      <c r="Z72" s="671"/>
      <c r="AA72" s="671"/>
      <c r="AB72" s="671"/>
      <c r="AC72" s="671"/>
      <c r="AD72" s="671"/>
      <c r="AE72" s="671"/>
      <c r="AF72" s="671"/>
      <c r="AG72" s="671"/>
      <c r="AH72" s="671"/>
      <c r="AI72" s="671"/>
      <c r="AJ72" s="671"/>
      <c r="AK72" s="671"/>
      <c r="AL72" s="671"/>
      <c r="AM72" s="671"/>
      <c r="AN72" s="671"/>
      <c r="AO72" s="671"/>
      <c r="AP72" s="671"/>
      <c r="AQ72" s="671"/>
      <c r="AR72" s="671"/>
      <c r="AS72" s="671"/>
      <c r="AT72" s="671"/>
      <c r="AU72" s="671"/>
      <c r="AV72" s="671"/>
      <c r="AW72" s="634"/>
      <c r="AX72" s="634"/>
      <c r="AY72" s="634"/>
      <c r="AZ72" s="634"/>
    </row>
    <row r="73" spans="1:52" ht="39" customHeight="1">
      <c r="A73" s="634">
        <v>71</v>
      </c>
      <c r="B73" s="634"/>
      <c r="C73" s="695" t="s">
        <v>988</v>
      </c>
      <c r="D73" s="695"/>
      <c r="E73" s="695"/>
      <c r="F73" s="695"/>
      <c r="G73" s="695"/>
      <c r="H73" s="695"/>
      <c r="I73" s="695"/>
      <c r="J73" s="695"/>
      <c r="K73" s="695"/>
      <c r="L73" s="695"/>
      <c r="M73" s="695"/>
      <c r="N73" s="695"/>
      <c r="O73" s="695"/>
      <c r="P73" s="695"/>
      <c r="Q73" s="695"/>
      <c r="R73" s="695"/>
      <c r="S73" s="695"/>
      <c r="T73" s="695"/>
      <c r="U73" s="695"/>
      <c r="V73" s="691" t="s">
        <v>979</v>
      </c>
      <c r="W73" s="691"/>
      <c r="X73" s="691"/>
      <c r="Y73" s="671"/>
      <c r="Z73" s="671"/>
      <c r="AA73" s="671"/>
      <c r="AB73" s="671"/>
      <c r="AC73" s="671"/>
      <c r="AD73" s="671"/>
      <c r="AE73" s="671"/>
      <c r="AF73" s="671"/>
      <c r="AG73" s="671"/>
      <c r="AH73" s="671"/>
      <c r="AI73" s="671"/>
      <c r="AJ73" s="671"/>
      <c r="AK73" s="671"/>
      <c r="AL73" s="671"/>
      <c r="AM73" s="671"/>
      <c r="AN73" s="671"/>
      <c r="AO73" s="671"/>
      <c r="AP73" s="671"/>
      <c r="AQ73" s="671"/>
      <c r="AR73" s="671"/>
      <c r="AS73" s="671"/>
      <c r="AT73" s="671"/>
      <c r="AU73" s="671"/>
      <c r="AV73" s="671"/>
      <c r="AW73" s="634"/>
      <c r="AX73" s="634"/>
      <c r="AY73" s="634"/>
      <c r="AZ73" s="634"/>
    </row>
    <row r="74" spans="1:52" ht="12.75" customHeight="1">
      <c r="A74" s="634">
        <v>72</v>
      </c>
      <c r="B74" s="634"/>
      <c r="C74" s="697" t="s">
        <v>989</v>
      </c>
      <c r="D74" s="697"/>
      <c r="E74" s="697"/>
      <c r="F74" s="697"/>
      <c r="G74" s="697"/>
      <c r="H74" s="697"/>
      <c r="I74" s="697"/>
      <c r="J74" s="697"/>
      <c r="K74" s="697"/>
      <c r="L74" s="697"/>
      <c r="M74" s="697"/>
      <c r="N74" s="697"/>
      <c r="O74" s="697"/>
      <c r="P74" s="697"/>
      <c r="Q74" s="697"/>
      <c r="R74" s="697"/>
      <c r="S74" s="697"/>
      <c r="T74" s="697"/>
      <c r="U74" s="697"/>
      <c r="V74" s="691" t="s">
        <v>979</v>
      </c>
      <c r="W74" s="691"/>
      <c r="X74" s="691"/>
      <c r="Y74" s="671"/>
      <c r="Z74" s="671"/>
      <c r="AA74" s="671"/>
      <c r="AB74" s="671"/>
      <c r="AC74" s="671"/>
      <c r="AD74" s="671"/>
      <c r="AE74" s="671"/>
      <c r="AF74" s="671"/>
      <c r="AG74" s="671"/>
      <c r="AH74" s="671"/>
      <c r="AI74" s="671"/>
      <c r="AJ74" s="671"/>
      <c r="AK74" s="671"/>
      <c r="AL74" s="671"/>
      <c r="AM74" s="671"/>
      <c r="AN74" s="671"/>
      <c r="AO74" s="671"/>
      <c r="AP74" s="671"/>
      <c r="AQ74" s="671"/>
      <c r="AR74" s="671"/>
      <c r="AS74" s="671"/>
      <c r="AT74" s="671"/>
      <c r="AU74" s="671"/>
      <c r="AV74" s="671"/>
      <c r="AW74" s="634"/>
      <c r="AX74" s="634"/>
      <c r="AY74" s="634"/>
      <c r="AZ74" s="634"/>
    </row>
    <row r="75" spans="1:52" ht="25.5" customHeight="1">
      <c r="A75" s="634">
        <v>73</v>
      </c>
      <c r="B75" s="634"/>
      <c r="C75" s="697" t="s">
        <v>990</v>
      </c>
      <c r="D75" s="697"/>
      <c r="E75" s="697"/>
      <c r="F75" s="697"/>
      <c r="G75" s="697"/>
      <c r="H75" s="697"/>
      <c r="I75" s="697"/>
      <c r="J75" s="697"/>
      <c r="K75" s="697"/>
      <c r="L75" s="697"/>
      <c r="M75" s="697"/>
      <c r="N75" s="697"/>
      <c r="O75" s="697"/>
      <c r="P75" s="697"/>
      <c r="Q75" s="697"/>
      <c r="R75" s="697"/>
      <c r="S75" s="697"/>
      <c r="T75" s="697"/>
      <c r="U75" s="697"/>
      <c r="V75" s="691" t="s">
        <v>979</v>
      </c>
      <c r="W75" s="691"/>
      <c r="X75" s="691"/>
      <c r="Y75" s="671"/>
      <c r="Z75" s="671"/>
      <c r="AA75" s="671"/>
      <c r="AB75" s="671"/>
      <c r="AC75" s="671"/>
      <c r="AD75" s="671"/>
      <c r="AE75" s="671"/>
      <c r="AF75" s="671"/>
      <c r="AG75" s="671"/>
      <c r="AH75" s="671"/>
      <c r="AI75" s="671"/>
      <c r="AJ75" s="671"/>
      <c r="AK75" s="671"/>
      <c r="AL75" s="671"/>
      <c r="AM75" s="671"/>
      <c r="AN75" s="671"/>
      <c r="AO75" s="671"/>
      <c r="AP75" s="671"/>
      <c r="AQ75" s="671"/>
      <c r="AR75" s="671"/>
      <c r="AS75" s="671"/>
      <c r="AT75" s="671"/>
      <c r="AU75" s="671"/>
      <c r="AV75" s="671"/>
      <c r="AW75" s="634"/>
      <c r="AX75" s="634"/>
      <c r="AY75" s="634"/>
      <c r="AZ75" s="634"/>
    </row>
    <row r="76" spans="1:52" ht="12.75" customHeight="1">
      <c r="A76" s="634">
        <v>74</v>
      </c>
      <c r="B76" s="634"/>
      <c r="C76" s="695" t="s">
        <v>991</v>
      </c>
      <c r="D76" s="695"/>
      <c r="E76" s="695"/>
      <c r="F76" s="695"/>
      <c r="G76" s="695"/>
      <c r="H76" s="695"/>
      <c r="I76" s="695"/>
      <c r="J76" s="695"/>
      <c r="K76" s="695"/>
      <c r="L76" s="695"/>
      <c r="M76" s="695"/>
      <c r="N76" s="695"/>
      <c r="O76" s="695"/>
      <c r="P76" s="695"/>
      <c r="Q76" s="695"/>
      <c r="R76" s="695"/>
      <c r="S76" s="695"/>
      <c r="T76" s="695"/>
      <c r="U76" s="695"/>
      <c r="V76" s="691" t="s">
        <v>992</v>
      </c>
      <c r="W76" s="691"/>
      <c r="X76" s="691"/>
      <c r="Y76" s="634"/>
      <c r="Z76" s="634"/>
      <c r="AA76" s="634"/>
      <c r="AB76" s="634"/>
      <c r="AC76" s="634"/>
      <c r="AD76" s="634"/>
      <c r="AE76" s="634"/>
      <c r="AF76" s="634"/>
      <c r="AG76" s="634"/>
      <c r="AH76" s="634"/>
      <c r="AI76" s="634"/>
      <c r="AJ76" s="634"/>
      <c r="AK76" s="634"/>
      <c r="AL76" s="634"/>
      <c r="AM76" s="634"/>
      <c r="AN76" s="634"/>
      <c r="AO76" s="634"/>
      <c r="AP76" s="634"/>
      <c r="AQ76" s="634"/>
      <c r="AR76" s="634"/>
      <c r="AS76" s="634"/>
      <c r="AT76" s="634"/>
      <c r="AU76" s="634"/>
      <c r="AV76" s="634"/>
      <c r="AW76" s="634"/>
      <c r="AX76" s="634"/>
      <c r="AY76" s="634"/>
      <c r="AZ76" s="634"/>
    </row>
    <row r="77" spans="1:52" s="415" customFormat="1" ht="25.5" customHeight="1">
      <c r="A77" s="634">
        <v>75</v>
      </c>
      <c r="B77" s="634"/>
      <c r="C77" s="697" t="s">
        <v>993</v>
      </c>
      <c r="D77" s="697"/>
      <c r="E77" s="697"/>
      <c r="F77" s="697"/>
      <c r="G77" s="697"/>
      <c r="H77" s="697"/>
      <c r="I77" s="697"/>
      <c r="J77" s="697"/>
      <c r="K77" s="697"/>
      <c r="L77" s="697"/>
      <c r="M77" s="697"/>
      <c r="N77" s="697"/>
      <c r="O77" s="697"/>
      <c r="P77" s="697"/>
      <c r="Q77" s="697"/>
      <c r="R77" s="697"/>
      <c r="S77" s="697"/>
      <c r="T77" s="697"/>
      <c r="U77" s="697"/>
      <c r="V77" s="696" t="s">
        <v>994</v>
      </c>
      <c r="W77" s="696"/>
      <c r="X77" s="696"/>
      <c r="Y77" s="663"/>
      <c r="Z77" s="663"/>
      <c r="AA77" s="663"/>
      <c r="AB77" s="663"/>
      <c r="AC77" s="663"/>
      <c r="AD77" s="663"/>
      <c r="AE77" s="663"/>
      <c r="AF77" s="663"/>
      <c r="AG77" s="663"/>
      <c r="AH77" s="663"/>
      <c r="AI77" s="663"/>
      <c r="AJ77" s="663"/>
      <c r="AK77" s="663"/>
      <c r="AL77" s="663"/>
      <c r="AM77" s="663"/>
      <c r="AN77" s="663"/>
      <c r="AO77" s="663"/>
      <c r="AP77" s="663"/>
      <c r="AQ77" s="663"/>
      <c r="AR77" s="663"/>
      <c r="AS77" s="663"/>
      <c r="AT77" s="663"/>
      <c r="AU77" s="663"/>
      <c r="AV77" s="663"/>
      <c r="AW77" s="646"/>
      <c r="AX77" s="693"/>
      <c r="AY77" s="693"/>
      <c r="AZ77" s="693"/>
    </row>
    <row r="78" spans="1:52" ht="12.75" customHeight="1">
      <c r="A78" s="634">
        <v>76</v>
      </c>
      <c r="B78" s="634"/>
      <c r="C78" s="694" t="s">
        <v>995</v>
      </c>
      <c r="D78" s="694"/>
      <c r="E78" s="694"/>
      <c r="F78" s="694"/>
      <c r="G78" s="694"/>
      <c r="H78" s="694"/>
      <c r="I78" s="694"/>
      <c r="J78" s="694"/>
      <c r="K78" s="694"/>
      <c r="L78" s="694"/>
      <c r="M78" s="694"/>
      <c r="N78" s="694"/>
      <c r="O78" s="694"/>
      <c r="P78" s="694"/>
      <c r="Q78" s="694"/>
      <c r="R78" s="694"/>
      <c r="S78" s="694"/>
      <c r="T78" s="694"/>
      <c r="U78" s="694"/>
      <c r="V78" s="691" t="s">
        <v>994</v>
      </c>
      <c r="W78" s="691"/>
      <c r="X78" s="691"/>
      <c r="Y78" s="671"/>
      <c r="Z78" s="671"/>
      <c r="AA78" s="671"/>
      <c r="AB78" s="671"/>
      <c r="AC78" s="671"/>
      <c r="AD78" s="671"/>
      <c r="AE78" s="671"/>
      <c r="AF78" s="671"/>
      <c r="AG78" s="671"/>
      <c r="AH78" s="671"/>
      <c r="AI78" s="671"/>
      <c r="AJ78" s="671"/>
      <c r="AK78" s="671"/>
      <c r="AL78" s="671"/>
      <c r="AM78" s="671"/>
      <c r="AN78" s="671"/>
      <c r="AO78" s="671"/>
      <c r="AP78" s="671"/>
      <c r="AQ78" s="671"/>
      <c r="AR78" s="671"/>
      <c r="AS78" s="671"/>
      <c r="AT78" s="671"/>
      <c r="AU78" s="671"/>
      <c r="AV78" s="671"/>
      <c r="AW78" s="634"/>
      <c r="AX78" s="634"/>
      <c r="AY78" s="634"/>
      <c r="AZ78" s="634"/>
    </row>
    <row r="79" spans="1:52" ht="12.75" customHeight="1">
      <c r="A79" s="634">
        <v>77</v>
      </c>
      <c r="B79" s="634"/>
      <c r="C79" s="695" t="s">
        <v>996</v>
      </c>
      <c r="D79" s="695"/>
      <c r="E79" s="695"/>
      <c r="F79" s="695"/>
      <c r="G79" s="695"/>
      <c r="H79" s="695"/>
      <c r="I79" s="695"/>
      <c r="J79" s="695"/>
      <c r="K79" s="695"/>
      <c r="L79" s="695"/>
      <c r="M79" s="695"/>
      <c r="N79" s="695"/>
      <c r="O79" s="695"/>
      <c r="P79" s="695"/>
      <c r="Q79" s="695"/>
      <c r="R79" s="695"/>
      <c r="S79" s="695"/>
      <c r="T79" s="695"/>
      <c r="U79" s="695"/>
      <c r="V79" s="691" t="s">
        <v>994</v>
      </c>
      <c r="W79" s="691"/>
      <c r="X79" s="691"/>
      <c r="Y79" s="671"/>
      <c r="Z79" s="671"/>
      <c r="AA79" s="671"/>
      <c r="AB79" s="671"/>
      <c r="AC79" s="671"/>
      <c r="AD79" s="671"/>
      <c r="AE79" s="671"/>
      <c r="AF79" s="671"/>
      <c r="AG79" s="671"/>
      <c r="AH79" s="671"/>
      <c r="AI79" s="671"/>
      <c r="AJ79" s="671"/>
      <c r="AK79" s="671"/>
      <c r="AL79" s="671"/>
      <c r="AM79" s="671"/>
      <c r="AN79" s="671"/>
      <c r="AO79" s="671"/>
      <c r="AP79" s="671"/>
      <c r="AQ79" s="671"/>
      <c r="AR79" s="671"/>
      <c r="AS79" s="671"/>
      <c r="AT79" s="671"/>
      <c r="AU79" s="671"/>
      <c r="AV79" s="671"/>
      <c r="AW79" s="634"/>
      <c r="AX79" s="634"/>
      <c r="AY79" s="634"/>
      <c r="AZ79" s="634"/>
    </row>
    <row r="80" spans="1:52" ht="12.75" customHeight="1">
      <c r="A80" s="634">
        <v>78</v>
      </c>
      <c r="B80" s="634"/>
      <c r="C80" s="695" t="s">
        <v>997</v>
      </c>
      <c r="D80" s="695"/>
      <c r="E80" s="695"/>
      <c r="F80" s="695"/>
      <c r="G80" s="695"/>
      <c r="H80" s="695"/>
      <c r="I80" s="695"/>
      <c r="J80" s="695"/>
      <c r="K80" s="695"/>
      <c r="L80" s="695"/>
      <c r="M80" s="695"/>
      <c r="N80" s="695"/>
      <c r="O80" s="695"/>
      <c r="P80" s="695"/>
      <c r="Q80" s="695"/>
      <c r="R80" s="695"/>
      <c r="S80" s="695"/>
      <c r="T80" s="695"/>
      <c r="U80" s="695"/>
      <c r="V80" s="691" t="s">
        <v>994</v>
      </c>
      <c r="W80" s="691"/>
      <c r="X80" s="691"/>
      <c r="Y80" s="671"/>
      <c r="Z80" s="671"/>
      <c r="AA80" s="671"/>
      <c r="AB80" s="671"/>
      <c r="AC80" s="671"/>
      <c r="AD80" s="671"/>
      <c r="AE80" s="671"/>
      <c r="AF80" s="671"/>
      <c r="AG80" s="671"/>
      <c r="AH80" s="671"/>
      <c r="AI80" s="671"/>
      <c r="AJ80" s="671"/>
      <c r="AK80" s="671"/>
      <c r="AL80" s="671"/>
      <c r="AM80" s="671"/>
      <c r="AN80" s="671"/>
      <c r="AO80" s="671"/>
      <c r="AP80" s="671"/>
      <c r="AQ80" s="671"/>
      <c r="AR80" s="671"/>
      <c r="AS80" s="671"/>
      <c r="AT80" s="671"/>
      <c r="AU80" s="671"/>
      <c r="AV80" s="671"/>
      <c r="AW80" s="634"/>
      <c r="AX80" s="634"/>
      <c r="AY80" s="634"/>
      <c r="AZ80" s="634"/>
    </row>
    <row r="81" spans="1:52" ht="25.5" customHeight="1">
      <c r="A81" s="634">
        <v>79</v>
      </c>
      <c r="B81" s="634"/>
      <c r="C81" s="695" t="s">
        <v>998</v>
      </c>
      <c r="D81" s="695"/>
      <c r="E81" s="695"/>
      <c r="F81" s="695"/>
      <c r="G81" s="695"/>
      <c r="H81" s="695"/>
      <c r="I81" s="695"/>
      <c r="J81" s="695"/>
      <c r="K81" s="695"/>
      <c r="L81" s="695"/>
      <c r="M81" s="695"/>
      <c r="N81" s="695"/>
      <c r="O81" s="695"/>
      <c r="P81" s="695"/>
      <c r="Q81" s="695"/>
      <c r="R81" s="695"/>
      <c r="S81" s="695"/>
      <c r="T81" s="695"/>
      <c r="U81" s="695"/>
      <c r="V81" s="691" t="s">
        <v>994</v>
      </c>
      <c r="W81" s="691"/>
      <c r="X81" s="691"/>
      <c r="Y81" s="671"/>
      <c r="Z81" s="671"/>
      <c r="AA81" s="671"/>
      <c r="AB81" s="671"/>
      <c r="AC81" s="671"/>
      <c r="AD81" s="671"/>
      <c r="AE81" s="671"/>
      <c r="AF81" s="671"/>
      <c r="AG81" s="671"/>
      <c r="AH81" s="671"/>
      <c r="AI81" s="671"/>
      <c r="AJ81" s="671"/>
      <c r="AK81" s="671"/>
      <c r="AL81" s="671"/>
      <c r="AM81" s="671"/>
      <c r="AN81" s="671"/>
      <c r="AO81" s="671"/>
      <c r="AP81" s="671"/>
      <c r="AQ81" s="671"/>
      <c r="AR81" s="671"/>
      <c r="AS81" s="671"/>
      <c r="AT81" s="671"/>
      <c r="AU81" s="671"/>
      <c r="AV81" s="671"/>
      <c r="AW81" s="634"/>
      <c r="AX81" s="634"/>
      <c r="AY81" s="634"/>
      <c r="AZ81" s="634"/>
    </row>
    <row r="82" spans="1:52" ht="25.5" customHeight="1">
      <c r="A82" s="634">
        <v>80</v>
      </c>
      <c r="B82" s="634"/>
      <c r="C82" s="695" t="s">
        <v>999</v>
      </c>
      <c r="D82" s="695"/>
      <c r="E82" s="695"/>
      <c r="F82" s="695"/>
      <c r="G82" s="695"/>
      <c r="H82" s="695"/>
      <c r="I82" s="695"/>
      <c r="J82" s="695"/>
      <c r="K82" s="695"/>
      <c r="L82" s="695"/>
      <c r="M82" s="695"/>
      <c r="N82" s="695"/>
      <c r="O82" s="695"/>
      <c r="P82" s="695"/>
      <c r="Q82" s="695"/>
      <c r="R82" s="695"/>
      <c r="S82" s="695"/>
      <c r="T82" s="695"/>
      <c r="U82" s="695"/>
      <c r="V82" s="691" t="s">
        <v>994</v>
      </c>
      <c r="W82" s="691"/>
      <c r="X82" s="691"/>
      <c r="Y82" s="671"/>
      <c r="Z82" s="671"/>
      <c r="AA82" s="671"/>
      <c r="AB82" s="671"/>
      <c r="AC82" s="671"/>
      <c r="AD82" s="671"/>
      <c r="AE82" s="671"/>
      <c r="AF82" s="671"/>
      <c r="AG82" s="671"/>
      <c r="AH82" s="671"/>
      <c r="AI82" s="671"/>
      <c r="AJ82" s="671"/>
      <c r="AK82" s="671"/>
      <c r="AL82" s="671"/>
      <c r="AM82" s="671"/>
      <c r="AN82" s="671"/>
      <c r="AO82" s="671"/>
      <c r="AP82" s="671"/>
      <c r="AQ82" s="671"/>
      <c r="AR82" s="671"/>
      <c r="AS82" s="671"/>
      <c r="AT82" s="671"/>
      <c r="AU82" s="671"/>
      <c r="AV82" s="671"/>
      <c r="AW82" s="634"/>
      <c r="AX82" s="634"/>
      <c r="AY82" s="634"/>
      <c r="AZ82" s="634"/>
    </row>
    <row r="83" spans="1:52" ht="25.5" customHeight="1">
      <c r="A83" s="634">
        <v>81</v>
      </c>
      <c r="B83" s="634"/>
      <c r="C83" s="695" t="s">
        <v>1000</v>
      </c>
      <c r="D83" s="695"/>
      <c r="E83" s="695"/>
      <c r="F83" s="695"/>
      <c r="G83" s="695"/>
      <c r="H83" s="695"/>
      <c r="I83" s="695"/>
      <c r="J83" s="695"/>
      <c r="K83" s="695"/>
      <c r="L83" s="695"/>
      <c r="M83" s="695"/>
      <c r="N83" s="695"/>
      <c r="O83" s="695"/>
      <c r="P83" s="695"/>
      <c r="Q83" s="695"/>
      <c r="R83" s="695"/>
      <c r="S83" s="695"/>
      <c r="T83" s="695"/>
      <c r="U83" s="695"/>
      <c r="V83" s="691" t="s">
        <v>994</v>
      </c>
      <c r="W83" s="691"/>
      <c r="X83" s="691"/>
      <c r="Y83" s="671"/>
      <c r="Z83" s="671"/>
      <c r="AA83" s="671"/>
      <c r="AB83" s="671"/>
      <c r="AC83" s="671"/>
      <c r="AD83" s="671"/>
      <c r="AE83" s="671"/>
      <c r="AF83" s="671"/>
      <c r="AG83" s="671"/>
      <c r="AH83" s="671"/>
      <c r="AI83" s="671"/>
      <c r="AJ83" s="671"/>
      <c r="AK83" s="671"/>
      <c r="AL83" s="671"/>
      <c r="AM83" s="671"/>
      <c r="AN83" s="671"/>
      <c r="AO83" s="671"/>
      <c r="AP83" s="671"/>
      <c r="AQ83" s="671"/>
      <c r="AR83" s="671"/>
      <c r="AS83" s="671"/>
      <c r="AT83" s="671"/>
      <c r="AU83" s="671"/>
      <c r="AV83" s="671"/>
      <c r="AW83" s="634"/>
      <c r="AX83" s="634"/>
      <c r="AY83" s="634"/>
      <c r="AZ83" s="634"/>
    </row>
    <row r="84" spans="1:52" ht="12.75" customHeight="1">
      <c r="A84" s="634">
        <v>82</v>
      </c>
      <c r="B84" s="634"/>
      <c r="C84" s="695" t="s">
        <v>1001</v>
      </c>
      <c r="D84" s="695"/>
      <c r="E84" s="695"/>
      <c r="F84" s="695"/>
      <c r="G84" s="695"/>
      <c r="H84" s="695"/>
      <c r="I84" s="695"/>
      <c r="J84" s="695"/>
      <c r="K84" s="695"/>
      <c r="L84" s="695"/>
      <c r="M84" s="695"/>
      <c r="N84" s="695"/>
      <c r="O84" s="695"/>
      <c r="P84" s="695"/>
      <c r="Q84" s="695"/>
      <c r="R84" s="695"/>
      <c r="S84" s="695"/>
      <c r="T84" s="695"/>
      <c r="U84" s="695"/>
      <c r="V84" s="691" t="s">
        <v>994</v>
      </c>
      <c r="W84" s="691"/>
      <c r="X84" s="691"/>
      <c r="Y84" s="671"/>
      <c r="Z84" s="671"/>
      <c r="AA84" s="671"/>
      <c r="AB84" s="671"/>
      <c r="AC84" s="671"/>
      <c r="AD84" s="671"/>
      <c r="AE84" s="671"/>
      <c r="AF84" s="671"/>
      <c r="AG84" s="671"/>
      <c r="AH84" s="671"/>
      <c r="AI84" s="671"/>
      <c r="AJ84" s="671"/>
      <c r="AK84" s="671"/>
      <c r="AL84" s="671"/>
      <c r="AM84" s="671"/>
      <c r="AN84" s="671"/>
      <c r="AO84" s="671"/>
      <c r="AP84" s="671"/>
      <c r="AQ84" s="671"/>
      <c r="AR84" s="671"/>
      <c r="AS84" s="671"/>
      <c r="AT84" s="671"/>
      <c r="AU84" s="671"/>
      <c r="AV84" s="671"/>
      <c r="AW84" s="634"/>
      <c r="AX84" s="634"/>
      <c r="AY84" s="634"/>
      <c r="AZ84" s="634"/>
    </row>
    <row r="85" spans="1:52" ht="25.5" customHeight="1">
      <c r="A85" s="634">
        <v>83</v>
      </c>
      <c r="B85" s="634"/>
      <c r="C85" s="697" t="s">
        <v>1002</v>
      </c>
      <c r="D85" s="697"/>
      <c r="E85" s="697"/>
      <c r="F85" s="697"/>
      <c r="G85" s="697"/>
      <c r="H85" s="697"/>
      <c r="I85" s="697"/>
      <c r="J85" s="697"/>
      <c r="K85" s="697"/>
      <c r="L85" s="697"/>
      <c r="M85" s="697"/>
      <c r="N85" s="697"/>
      <c r="O85" s="697"/>
      <c r="P85" s="697"/>
      <c r="Q85" s="697"/>
      <c r="R85" s="697"/>
      <c r="S85" s="697"/>
      <c r="T85" s="697"/>
      <c r="U85" s="697"/>
      <c r="V85" s="691" t="s">
        <v>994</v>
      </c>
      <c r="W85" s="691"/>
      <c r="X85" s="691"/>
      <c r="Y85" s="671"/>
      <c r="Z85" s="671"/>
      <c r="AA85" s="671"/>
      <c r="AB85" s="671"/>
      <c r="AC85" s="671"/>
      <c r="AD85" s="671"/>
      <c r="AE85" s="671"/>
      <c r="AF85" s="671"/>
      <c r="AG85" s="671"/>
      <c r="AH85" s="671"/>
      <c r="AI85" s="671"/>
      <c r="AJ85" s="671"/>
      <c r="AK85" s="671"/>
      <c r="AL85" s="671"/>
      <c r="AM85" s="671"/>
      <c r="AN85" s="671"/>
      <c r="AO85" s="671"/>
      <c r="AP85" s="671"/>
      <c r="AQ85" s="671"/>
      <c r="AR85" s="671"/>
      <c r="AS85" s="671"/>
      <c r="AT85" s="671"/>
      <c r="AU85" s="671"/>
      <c r="AV85" s="671"/>
      <c r="AW85" s="634"/>
      <c r="AX85" s="634"/>
      <c r="AY85" s="634"/>
      <c r="AZ85" s="634"/>
    </row>
    <row r="86" spans="1:52" ht="25.5" customHeight="1">
      <c r="A86" s="634">
        <v>84</v>
      </c>
      <c r="B86" s="634"/>
      <c r="C86" s="697" t="s">
        <v>1003</v>
      </c>
      <c r="D86" s="697"/>
      <c r="E86" s="697"/>
      <c r="F86" s="697"/>
      <c r="G86" s="697"/>
      <c r="H86" s="697"/>
      <c r="I86" s="697"/>
      <c r="J86" s="697"/>
      <c r="K86" s="697"/>
      <c r="L86" s="697"/>
      <c r="M86" s="697"/>
      <c r="N86" s="697"/>
      <c r="O86" s="697"/>
      <c r="P86" s="697"/>
      <c r="Q86" s="697"/>
      <c r="R86" s="697"/>
      <c r="S86" s="697"/>
      <c r="T86" s="697"/>
      <c r="U86" s="697"/>
      <c r="V86" s="691" t="s">
        <v>994</v>
      </c>
      <c r="W86" s="691"/>
      <c r="X86" s="691"/>
      <c r="Y86" s="671"/>
      <c r="Z86" s="671"/>
      <c r="AA86" s="671"/>
      <c r="AB86" s="671"/>
      <c r="AC86" s="671"/>
      <c r="AD86" s="671"/>
      <c r="AE86" s="671"/>
      <c r="AF86" s="671"/>
      <c r="AG86" s="671"/>
      <c r="AH86" s="671"/>
      <c r="AI86" s="671"/>
      <c r="AJ86" s="671"/>
      <c r="AK86" s="671"/>
      <c r="AL86" s="671"/>
      <c r="AM86" s="671"/>
      <c r="AN86" s="671"/>
      <c r="AO86" s="671"/>
      <c r="AP86" s="671"/>
      <c r="AQ86" s="671"/>
      <c r="AR86" s="671"/>
      <c r="AS86" s="671"/>
      <c r="AT86" s="671"/>
      <c r="AU86" s="671"/>
      <c r="AV86" s="671"/>
      <c r="AW86" s="634"/>
      <c r="AX86" s="634"/>
      <c r="AY86" s="634"/>
      <c r="AZ86" s="634"/>
    </row>
    <row r="87" spans="1:52" s="415" customFormat="1" ht="25.5" customHeight="1">
      <c r="A87" s="634">
        <v>85</v>
      </c>
      <c r="B87" s="634"/>
      <c r="C87" s="697" t="s">
        <v>1004</v>
      </c>
      <c r="D87" s="697"/>
      <c r="E87" s="697"/>
      <c r="F87" s="697"/>
      <c r="G87" s="697"/>
      <c r="H87" s="697"/>
      <c r="I87" s="697"/>
      <c r="J87" s="697"/>
      <c r="K87" s="697"/>
      <c r="L87" s="697"/>
      <c r="M87" s="697"/>
      <c r="N87" s="697"/>
      <c r="O87" s="697"/>
      <c r="P87" s="697"/>
      <c r="Q87" s="697"/>
      <c r="R87" s="697"/>
      <c r="S87" s="697"/>
      <c r="T87" s="697"/>
      <c r="U87" s="697"/>
      <c r="V87" s="696" t="s">
        <v>1005</v>
      </c>
      <c r="W87" s="696"/>
      <c r="X87" s="696"/>
      <c r="Y87" s="663"/>
      <c r="Z87" s="663"/>
      <c r="AA87" s="663"/>
      <c r="AB87" s="663"/>
      <c r="AC87" s="663"/>
      <c r="AD87" s="663"/>
      <c r="AE87" s="663"/>
      <c r="AF87" s="663"/>
      <c r="AG87" s="663"/>
      <c r="AH87" s="663"/>
      <c r="AI87" s="663"/>
      <c r="AJ87" s="663"/>
      <c r="AK87" s="663"/>
      <c r="AL87" s="663"/>
      <c r="AM87" s="663"/>
      <c r="AN87" s="663"/>
      <c r="AO87" s="663"/>
      <c r="AP87" s="663"/>
      <c r="AQ87" s="663"/>
      <c r="AR87" s="663"/>
      <c r="AS87" s="663"/>
      <c r="AT87" s="663"/>
      <c r="AU87" s="663"/>
      <c r="AV87" s="663"/>
      <c r="AW87" s="646"/>
      <c r="AX87" s="693"/>
      <c r="AY87" s="693"/>
      <c r="AZ87" s="693"/>
    </row>
    <row r="88" spans="1:52" ht="51.75" customHeight="1">
      <c r="A88" s="634">
        <v>86</v>
      </c>
      <c r="B88" s="634"/>
      <c r="C88" s="695" t="s">
        <v>1006</v>
      </c>
      <c r="D88" s="695"/>
      <c r="E88" s="695"/>
      <c r="F88" s="695"/>
      <c r="G88" s="695"/>
      <c r="H88" s="695"/>
      <c r="I88" s="695"/>
      <c r="J88" s="695"/>
      <c r="K88" s="695"/>
      <c r="L88" s="695"/>
      <c r="M88" s="695"/>
      <c r="N88" s="695"/>
      <c r="O88" s="695"/>
      <c r="P88" s="695"/>
      <c r="Q88" s="695"/>
      <c r="R88" s="695"/>
      <c r="S88" s="695"/>
      <c r="T88" s="695"/>
      <c r="U88" s="695"/>
      <c r="V88" s="691" t="s">
        <v>1005</v>
      </c>
      <c r="W88" s="691"/>
      <c r="X88" s="691"/>
      <c r="Y88" s="671"/>
      <c r="Z88" s="671"/>
      <c r="AA88" s="671"/>
      <c r="AB88" s="671"/>
      <c r="AC88" s="671"/>
      <c r="AD88" s="671"/>
      <c r="AE88" s="671"/>
      <c r="AF88" s="671"/>
      <c r="AG88" s="671"/>
      <c r="AH88" s="671"/>
      <c r="AI88" s="671"/>
      <c r="AJ88" s="671"/>
      <c r="AK88" s="671"/>
      <c r="AL88" s="671"/>
      <c r="AM88" s="671"/>
      <c r="AN88" s="671"/>
      <c r="AO88" s="671"/>
      <c r="AP88" s="671"/>
      <c r="AQ88" s="671"/>
      <c r="AR88" s="671"/>
      <c r="AS88" s="671"/>
      <c r="AT88" s="671"/>
      <c r="AU88" s="671"/>
      <c r="AV88" s="671"/>
      <c r="AW88" s="634"/>
      <c r="AX88" s="634"/>
      <c r="AY88" s="634"/>
      <c r="AZ88" s="634"/>
    </row>
    <row r="89" spans="1:52" ht="25.5" customHeight="1">
      <c r="A89" s="634">
        <v>87</v>
      </c>
      <c r="B89" s="634"/>
      <c r="C89" s="695" t="s">
        <v>1007</v>
      </c>
      <c r="D89" s="695"/>
      <c r="E89" s="695"/>
      <c r="F89" s="695"/>
      <c r="G89" s="695"/>
      <c r="H89" s="695"/>
      <c r="I89" s="695"/>
      <c r="J89" s="695"/>
      <c r="K89" s="695"/>
      <c r="L89" s="695"/>
      <c r="M89" s="695"/>
      <c r="N89" s="695"/>
      <c r="O89" s="695"/>
      <c r="P89" s="695"/>
      <c r="Q89" s="695"/>
      <c r="R89" s="695"/>
      <c r="S89" s="695"/>
      <c r="T89" s="695"/>
      <c r="U89" s="695"/>
      <c r="V89" s="691" t="s">
        <v>1005</v>
      </c>
      <c r="W89" s="691"/>
      <c r="X89" s="691"/>
      <c r="Y89" s="671"/>
      <c r="Z89" s="671"/>
      <c r="AA89" s="671"/>
      <c r="AB89" s="671"/>
      <c r="AC89" s="671"/>
      <c r="AD89" s="671"/>
      <c r="AE89" s="671"/>
      <c r="AF89" s="671"/>
      <c r="AG89" s="671"/>
      <c r="AH89" s="671"/>
      <c r="AI89" s="671"/>
      <c r="AJ89" s="671"/>
      <c r="AK89" s="671"/>
      <c r="AL89" s="671"/>
      <c r="AM89" s="671"/>
      <c r="AN89" s="671"/>
      <c r="AO89" s="671"/>
      <c r="AP89" s="671"/>
      <c r="AQ89" s="671"/>
      <c r="AR89" s="671"/>
      <c r="AS89" s="671"/>
      <c r="AT89" s="671"/>
      <c r="AU89" s="671"/>
      <c r="AV89" s="671"/>
      <c r="AW89" s="634"/>
      <c r="AX89" s="634"/>
      <c r="AY89" s="634"/>
      <c r="AZ89" s="634"/>
    </row>
    <row r="90" spans="1:52" ht="25.5" customHeight="1">
      <c r="A90" s="634">
        <v>88</v>
      </c>
      <c r="B90" s="634"/>
      <c r="C90" s="695" t="s">
        <v>1008</v>
      </c>
      <c r="D90" s="695"/>
      <c r="E90" s="695"/>
      <c r="F90" s="695"/>
      <c r="G90" s="695"/>
      <c r="H90" s="695"/>
      <c r="I90" s="695"/>
      <c r="J90" s="695"/>
      <c r="K90" s="695"/>
      <c r="L90" s="695"/>
      <c r="M90" s="695"/>
      <c r="N90" s="695"/>
      <c r="O90" s="695"/>
      <c r="P90" s="695"/>
      <c r="Q90" s="695"/>
      <c r="R90" s="695"/>
      <c r="S90" s="695"/>
      <c r="T90" s="695"/>
      <c r="U90" s="695"/>
      <c r="V90" s="691" t="s">
        <v>1005</v>
      </c>
      <c r="W90" s="691"/>
      <c r="X90" s="691"/>
      <c r="Y90" s="671"/>
      <c r="Z90" s="671"/>
      <c r="AA90" s="671"/>
      <c r="AB90" s="671"/>
      <c r="AC90" s="671"/>
      <c r="AD90" s="671"/>
      <c r="AE90" s="671"/>
      <c r="AF90" s="671"/>
      <c r="AG90" s="671"/>
      <c r="AH90" s="671"/>
      <c r="AI90" s="671"/>
      <c r="AJ90" s="671"/>
      <c r="AK90" s="671"/>
      <c r="AL90" s="671"/>
      <c r="AM90" s="671"/>
      <c r="AN90" s="671"/>
      <c r="AO90" s="671"/>
      <c r="AP90" s="671"/>
      <c r="AQ90" s="671"/>
      <c r="AR90" s="671"/>
      <c r="AS90" s="671"/>
      <c r="AT90" s="671"/>
      <c r="AU90" s="671"/>
      <c r="AV90" s="671"/>
      <c r="AW90" s="634"/>
      <c r="AX90" s="634"/>
      <c r="AY90" s="634"/>
      <c r="AZ90" s="634"/>
    </row>
    <row r="91" spans="1:52" ht="12.75" customHeight="1">
      <c r="A91" s="634">
        <v>89</v>
      </c>
      <c r="B91" s="634"/>
      <c r="C91" s="695" t="s">
        <v>1009</v>
      </c>
      <c r="D91" s="695"/>
      <c r="E91" s="695"/>
      <c r="F91" s="695"/>
      <c r="G91" s="695"/>
      <c r="H91" s="695"/>
      <c r="I91" s="695"/>
      <c r="J91" s="695"/>
      <c r="K91" s="695"/>
      <c r="L91" s="695"/>
      <c r="M91" s="695"/>
      <c r="N91" s="695"/>
      <c r="O91" s="695"/>
      <c r="P91" s="695"/>
      <c r="Q91" s="695"/>
      <c r="R91" s="695"/>
      <c r="S91" s="695"/>
      <c r="T91" s="695"/>
      <c r="U91" s="695"/>
      <c r="V91" s="691" t="s">
        <v>1005</v>
      </c>
      <c r="W91" s="691"/>
      <c r="X91" s="691"/>
      <c r="Y91" s="671"/>
      <c r="Z91" s="671"/>
      <c r="AA91" s="671"/>
      <c r="AB91" s="671"/>
      <c r="AC91" s="671"/>
      <c r="AD91" s="671"/>
      <c r="AE91" s="671"/>
      <c r="AF91" s="671"/>
      <c r="AG91" s="671"/>
      <c r="AH91" s="671"/>
      <c r="AI91" s="671"/>
      <c r="AJ91" s="671"/>
      <c r="AK91" s="671"/>
      <c r="AL91" s="671"/>
      <c r="AM91" s="671"/>
      <c r="AN91" s="671"/>
      <c r="AO91" s="671"/>
      <c r="AP91" s="671"/>
      <c r="AQ91" s="671"/>
      <c r="AR91" s="671"/>
      <c r="AS91" s="671"/>
      <c r="AT91" s="671"/>
      <c r="AU91" s="671"/>
      <c r="AV91" s="671"/>
      <c r="AW91" s="634"/>
      <c r="AX91" s="634"/>
      <c r="AY91" s="634"/>
      <c r="AZ91" s="634"/>
    </row>
    <row r="92" spans="1:52" ht="12.75" customHeight="1">
      <c r="A92" s="634">
        <v>90</v>
      </c>
      <c r="B92" s="634"/>
      <c r="C92" s="695" t="s">
        <v>1010</v>
      </c>
      <c r="D92" s="695"/>
      <c r="E92" s="695"/>
      <c r="F92" s="695"/>
      <c r="G92" s="695"/>
      <c r="H92" s="695"/>
      <c r="I92" s="695"/>
      <c r="J92" s="695"/>
      <c r="K92" s="695"/>
      <c r="L92" s="695"/>
      <c r="M92" s="695"/>
      <c r="N92" s="695"/>
      <c r="O92" s="695"/>
      <c r="P92" s="695"/>
      <c r="Q92" s="695"/>
      <c r="R92" s="695"/>
      <c r="S92" s="695"/>
      <c r="T92" s="695"/>
      <c r="U92" s="695"/>
      <c r="V92" s="691" t="s">
        <v>1005</v>
      </c>
      <c r="W92" s="691"/>
      <c r="X92" s="691"/>
      <c r="Y92" s="671"/>
      <c r="Z92" s="671"/>
      <c r="AA92" s="671"/>
      <c r="AB92" s="671"/>
      <c r="AC92" s="671"/>
      <c r="AD92" s="671"/>
      <c r="AE92" s="671"/>
      <c r="AF92" s="671"/>
      <c r="AG92" s="671"/>
      <c r="AH92" s="671"/>
      <c r="AI92" s="671"/>
      <c r="AJ92" s="671"/>
      <c r="AK92" s="671"/>
      <c r="AL92" s="671"/>
      <c r="AM92" s="671"/>
      <c r="AN92" s="671"/>
      <c r="AO92" s="671"/>
      <c r="AP92" s="671"/>
      <c r="AQ92" s="671"/>
      <c r="AR92" s="671"/>
      <c r="AS92" s="671"/>
      <c r="AT92" s="671"/>
      <c r="AU92" s="671"/>
      <c r="AV92" s="671"/>
      <c r="AW92" s="634"/>
      <c r="AX92" s="634"/>
      <c r="AY92" s="634"/>
      <c r="AZ92" s="634"/>
    </row>
    <row r="93" spans="1:52" ht="25.5" customHeight="1">
      <c r="A93" s="634">
        <v>91</v>
      </c>
      <c r="B93" s="634"/>
      <c r="C93" s="695" t="s">
        <v>1011</v>
      </c>
      <c r="D93" s="695"/>
      <c r="E93" s="695"/>
      <c r="F93" s="695"/>
      <c r="G93" s="695"/>
      <c r="H93" s="695"/>
      <c r="I93" s="695"/>
      <c r="J93" s="695"/>
      <c r="K93" s="695"/>
      <c r="L93" s="695"/>
      <c r="M93" s="695"/>
      <c r="N93" s="695"/>
      <c r="O93" s="695"/>
      <c r="P93" s="695"/>
      <c r="Q93" s="695"/>
      <c r="R93" s="695"/>
      <c r="S93" s="695"/>
      <c r="T93" s="695"/>
      <c r="U93" s="695"/>
      <c r="V93" s="691" t="s">
        <v>1005</v>
      </c>
      <c r="W93" s="691"/>
      <c r="X93" s="691"/>
      <c r="Y93" s="671"/>
      <c r="Z93" s="671"/>
      <c r="AA93" s="671"/>
      <c r="AB93" s="671"/>
      <c r="AC93" s="671"/>
      <c r="AD93" s="671"/>
      <c r="AE93" s="671"/>
      <c r="AF93" s="671"/>
      <c r="AG93" s="671"/>
      <c r="AH93" s="671"/>
      <c r="AI93" s="671"/>
      <c r="AJ93" s="671"/>
      <c r="AK93" s="671"/>
      <c r="AL93" s="671"/>
      <c r="AM93" s="671"/>
      <c r="AN93" s="671"/>
      <c r="AO93" s="671"/>
      <c r="AP93" s="671"/>
      <c r="AQ93" s="671"/>
      <c r="AR93" s="671"/>
      <c r="AS93" s="671"/>
      <c r="AT93" s="671"/>
      <c r="AU93" s="671"/>
      <c r="AV93" s="671"/>
      <c r="AW93" s="634"/>
      <c r="AX93" s="634"/>
      <c r="AY93" s="634"/>
      <c r="AZ93" s="634"/>
    </row>
    <row r="94" spans="1:52" ht="12.75" customHeight="1">
      <c r="A94" s="634">
        <v>92</v>
      </c>
      <c r="B94" s="634"/>
      <c r="C94" s="695" t="s">
        <v>1012</v>
      </c>
      <c r="D94" s="695"/>
      <c r="E94" s="695"/>
      <c r="F94" s="695"/>
      <c r="G94" s="695"/>
      <c r="H94" s="695"/>
      <c r="I94" s="695"/>
      <c r="J94" s="695"/>
      <c r="K94" s="695"/>
      <c r="L94" s="695"/>
      <c r="M94" s="695"/>
      <c r="N94" s="695"/>
      <c r="O94" s="695"/>
      <c r="P94" s="695"/>
      <c r="Q94" s="695"/>
      <c r="R94" s="695"/>
      <c r="S94" s="695"/>
      <c r="T94" s="695"/>
      <c r="U94" s="695"/>
      <c r="V94" s="691" t="s">
        <v>1005</v>
      </c>
      <c r="W94" s="691"/>
      <c r="X94" s="691"/>
      <c r="Y94" s="671"/>
      <c r="Z94" s="671"/>
      <c r="AA94" s="671"/>
      <c r="AB94" s="671"/>
      <c r="AC94" s="671"/>
      <c r="AD94" s="671"/>
      <c r="AE94" s="671"/>
      <c r="AF94" s="671"/>
      <c r="AG94" s="671"/>
      <c r="AH94" s="671"/>
      <c r="AI94" s="671"/>
      <c r="AJ94" s="671"/>
      <c r="AK94" s="671"/>
      <c r="AL94" s="671"/>
      <c r="AM94" s="671"/>
      <c r="AN94" s="671"/>
      <c r="AO94" s="671"/>
      <c r="AP94" s="671"/>
      <c r="AQ94" s="671"/>
      <c r="AR94" s="671"/>
      <c r="AS94" s="671"/>
      <c r="AT94" s="671"/>
      <c r="AU94" s="671"/>
      <c r="AV94" s="671"/>
      <c r="AW94" s="634"/>
      <c r="AX94" s="634"/>
      <c r="AY94" s="634"/>
      <c r="AZ94" s="634"/>
    </row>
    <row r="95" spans="1:52" ht="25.5" customHeight="1">
      <c r="A95" s="634">
        <v>93</v>
      </c>
      <c r="B95" s="634"/>
      <c r="C95" s="695" t="s">
        <v>1013</v>
      </c>
      <c r="D95" s="695"/>
      <c r="E95" s="695"/>
      <c r="F95" s="695"/>
      <c r="G95" s="695"/>
      <c r="H95" s="695"/>
      <c r="I95" s="695"/>
      <c r="J95" s="695"/>
      <c r="K95" s="695"/>
      <c r="L95" s="695"/>
      <c r="M95" s="695"/>
      <c r="N95" s="695"/>
      <c r="O95" s="695"/>
      <c r="P95" s="695"/>
      <c r="Q95" s="695"/>
      <c r="R95" s="695"/>
      <c r="S95" s="695"/>
      <c r="T95" s="695"/>
      <c r="U95" s="695"/>
      <c r="V95" s="691" t="s">
        <v>1005</v>
      </c>
      <c r="W95" s="691"/>
      <c r="X95" s="691"/>
      <c r="Y95" s="671"/>
      <c r="Z95" s="671"/>
      <c r="AA95" s="671"/>
      <c r="AB95" s="671"/>
      <c r="AC95" s="671"/>
      <c r="AD95" s="671"/>
      <c r="AE95" s="671"/>
      <c r="AF95" s="671"/>
      <c r="AG95" s="671"/>
      <c r="AH95" s="671"/>
      <c r="AI95" s="671"/>
      <c r="AJ95" s="671"/>
      <c r="AK95" s="671"/>
      <c r="AL95" s="671"/>
      <c r="AM95" s="671"/>
      <c r="AN95" s="671"/>
      <c r="AO95" s="671"/>
      <c r="AP95" s="671"/>
      <c r="AQ95" s="671"/>
      <c r="AR95" s="671"/>
      <c r="AS95" s="671"/>
      <c r="AT95" s="671"/>
      <c r="AU95" s="671"/>
      <c r="AV95" s="671"/>
      <c r="AW95" s="634"/>
      <c r="AX95" s="634"/>
      <c r="AY95" s="634"/>
      <c r="AZ95" s="634"/>
    </row>
    <row r="96" spans="1:52" ht="12.75" customHeight="1">
      <c r="A96" s="634">
        <v>94</v>
      </c>
      <c r="B96" s="634"/>
      <c r="C96" s="695" t="s">
        <v>1014</v>
      </c>
      <c r="D96" s="695"/>
      <c r="E96" s="695"/>
      <c r="F96" s="695"/>
      <c r="G96" s="695"/>
      <c r="H96" s="695"/>
      <c r="I96" s="695"/>
      <c r="J96" s="695"/>
      <c r="K96" s="695"/>
      <c r="L96" s="695"/>
      <c r="M96" s="695"/>
      <c r="N96" s="695"/>
      <c r="O96" s="695"/>
      <c r="P96" s="695"/>
      <c r="Q96" s="695"/>
      <c r="R96" s="695"/>
      <c r="S96" s="695"/>
      <c r="T96" s="695"/>
      <c r="U96" s="695"/>
      <c r="V96" s="691" t="s">
        <v>1005</v>
      </c>
      <c r="W96" s="691"/>
      <c r="X96" s="691"/>
      <c r="Y96" s="671"/>
      <c r="Z96" s="671"/>
      <c r="AA96" s="671"/>
      <c r="AB96" s="671"/>
      <c r="AC96" s="671"/>
      <c r="AD96" s="671"/>
      <c r="AE96" s="671"/>
      <c r="AF96" s="671"/>
      <c r="AG96" s="671"/>
      <c r="AH96" s="671"/>
      <c r="AI96" s="671"/>
      <c r="AJ96" s="671"/>
      <c r="AK96" s="671"/>
      <c r="AL96" s="671"/>
      <c r="AM96" s="671"/>
      <c r="AN96" s="671"/>
      <c r="AO96" s="671"/>
      <c r="AP96" s="671"/>
      <c r="AQ96" s="671"/>
      <c r="AR96" s="671"/>
      <c r="AS96" s="671"/>
      <c r="AT96" s="671"/>
      <c r="AU96" s="671"/>
      <c r="AV96" s="671"/>
      <c r="AW96" s="634"/>
      <c r="AX96" s="634"/>
      <c r="AY96" s="634"/>
      <c r="AZ96" s="634"/>
    </row>
    <row r="97" spans="1:52" s="415" customFormat="1" ht="12.75" customHeight="1">
      <c r="A97" s="634">
        <v>95</v>
      </c>
      <c r="B97" s="634"/>
      <c r="C97" s="695" t="s">
        <v>1015</v>
      </c>
      <c r="D97" s="695"/>
      <c r="E97" s="695"/>
      <c r="F97" s="695"/>
      <c r="G97" s="695"/>
      <c r="H97" s="695"/>
      <c r="I97" s="695"/>
      <c r="J97" s="695"/>
      <c r="K97" s="695"/>
      <c r="L97" s="695"/>
      <c r="M97" s="695"/>
      <c r="N97" s="695"/>
      <c r="O97" s="695"/>
      <c r="P97" s="695"/>
      <c r="Q97" s="695"/>
      <c r="R97" s="695"/>
      <c r="S97" s="695"/>
      <c r="T97" s="695"/>
      <c r="U97" s="695"/>
      <c r="V97" s="696" t="s">
        <v>1016</v>
      </c>
      <c r="W97" s="696"/>
      <c r="X97" s="696"/>
      <c r="Y97" s="663"/>
      <c r="Z97" s="663"/>
      <c r="AA97" s="663"/>
      <c r="AB97" s="663"/>
      <c r="AC97" s="663"/>
      <c r="AD97" s="663"/>
      <c r="AE97" s="663"/>
      <c r="AF97" s="663"/>
      <c r="AG97" s="663"/>
      <c r="AH97" s="663"/>
      <c r="AI97" s="663"/>
      <c r="AJ97" s="663"/>
      <c r="AK97" s="663"/>
      <c r="AL97" s="663"/>
      <c r="AM97" s="663"/>
      <c r="AN97" s="663"/>
      <c r="AO97" s="663"/>
      <c r="AP97" s="663"/>
      <c r="AQ97" s="663"/>
      <c r="AR97" s="663"/>
      <c r="AS97" s="663"/>
      <c r="AT97" s="663"/>
      <c r="AU97" s="663"/>
      <c r="AV97" s="663"/>
      <c r="AW97" s="646"/>
      <c r="AX97" s="693"/>
      <c r="AY97" s="693"/>
      <c r="AZ97" s="693"/>
    </row>
    <row r="98" spans="1:52" ht="12.75" customHeight="1">
      <c r="A98" s="634">
        <v>96</v>
      </c>
      <c r="B98" s="634"/>
      <c r="C98" s="695" t="s">
        <v>1017</v>
      </c>
      <c r="D98" s="695"/>
      <c r="E98" s="695"/>
      <c r="F98" s="695"/>
      <c r="G98" s="695"/>
      <c r="H98" s="695"/>
      <c r="I98" s="695"/>
      <c r="J98" s="695"/>
      <c r="K98" s="695"/>
      <c r="L98" s="695"/>
      <c r="M98" s="695"/>
      <c r="N98" s="695"/>
      <c r="O98" s="695"/>
      <c r="P98" s="695"/>
      <c r="Q98" s="695"/>
      <c r="R98" s="695"/>
      <c r="S98" s="695"/>
      <c r="T98" s="695"/>
      <c r="U98" s="695"/>
      <c r="V98" s="691" t="s">
        <v>1016</v>
      </c>
      <c r="W98" s="691"/>
      <c r="X98" s="691"/>
      <c r="Y98" s="671"/>
      <c r="Z98" s="671"/>
      <c r="AA98" s="671"/>
      <c r="AB98" s="671"/>
      <c r="AC98" s="671"/>
      <c r="AD98" s="671"/>
      <c r="AE98" s="671"/>
      <c r="AF98" s="671"/>
      <c r="AG98" s="671"/>
      <c r="AH98" s="671"/>
      <c r="AI98" s="671"/>
      <c r="AJ98" s="671"/>
      <c r="AK98" s="671"/>
      <c r="AL98" s="671"/>
      <c r="AM98" s="671"/>
      <c r="AN98" s="671"/>
      <c r="AO98" s="671"/>
      <c r="AP98" s="671"/>
      <c r="AQ98" s="671"/>
      <c r="AR98" s="671"/>
      <c r="AS98" s="671"/>
      <c r="AT98" s="671"/>
      <c r="AU98" s="671"/>
      <c r="AV98" s="671"/>
      <c r="AW98" s="634"/>
      <c r="AX98" s="634"/>
      <c r="AY98" s="634"/>
      <c r="AZ98" s="634"/>
    </row>
    <row r="99" spans="1:52" ht="12.75" customHeight="1">
      <c r="A99" s="634">
        <v>97</v>
      </c>
      <c r="B99" s="634"/>
      <c r="C99" s="695" t="s">
        <v>1018</v>
      </c>
      <c r="D99" s="695"/>
      <c r="E99" s="695"/>
      <c r="F99" s="695"/>
      <c r="G99" s="695"/>
      <c r="H99" s="695"/>
      <c r="I99" s="695"/>
      <c r="J99" s="695"/>
      <c r="K99" s="695"/>
      <c r="L99" s="695"/>
      <c r="M99" s="695"/>
      <c r="N99" s="695"/>
      <c r="O99" s="695"/>
      <c r="P99" s="695"/>
      <c r="Q99" s="695"/>
      <c r="R99" s="695"/>
      <c r="S99" s="695"/>
      <c r="T99" s="695"/>
      <c r="U99" s="695"/>
      <c r="V99" s="691" t="s">
        <v>1016</v>
      </c>
      <c r="W99" s="691"/>
      <c r="X99" s="691"/>
      <c r="Y99" s="671"/>
      <c r="Z99" s="671"/>
      <c r="AA99" s="671"/>
      <c r="AB99" s="671"/>
      <c r="AC99" s="671"/>
      <c r="AD99" s="671"/>
      <c r="AE99" s="671"/>
      <c r="AF99" s="671"/>
      <c r="AG99" s="671"/>
      <c r="AH99" s="671"/>
      <c r="AI99" s="671"/>
      <c r="AJ99" s="671"/>
      <c r="AK99" s="671"/>
      <c r="AL99" s="671"/>
      <c r="AM99" s="671"/>
      <c r="AN99" s="671"/>
      <c r="AO99" s="671"/>
      <c r="AP99" s="671"/>
      <c r="AQ99" s="671"/>
      <c r="AR99" s="671"/>
      <c r="AS99" s="671"/>
      <c r="AT99" s="671"/>
      <c r="AU99" s="671"/>
      <c r="AV99" s="671"/>
      <c r="AW99" s="634"/>
      <c r="AX99" s="634"/>
      <c r="AY99" s="634"/>
      <c r="AZ99" s="634"/>
    </row>
    <row r="100" spans="1:52" ht="25.5" customHeight="1">
      <c r="A100" s="634">
        <v>98</v>
      </c>
      <c r="B100" s="634"/>
      <c r="C100" s="697" t="s">
        <v>1019</v>
      </c>
      <c r="D100" s="697"/>
      <c r="E100" s="697"/>
      <c r="F100" s="697"/>
      <c r="G100" s="697"/>
      <c r="H100" s="697"/>
      <c r="I100" s="697"/>
      <c r="J100" s="697"/>
      <c r="K100" s="697"/>
      <c r="L100" s="697"/>
      <c r="M100" s="697"/>
      <c r="N100" s="697"/>
      <c r="O100" s="697"/>
      <c r="P100" s="697"/>
      <c r="Q100" s="697"/>
      <c r="R100" s="697"/>
      <c r="S100" s="697"/>
      <c r="T100" s="697"/>
      <c r="U100" s="697"/>
      <c r="V100" s="691" t="s">
        <v>1016</v>
      </c>
      <c r="W100" s="691"/>
      <c r="X100" s="691"/>
      <c r="Y100" s="671"/>
      <c r="Z100" s="671"/>
      <c r="AA100" s="671"/>
      <c r="AB100" s="671"/>
      <c r="AC100" s="671"/>
      <c r="AD100" s="671"/>
      <c r="AE100" s="671"/>
      <c r="AF100" s="671"/>
      <c r="AG100" s="671"/>
      <c r="AH100" s="671"/>
      <c r="AI100" s="671"/>
      <c r="AJ100" s="671"/>
      <c r="AK100" s="671"/>
      <c r="AL100" s="671"/>
      <c r="AM100" s="671"/>
      <c r="AN100" s="671"/>
      <c r="AO100" s="671"/>
      <c r="AP100" s="671"/>
      <c r="AQ100" s="671"/>
      <c r="AR100" s="671"/>
      <c r="AS100" s="671"/>
      <c r="AT100" s="671"/>
      <c r="AU100" s="671"/>
      <c r="AV100" s="671"/>
      <c r="AW100" s="634"/>
      <c r="AX100" s="634"/>
      <c r="AY100" s="634"/>
      <c r="AZ100" s="634"/>
    </row>
    <row r="101" spans="1:52" ht="25.5" customHeight="1">
      <c r="A101" s="634">
        <v>99</v>
      </c>
      <c r="B101" s="634"/>
      <c r="C101" s="697" t="s">
        <v>1020</v>
      </c>
      <c r="D101" s="697"/>
      <c r="E101" s="697"/>
      <c r="F101" s="697"/>
      <c r="G101" s="697"/>
      <c r="H101" s="697"/>
      <c r="I101" s="697"/>
      <c r="J101" s="697"/>
      <c r="K101" s="697"/>
      <c r="L101" s="697"/>
      <c r="M101" s="697"/>
      <c r="N101" s="697"/>
      <c r="O101" s="697"/>
      <c r="P101" s="697"/>
      <c r="Q101" s="697"/>
      <c r="R101" s="697"/>
      <c r="S101" s="697"/>
      <c r="T101" s="697"/>
      <c r="U101" s="697"/>
      <c r="V101" s="691" t="s">
        <v>1016</v>
      </c>
      <c r="W101" s="691"/>
      <c r="X101" s="691"/>
      <c r="Y101" s="671"/>
      <c r="Z101" s="671"/>
      <c r="AA101" s="671"/>
      <c r="AB101" s="671"/>
      <c r="AC101" s="671"/>
      <c r="AD101" s="671"/>
      <c r="AE101" s="671"/>
      <c r="AF101" s="671"/>
      <c r="AG101" s="671"/>
      <c r="AH101" s="671"/>
      <c r="AI101" s="671"/>
      <c r="AJ101" s="671"/>
      <c r="AK101" s="671"/>
      <c r="AL101" s="671"/>
      <c r="AM101" s="671"/>
      <c r="AN101" s="671"/>
      <c r="AO101" s="671"/>
      <c r="AP101" s="671"/>
      <c r="AQ101" s="671"/>
      <c r="AR101" s="671"/>
      <c r="AS101" s="671"/>
      <c r="AT101" s="671"/>
      <c r="AU101" s="671"/>
      <c r="AV101" s="671"/>
      <c r="AW101" s="634"/>
      <c r="AX101" s="634"/>
      <c r="AY101" s="634"/>
      <c r="AZ101" s="634"/>
    </row>
    <row r="102" spans="1:52" ht="25.5" customHeight="1">
      <c r="A102" s="634">
        <v>100</v>
      </c>
      <c r="B102" s="634"/>
      <c r="C102" s="697" t="s">
        <v>1021</v>
      </c>
      <c r="D102" s="697"/>
      <c r="E102" s="697"/>
      <c r="F102" s="697"/>
      <c r="G102" s="697"/>
      <c r="H102" s="697"/>
      <c r="I102" s="697"/>
      <c r="J102" s="697"/>
      <c r="K102" s="697"/>
      <c r="L102" s="697"/>
      <c r="M102" s="697"/>
      <c r="N102" s="697"/>
      <c r="O102" s="697"/>
      <c r="P102" s="697"/>
      <c r="Q102" s="697"/>
      <c r="R102" s="697"/>
      <c r="S102" s="697"/>
      <c r="T102" s="697"/>
      <c r="U102" s="697"/>
      <c r="V102" s="691" t="s">
        <v>1016</v>
      </c>
      <c r="W102" s="691"/>
      <c r="X102" s="691"/>
      <c r="Y102" s="671"/>
      <c r="Z102" s="671"/>
      <c r="AA102" s="671"/>
      <c r="AB102" s="671"/>
      <c r="AC102" s="671"/>
      <c r="AD102" s="671"/>
      <c r="AE102" s="671"/>
      <c r="AF102" s="671"/>
      <c r="AG102" s="671"/>
      <c r="AH102" s="671"/>
      <c r="AI102" s="671"/>
      <c r="AJ102" s="671"/>
      <c r="AK102" s="671"/>
      <c r="AL102" s="671"/>
      <c r="AM102" s="671"/>
      <c r="AN102" s="671"/>
      <c r="AO102" s="671"/>
      <c r="AP102" s="671"/>
      <c r="AQ102" s="671"/>
      <c r="AR102" s="671"/>
      <c r="AS102" s="671"/>
      <c r="AT102" s="671"/>
      <c r="AU102" s="671"/>
      <c r="AV102" s="671"/>
      <c r="AW102" s="634"/>
      <c r="AX102" s="634"/>
      <c r="AY102" s="634"/>
      <c r="AZ102" s="634"/>
    </row>
    <row r="103" spans="1:52" ht="39" customHeight="1">
      <c r="A103" s="634">
        <v>101</v>
      </c>
      <c r="B103" s="634"/>
      <c r="C103" s="698" t="s">
        <v>1022</v>
      </c>
      <c r="D103" s="698"/>
      <c r="E103" s="698"/>
      <c r="F103" s="698"/>
      <c r="G103" s="698"/>
      <c r="H103" s="698"/>
      <c r="I103" s="698"/>
      <c r="J103" s="698"/>
      <c r="K103" s="698"/>
      <c r="L103" s="698"/>
      <c r="M103" s="698"/>
      <c r="N103" s="698"/>
      <c r="O103" s="698"/>
      <c r="P103" s="698"/>
      <c r="Q103" s="698"/>
      <c r="R103" s="698"/>
      <c r="S103" s="698"/>
      <c r="T103" s="698"/>
      <c r="U103" s="698"/>
      <c r="V103" s="691" t="s">
        <v>1016</v>
      </c>
      <c r="W103" s="691"/>
      <c r="X103" s="691"/>
      <c r="Y103" s="671"/>
      <c r="Z103" s="671"/>
      <c r="AA103" s="671"/>
      <c r="AB103" s="671"/>
      <c r="AC103" s="671"/>
      <c r="AD103" s="671"/>
      <c r="AE103" s="671"/>
      <c r="AF103" s="671"/>
      <c r="AG103" s="671"/>
      <c r="AH103" s="671"/>
      <c r="AI103" s="671"/>
      <c r="AJ103" s="671"/>
      <c r="AK103" s="671"/>
      <c r="AL103" s="671"/>
      <c r="AM103" s="671"/>
      <c r="AN103" s="671"/>
      <c r="AO103" s="671"/>
      <c r="AP103" s="671"/>
      <c r="AQ103" s="671"/>
      <c r="AR103" s="671"/>
      <c r="AS103" s="671"/>
      <c r="AT103" s="671"/>
      <c r="AU103" s="671"/>
      <c r="AV103" s="671"/>
      <c r="AW103" s="634"/>
      <c r="AX103" s="634"/>
      <c r="AY103" s="634"/>
      <c r="AZ103" s="634"/>
    </row>
    <row r="104" spans="1:52" ht="12.75" customHeight="1">
      <c r="A104" s="634">
        <v>102</v>
      </c>
      <c r="B104" s="634"/>
      <c r="C104" s="695" t="s">
        <v>1023</v>
      </c>
      <c r="D104" s="695"/>
      <c r="E104" s="695"/>
      <c r="F104" s="695"/>
      <c r="G104" s="695"/>
      <c r="H104" s="695"/>
      <c r="I104" s="695"/>
      <c r="J104" s="695"/>
      <c r="K104" s="695"/>
      <c r="L104" s="695"/>
      <c r="M104" s="695"/>
      <c r="N104" s="695"/>
      <c r="O104" s="695"/>
      <c r="P104" s="695"/>
      <c r="Q104" s="695"/>
      <c r="R104" s="695"/>
      <c r="S104" s="695"/>
      <c r="T104" s="695"/>
      <c r="U104" s="695"/>
      <c r="V104" s="691" t="s">
        <v>1024</v>
      </c>
      <c r="W104" s="691"/>
      <c r="X104" s="691"/>
      <c r="Y104" s="699"/>
      <c r="Z104" s="699"/>
      <c r="AA104" s="699"/>
      <c r="AB104" s="699"/>
      <c r="AC104" s="699"/>
      <c r="AD104" s="699"/>
      <c r="AE104" s="699"/>
      <c r="AF104" s="699"/>
      <c r="AG104" s="699"/>
      <c r="AH104" s="699"/>
      <c r="AI104" s="699"/>
      <c r="AJ104" s="699"/>
      <c r="AK104" s="699"/>
      <c r="AL104" s="699"/>
      <c r="AM104" s="699"/>
      <c r="AN104" s="699"/>
      <c r="AO104" s="699"/>
      <c r="AP104" s="699"/>
      <c r="AQ104" s="699"/>
      <c r="AR104" s="699"/>
      <c r="AS104" s="699"/>
      <c r="AT104" s="699"/>
      <c r="AU104" s="699"/>
      <c r="AV104" s="699"/>
      <c r="AW104" s="634"/>
      <c r="AX104" s="634"/>
      <c r="AY104" s="634"/>
      <c r="AZ104" s="634"/>
    </row>
    <row r="105" spans="1:52" ht="12.75" customHeight="1">
      <c r="A105" s="634">
        <v>103</v>
      </c>
      <c r="B105" s="634"/>
      <c r="C105" s="695" t="s">
        <v>1025</v>
      </c>
      <c r="D105" s="695"/>
      <c r="E105" s="695"/>
      <c r="F105" s="695"/>
      <c r="G105" s="695"/>
      <c r="H105" s="695"/>
      <c r="I105" s="695"/>
      <c r="J105" s="695"/>
      <c r="K105" s="695"/>
      <c r="L105" s="695"/>
      <c r="M105" s="695"/>
      <c r="N105" s="695"/>
      <c r="O105" s="695"/>
      <c r="P105" s="695"/>
      <c r="Q105" s="695"/>
      <c r="R105" s="695"/>
      <c r="S105" s="695"/>
      <c r="T105" s="695"/>
      <c r="U105" s="695"/>
      <c r="V105" s="691" t="s">
        <v>1024</v>
      </c>
      <c r="W105" s="691"/>
      <c r="X105" s="691"/>
      <c r="Y105" s="671"/>
      <c r="Z105" s="671"/>
      <c r="AA105" s="671"/>
      <c r="AB105" s="671"/>
      <c r="AC105" s="671"/>
      <c r="AD105" s="671"/>
      <c r="AE105" s="671"/>
      <c r="AF105" s="671"/>
      <c r="AG105" s="671"/>
      <c r="AH105" s="671"/>
      <c r="AI105" s="671"/>
      <c r="AJ105" s="671"/>
      <c r="AK105" s="671"/>
      <c r="AL105" s="671"/>
      <c r="AM105" s="671"/>
      <c r="AN105" s="671"/>
      <c r="AO105" s="671"/>
      <c r="AP105" s="671"/>
      <c r="AQ105" s="671"/>
      <c r="AR105" s="671"/>
      <c r="AS105" s="671"/>
      <c r="AT105" s="671"/>
      <c r="AU105" s="671"/>
      <c r="AV105" s="671"/>
      <c r="AW105" s="634"/>
      <c r="AX105" s="634"/>
      <c r="AY105" s="634"/>
      <c r="AZ105" s="634"/>
    </row>
    <row r="106" spans="1:52" ht="12.75" customHeight="1">
      <c r="A106" s="634">
        <v>104</v>
      </c>
      <c r="B106" s="634"/>
      <c r="C106" s="695" t="s">
        <v>1026</v>
      </c>
      <c r="D106" s="695"/>
      <c r="E106" s="695"/>
      <c r="F106" s="695"/>
      <c r="G106" s="695"/>
      <c r="H106" s="695"/>
      <c r="I106" s="695"/>
      <c r="J106" s="695"/>
      <c r="K106" s="695"/>
      <c r="L106" s="695"/>
      <c r="M106" s="695"/>
      <c r="N106" s="695"/>
      <c r="O106" s="695"/>
      <c r="P106" s="695"/>
      <c r="Q106" s="695"/>
      <c r="R106" s="695"/>
      <c r="S106" s="695"/>
      <c r="T106" s="695"/>
      <c r="U106" s="695"/>
      <c r="V106" s="691" t="s">
        <v>1024</v>
      </c>
      <c r="W106" s="691"/>
      <c r="X106" s="691"/>
      <c r="Y106" s="671"/>
      <c r="Z106" s="671"/>
      <c r="AA106" s="671"/>
      <c r="AB106" s="671"/>
      <c r="AC106" s="671"/>
      <c r="AD106" s="671"/>
      <c r="AE106" s="671"/>
      <c r="AF106" s="671"/>
      <c r="AG106" s="671"/>
      <c r="AH106" s="671"/>
      <c r="AI106" s="671"/>
      <c r="AJ106" s="671"/>
      <c r="AK106" s="671"/>
      <c r="AL106" s="671"/>
      <c r="AM106" s="671"/>
      <c r="AN106" s="671"/>
      <c r="AO106" s="671"/>
      <c r="AP106" s="671"/>
      <c r="AQ106" s="671"/>
      <c r="AR106" s="671"/>
      <c r="AS106" s="671"/>
      <c r="AT106" s="671"/>
      <c r="AU106" s="671"/>
      <c r="AV106" s="671"/>
      <c r="AW106" s="634"/>
      <c r="AX106" s="634"/>
      <c r="AY106" s="634"/>
      <c r="AZ106" s="634"/>
    </row>
    <row r="107" spans="1:52" s="415" customFormat="1" ht="12.75" customHeight="1">
      <c r="A107" s="634">
        <v>105</v>
      </c>
      <c r="B107" s="634"/>
      <c r="C107" s="695" t="s">
        <v>1027</v>
      </c>
      <c r="D107" s="695"/>
      <c r="E107" s="695"/>
      <c r="F107" s="695"/>
      <c r="G107" s="695"/>
      <c r="H107" s="695"/>
      <c r="I107" s="695"/>
      <c r="J107" s="695"/>
      <c r="K107" s="695"/>
      <c r="L107" s="695"/>
      <c r="M107" s="695"/>
      <c r="N107" s="695"/>
      <c r="O107" s="695"/>
      <c r="P107" s="695"/>
      <c r="Q107" s="695"/>
      <c r="R107" s="695"/>
      <c r="S107" s="695"/>
      <c r="T107" s="695"/>
      <c r="U107" s="695"/>
      <c r="V107" s="696" t="s">
        <v>1028</v>
      </c>
      <c r="W107" s="696"/>
      <c r="X107" s="696"/>
      <c r="Y107" s="663"/>
      <c r="Z107" s="663"/>
      <c r="AA107" s="663"/>
      <c r="AB107" s="663"/>
      <c r="AC107" s="663"/>
      <c r="AD107" s="663"/>
      <c r="AE107" s="663"/>
      <c r="AF107" s="663"/>
      <c r="AG107" s="663"/>
      <c r="AH107" s="663"/>
      <c r="AI107" s="663"/>
      <c r="AJ107" s="663"/>
      <c r="AK107" s="663"/>
      <c r="AL107" s="663"/>
      <c r="AM107" s="663"/>
      <c r="AN107" s="663"/>
      <c r="AO107" s="663"/>
      <c r="AP107" s="663"/>
      <c r="AQ107" s="663"/>
      <c r="AR107" s="663"/>
      <c r="AS107" s="663"/>
      <c r="AT107" s="663"/>
      <c r="AU107" s="663"/>
      <c r="AV107" s="663"/>
      <c r="AW107" s="663"/>
      <c r="AX107" s="663"/>
      <c r="AY107" s="663"/>
      <c r="AZ107" s="663"/>
    </row>
    <row r="108" spans="1:52" ht="12.75" customHeight="1">
      <c r="A108" s="634">
        <v>106</v>
      </c>
      <c r="B108" s="634"/>
      <c r="C108" s="695" t="s">
        <v>1029</v>
      </c>
      <c r="D108" s="695"/>
      <c r="E108" s="695"/>
      <c r="F108" s="695"/>
      <c r="G108" s="695"/>
      <c r="H108" s="695"/>
      <c r="I108" s="695"/>
      <c r="J108" s="695"/>
      <c r="K108" s="695"/>
      <c r="L108" s="695"/>
      <c r="M108" s="695"/>
      <c r="N108" s="695"/>
      <c r="O108" s="695"/>
      <c r="P108" s="695"/>
      <c r="Q108" s="695"/>
      <c r="R108" s="695"/>
      <c r="S108" s="695"/>
      <c r="T108" s="695"/>
      <c r="U108" s="695"/>
      <c r="V108" s="691" t="s">
        <v>1028</v>
      </c>
      <c r="W108" s="691"/>
      <c r="X108" s="691"/>
      <c r="Y108" s="671"/>
      <c r="Z108" s="671"/>
      <c r="AA108" s="671"/>
      <c r="AB108" s="671"/>
      <c r="AC108" s="671"/>
      <c r="AD108" s="671"/>
      <c r="AE108" s="671"/>
      <c r="AF108" s="671"/>
      <c r="AG108" s="671"/>
      <c r="AH108" s="671"/>
      <c r="AI108" s="671"/>
      <c r="AJ108" s="671"/>
      <c r="AK108" s="671"/>
      <c r="AL108" s="671"/>
      <c r="AM108" s="671"/>
      <c r="AN108" s="671"/>
      <c r="AO108" s="671"/>
      <c r="AP108" s="671"/>
      <c r="AQ108" s="671"/>
      <c r="AR108" s="671"/>
      <c r="AS108" s="671"/>
      <c r="AT108" s="671"/>
      <c r="AU108" s="671"/>
      <c r="AV108" s="671"/>
      <c r="AW108" s="663"/>
      <c r="AX108" s="663"/>
      <c r="AY108" s="663"/>
      <c r="AZ108" s="663"/>
    </row>
    <row r="109" spans="1:52" ht="25.5" customHeight="1">
      <c r="A109" s="634">
        <v>107</v>
      </c>
      <c r="B109" s="634"/>
      <c r="C109" s="695" t="s">
        <v>1030</v>
      </c>
      <c r="D109" s="695"/>
      <c r="E109" s="695"/>
      <c r="F109" s="695"/>
      <c r="G109" s="695"/>
      <c r="H109" s="695"/>
      <c r="I109" s="695"/>
      <c r="J109" s="695"/>
      <c r="K109" s="695"/>
      <c r="L109" s="695"/>
      <c r="M109" s="695"/>
      <c r="N109" s="695"/>
      <c r="O109" s="695"/>
      <c r="P109" s="695"/>
      <c r="Q109" s="695"/>
      <c r="R109" s="695"/>
      <c r="S109" s="695"/>
      <c r="T109" s="695"/>
      <c r="U109" s="695"/>
      <c r="V109" s="691" t="s">
        <v>1028</v>
      </c>
      <c r="W109" s="691"/>
      <c r="X109" s="691"/>
      <c r="Y109" s="671"/>
      <c r="Z109" s="671"/>
      <c r="AA109" s="671"/>
      <c r="AB109" s="671"/>
      <c r="AC109" s="671"/>
      <c r="AD109" s="671"/>
      <c r="AE109" s="671"/>
      <c r="AF109" s="671"/>
      <c r="AG109" s="671"/>
      <c r="AH109" s="671"/>
      <c r="AI109" s="671"/>
      <c r="AJ109" s="671"/>
      <c r="AK109" s="671"/>
      <c r="AL109" s="671"/>
      <c r="AM109" s="671"/>
      <c r="AN109" s="671"/>
      <c r="AO109" s="671"/>
      <c r="AP109" s="671"/>
      <c r="AQ109" s="671"/>
      <c r="AR109" s="671"/>
      <c r="AS109" s="671"/>
      <c r="AT109" s="671"/>
      <c r="AU109" s="671"/>
      <c r="AV109" s="671"/>
      <c r="AW109" s="663"/>
      <c r="AX109" s="663"/>
      <c r="AY109" s="663"/>
      <c r="AZ109" s="663"/>
    </row>
    <row r="110" spans="1:52" ht="25.5" customHeight="1">
      <c r="A110" s="634">
        <v>108</v>
      </c>
      <c r="B110" s="634"/>
      <c r="C110" s="695" t="s">
        <v>1031</v>
      </c>
      <c r="D110" s="695"/>
      <c r="E110" s="695"/>
      <c r="F110" s="695"/>
      <c r="G110" s="695"/>
      <c r="H110" s="695"/>
      <c r="I110" s="695"/>
      <c r="J110" s="695"/>
      <c r="K110" s="695"/>
      <c r="L110" s="695"/>
      <c r="M110" s="695"/>
      <c r="N110" s="695"/>
      <c r="O110" s="695"/>
      <c r="P110" s="695"/>
      <c r="Q110" s="695"/>
      <c r="R110" s="695"/>
      <c r="S110" s="695"/>
      <c r="T110" s="695"/>
      <c r="U110" s="695"/>
      <c r="V110" s="691" t="s">
        <v>1028</v>
      </c>
      <c r="W110" s="691"/>
      <c r="X110" s="691"/>
      <c r="Y110" s="671"/>
      <c r="Z110" s="671"/>
      <c r="AA110" s="671"/>
      <c r="AB110" s="671"/>
      <c r="AC110" s="671"/>
      <c r="AD110" s="671"/>
      <c r="AE110" s="671"/>
      <c r="AF110" s="671"/>
      <c r="AG110" s="671"/>
      <c r="AH110" s="671"/>
      <c r="AI110" s="671"/>
      <c r="AJ110" s="671"/>
      <c r="AK110" s="671"/>
      <c r="AL110" s="671"/>
      <c r="AM110" s="671"/>
      <c r="AN110" s="671"/>
      <c r="AO110" s="671"/>
      <c r="AP110" s="671"/>
      <c r="AQ110" s="671"/>
      <c r="AR110" s="671"/>
      <c r="AS110" s="671"/>
      <c r="AT110" s="671"/>
      <c r="AU110" s="671"/>
      <c r="AV110" s="671"/>
      <c r="AW110" s="663"/>
      <c r="AX110" s="663"/>
      <c r="AY110" s="663"/>
      <c r="AZ110" s="663"/>
    </row>
    <row r="111" spans="1:52" ht="12.75" customHeight="1">
      <c r="A111" s="634">
        <v>109</v>
      </c>
      <c r="B111" s="634"/>
      <c r="C111" s="695" t="s">
        <v>1032</v>
      </c>
      <c r="D111" s="695"/>
      <c r="E111" s="695"/>
      <c r="F111" s="695"/>
      <c r="G111" s="695"/>
      <c r="H111" s="695"/>
      <c r="I111" s="695"/>
      <c r="J111" s="695"/>
      <c r="K111" s="695"/>
      <c r="L111" s="695"/>
      <c r="M111" s="695"/>
      <c r="N111" s="695"/>
      <c r="O111" s="695"/>
      <c r="P111" s="695"/>
      <c r="Q111" s="695"/>
      <c r="R111" s="695"/>
      <c r="S111" s="695"/>
      <c r="T111" s="695"/>
      <c r="U111" s="695"/>
      <c r="V111" s="691" t="s">
        <v>1028</v>
      </c>
      <c r="W111" s="691"/>
      <c r="X111" s="691"/>
      <c r="Y111" s="671"/>
      <c r="Z111" s="671"/>
      <c r="AA111" s="671"/>
      <c r="AB111" s="671"/>
      <c r="AC111" s="671"/>
      <c r="AD111" s="671"/>
      <c r="AE111" s="671"/>
      <c r="AF111" s="671"/>
      <c r="AG111" s="671"/>
      <c r="AH111" s="671"/>
      <c r="AI111" s="671"/>
      <c r="AJ111" s="671"/>
      <c r="AK111" s="671"/>
      <c r="AL111" s="671"/>
      <c r="AM111" s="671"/>
      <c r="AN111" s="671"/>
      <c r="AO111" s="671"/>
      <c r="AP111" s="671"/>
      <c r="AQ111" s="671"/>
      <c r="AR111" s="671"/>
      <c r="AS111" s="671"/>
      <c r="AT111" s="671"/>
      <c r="AU111" s="671"/>
      <c r="AV111" s="671"/>
      <c r="AW111" s="663"/>
      <c r="AX111" s="663"/>
      <c r="AY111" s="663"/>
      <c r="AZ111" s="663"/>
    </row>
    <row r="112" spans="1:52" ht="12.75" customHeight="1">
      <c r="A112" s="634">
        <v>110</v>
      </c>
      <c r="B112" s="634"/>
      <c r="C112" s="695" t="s">
        <v>1033</v>
      </c>
      <c r="D112" s="695"/>
      <c r="E112" s="695"/>
      <c r="F112" s="695"/>
      <c r="G112" s="695"/>
      <c r="H112" s="695"/>
      <c r="I112" s="695"/>
      <c r="J112" s="695"/>
      <c r="K112" s="695"/>
      <c r="L112" s="695"/>
      <c r="M112" s="695"/>
      <c r="N112" s="695"/>
      <c r="O112" s="695"/>
      <c r="P112" s="695"/>
      <c r="Q112" s="695"/>
      <c r="R112" s="695"/>
      <c r="S112" s="695"/>
      <c r="T112" s="695"/>
      <c r="U112" s="695"/>
      <c r="V112" s="691" t="s">
        <v>1028</v>
      </c>
      <c r="W112" s="691"/>
      <c r="X112" s="691"/>
      <c r="Y112" s="671"/>
      <c r="Z112" s="671"/>
      <c r="AA112" s="671"/>
      <c r="AB112" s="671"/>
      <c r="AC112" s="671"/>
      <c r="AD112" s="671"/>
      <c r="AE112" s="671"/>
      <c r="AF112" s="671"/>
      <c r="AG112" s="671"/>
      <c r="AH112" s="671"/>
      <c r="AI112" s="671"/>
      <c r="AJ112" s="671"/>
      <c r="AK112" s="671"/>
      <c r="AL112" s="671"/>
      <c r="AM112" s="671"/>
      <c r="AN112" s="671"/>
      <c r="AO112" s="671"/>
      <c r="AP112" s="671"/>
      <c r="AQ112" s="671"/>
      <c r="AR112" s="671"/>
      <c r="AS112" s="671"/>
      <c r="AT112" s="671"/>
      <c r="AU112" s="671"/>
      <c r="AV112" s="671"/>
      <c r="AW112" s="663"/>
      <c r="AX112" s="663"/>
      <c r="AY112" s="663"/>
      <c r="AZ112" s="663"/>
    </row>
    <row r="113" spans="1:52" ht="25.5" customHeight="1">
      <c r="A113" s="634">
        <v>111</v>
      </c>
      <c r="B113" s="634"/>
      <c r="C113" s="695" t="s">
        <v>1034</v>
      </c>
      <c r="D113" s="695"/>
      <c r="E113" s="695"/>
      <c r="F113" s="695"/>
      <c r="G113" s="695"/>
      <c r="H113" s="695"/>
      <c r="I113" s="695"/>
      <c r="J113" s="695"/>
      <c r="K113" s="695"/>
      <c r="L113" s="695"/>
      <c r="M113" s="695"/>
      <c r="N113" s="695"/>
      <c r="O113" s="695"/>
      <c r="P113" s="695"/>
      <c r="Q113" s="695"/>
      <c r="R113" s="695"/>
      <c r="S113" s="695"/>
      <c r="T113" s="695"/>
      <c r="U113" s="695"/>
      <c r="V113" s="691" t="s">
        <v>1028</v>
      </c>
      <c r="W113" s="691"/>
      <c r="X113" s="691"/>
      <c r="Y113" s="671"/>
      <c r="Z113" s="671"/>
      <c r="AA113" s="671"/>
      <c r="AB113" s="671"/>
      <c r="AC113" s="671"/>
      <c r="AD113" s="671"/>
      <c r="AE113" s="671"/>
      <c r="AF113" s="671"/>
      <c r="AG113" s="671"/>
      <c r="AH113" s="671"/>
      <c r="AI113" s="671"/>
      <c r="AJ113" s="671"/>
      <c r="AK113" s="671"/>
      <c r="AL113" s="671"/>
      <c r="AM113" s="671"/>
      <c r="AN113" s="671"/>
      <c r="AO113" s="671"/>
      <c r="AP113" s="671"/>
      <c r="AQ113" s="671"/>
      <c r="AR113" s="671"/>
      <c r="AS113" s="671"/>
      <c r="AT113" s="671"/>
      <c r="AU113" s="671"/>
      <c r="AV113" s="671"/>
      <c r="AW113" s="663"/>
      <c r="AX113" s="663"/>
      <c r="AY113" s="663"/>
      <c r="AZ113" s="663"/>
    </row>
    <row r="114" spans="1:52" ht="25.5" customHeight="1">
      <c r="A114" s="634">
        <v>112</v>
      </c>
      <c r="B114" s="634"/>
      <c r="C114" s="695" t="s">
        <v>1035</v>
      </c>
      <c r="D114" s="695"/>
      <c r="E114" s="695"/>
      <c r="F114" s="695"/>
      <c r="G114" s="695"/>
      <c r="H114" s="695"/>
      <c r="I114" s="695"/>
      <c r="J114" s="695"/>
      <c r="K114" s="695"/>
      <c r="L114" s="695"/>
      <c r="M114" s="695"/>
      <c r="N114" s="695"/>
      <c r="O114" s="695"/>
      <c r="P114" s="695"/>
      <c r="Q114" s="695"/>
      <c r="R114" s="695"/>
      <c r="S114" s="695"/>
      <c r="T114" s="695"/>
      <c r="U114" s="695"/>
      <c r="V114" s="691" t="s">
        <v>1028</v>
      </c>
      <c r="W114" s="691"/>
      <c r="X114" s="691"/>
      <c r="Y114" s="671"/>
      <c r="Z114" s="671"/>
      <c r="AA114" s="671"/>
      <c r="AB114" s="671"/>
      <c r="AC114" s="671"/>
      <c r="AD114" s="671"/>
      <c r="AE114" s="671"/>
      <c r="AF114" s="671"/>
      <c r="AG114" s="671"/>
      <c r="AH114" s="671"/>
      <c r="AI114" s="671"/>
      <c r="AJ114" s="671"/>
      <c r="AK114" s="671"/>
      <c r="AL114" s="671"/>
      <c r="AM114" s="671"/>
      <c r="AN114" s="671"/>
      <c r="AO114" s="671"/>
      <c r="AP114" s="671"/>
      <c r="AQ114" s="671"/>
      <c r="AR114" s="671"/>
      <c r="AS114" s="671"/>
      <c r="AT114" s="671"/>
      <c r="AU114" s="671"/>
      <c r="AV114" s="671"/>
      <c r="AW114" s="663"/>
      <c r="AX114" s="663"/>
      <c r="AY114" s="663"/>
      <c r="AZ114" s="663"/>
    </row>
    <row r="115" spans="1:52" ht="39" customHeight="1">
      <c r="A115" s="634">
        <v>113</v>
      </c>
      <c r="B115" s="634"/>
      <c r="C115" s="695" t="s">
        <v>1036</v>
      </c>
      <c r="D115" s="695"/>
      <c r="E115" s="695"/>
      <c r="F115" s="695"/>
      <c r="G115" s="695"/>
      <c r="H115" s="695"/>
      <c r="I115" s="695"/>
      <c r="J115" s="695"/>
      <c r="K115" s="695"/>
      <c r="L115" s="695"/>
      <c r="M115" s="695"/>
      <c r="N115" s="695"/>
      <c r="O115" s="695"/>
      <c r="P115" s="695"/>
      <c r="Q115" s="695"/>
      <c r="R115" s="695"/>
      <c r="S115" s="695"/>
      <c r="T115" s="695"/>
      <c r="U115" s="695"/>
      <c r="V115" s="691" t="s">
        <v>1028</v>
      </c>
      <c r="W115" s="691"/>
      <c r="X115" s="691"/>
      <c r="Y115" s="671"/>
      <c r="Z115" s="671"/>
      <c r="AA115" s="671"/>
      <c r="AB115" s="671"/>
      <c r="AC115" s="671"/>
      <c r="AD115" s="671"/>
      <c r="AE115" s="671"/>
      <c r="AF115" s="671"/>
      <c r="AG115" s="671"/>
      <c r="AH115" s="671"/>
      <c r="AI115" s="671"/>
      <c r="AJ115" s="671"/>
      <c r="AK115" s="671"/>
      <c r="AL115" s="671"/>
      <c r="AM115" s="671"/>
      <c r="AN115" s="671"/>
      <c r="AO115" s="671"/>
      <c r="AP115" s="671"/>
      <c r="AQ115" s="671"/>
      <c r="AR115" s="671"/>
      <c r="AS115" s="671"/>
      <c r="AT115" s="671"/>
      <c r="AU115" s="671"/>
      <c r="AV115" s="671"/>
      <c r="AW115" s="663"/>
      <c r="AX115" s="663"/>
      <c r="AY115" s="663"/>
      <c r="AZ115" s="663"/>
    </row>
    <row r="116" spans="1:52" ht="25.5" customHeight="1">
      <c r="A116" s="634">
        <v>114</v>
      </c>
      <c r="B116" s="634"/>
      <c r="C116" s="695" t="s">
        <v>1037</v>
      </c>
      <c r="D116" s="695"/>
      <c r="E116" s="695"/>
      <c r="F116" s="695"/>
      <c r="G116" s="695"/>
      <c r="H116" s="695"/>
      <c r="I116" s="695"/>
      <c r="J116" s="695"/>
      <c r="K116" s="695"/>
      <c r="L116" s="695"/>
      <c r="M116" s="695"/>
      <c r="N116" s="695"/>
      <c r="O116" s="695"/>
      <c r="P116" s="695"/>
      <c r="Q116" s="695"/>
      <c r="R116" s="695"/>
      <c r="S116" s="695"/>
      <c r="T116" s="695"/>
      <c r="U116" s="695"/>
      <c r="V116" s="691" t="s">
        <v>1028</v>
      </c>
      <c r="W116" s="691"/>
      <c r="X116" s="691"/>
      <c r="Y116" s="671"/>
      <c r="Z116" s="671"/>
      <c r="AA116" s="671"/>
      <c r="AB116" s="671"/>
      <c r="AC116" s="671"/>
      <c r="AD116" s="671"/>
      <c r="AE116" s="671"/>
      <c r="AF116" s="671"/>
      <c r="AG116" s="671"/>
      <c r="AH116" s="671"/>
      <c r="AI116" s="671"/>
      <c r="AJ116" s="671"/>
      <c r="AK116" s="671"/>
      <c r="AL116" s="671"/>
      <c r="AM116" s="671"/>
      <c r="AN116" s="671"/>
      <c r="AO116" s="671"/>
      <c r="AP116" s="671"/>
      <c r="AQ116" s="671"/>
      <c r="AR116" s="671"/>
      <c r="AS116" s="671"/>
      <c r="AT116" s="671"/>
      <c r="AU116" s="671"/>
      <c r="AV116" s="671"/>
      <c r="AW116" s="663"/>
      <c r="AX116" s="663"/>
      <c r="AY116" s="663"/>
      <c r="AZ116" s="663"/>
    </row>
    <row r="117" spans="1:52" ht="25.5" customHeight="1">
      <c r="A117" s="634">
        <v>115</v>
      </c>
      <c r="B117" s="634"/>
      <c r="C117" s="695" t="s">
        <v>1038</v>
      </c>
      <c r="D117" s="695"/>
      <c r="E117" s="695"/>
      <c r="F117" s="695"/>
      <c r="G117" s="695"/>
      <c r="H117" s="695"/>
      <c r="I117" s="695"/>
      <c r="J117" s="695"/>
      <c r="K117" s="695"/>
      <c r="L117" s="695"/>
      <c r="M117" s="695"/>
      <c r="N117" s="695"/>
      <c r="O117" s="695"/>
      <c r="P117" s="695"/>
      <c r="Q117" s="695"/>
      <c r="R117" s="695"/>
      <c r="S117" s="695"/>
      <c r="T117" s="695"/>
      <c r="U117" s="695"/>
      <c r="V117" s="691" t="s">
        <v>1028</v>
      </c>
      <c r="W117" s="691"/>
      <c r="X117" s="691"/>
      <c r="Y117" s="671"/>
      <c r="Z117" s="671"/>
      <c r="AA117" s="671"/>
      <c r="AB117" s="671"/>
      <c r="AC117" s="671"/>
      <c r="AD117" s="671"/>
      <c r="AE117" s="671"/>
      <c r="AF117" s="671"/>
      <c r="AG117" s="671"/>
      <c r="AH117" s="671"/>
      <c r="AI117" s="671"/>
      <c r="AJ117" s="671"/>
      <c r="AK117" s="671"/>
      <c r="AL117" s="671"/>
      <c r="AM117" s="671"/>
      <c r="AN117" s="671"/>
      <c r="AO117" s="671"/>
      <c r="AP117" s="671"/>
      <c r="AQ117" s="671"/>
      <c r="AR117" s="671"/>
      <c r="AS117" s="671"/>
      <c r="AT117" s="671"/>
      <c r="AU117" s="671"/>
      <c r="AV117" s="671"/>
      <c r="AW117" s="663"/>
      <c r="AX117" s="663"/>
      <c r="AY117" s="663"/>
      <c r="AZ117" s="663"/>
    </row>
    <row r="118" spans="1:52" ht="12.75" customHeight="1">
      <c r="A118" s="634">
        <v>116</v>
      </c>
      <c r="B118" s="634"/>
      <c r="C118" s="695" t="s">
        <v>1039</v>
      </c>
      <c r="D118" s="695"/>
      <c r="E118" s="695"/>
      <c r="F118" s="695"/>
      <c r="G118" s="695"/>
      <c r="H118" s="695"/>
      <c r="I118" s="695"/>
      <c r="J118" s="695"/>
      <c r="K118" s="695"/>
      <c r="L118" s="695"/>
      <c r="M118" s="695"/>
      <c r="N118" s="695"/>
      <c r="O118" s="695"/>
      <c r="P118" s="695"/>
      <c r="Q118" s="695"/>
      <c r="R118" s="695"/>
      <c r="S118" s="695"/>
      <c r="T118" s="695"/>
      <c r="U118" s="695"/>
      <c r="V118" s="691" t="s">
        <v>1028</v>
      </c>
      <c r="W118" s="691"/>
      <c r="X118" s="691"/>
      <c r="Y118" s="671"/>
      <c r="Z118" s="671"/>
      <c r="AA118" s="671"/>
      <c r="AB118" s="671"/>
      <c r="AC118" s="671"/>
      <c r="AD118" s="671"/>
      <c r="AE118" s="671"/>
      <c r="AF118" s="671"/>
      <c r="AG118" s="671"/>
      <c r="AH118" s="671"/>
      <c r="AI118" s="671"/>
      <c r="AJ118" s="671"/>
      <c r="AK118" s="671"/>
      <c r="AL118" s="671"/>
      <c r="AM118" s="671"/>
      <c r="AN118" s="671"/>
      <c r="AO118" s="671"/>
      <c r="AP118" s="671"/>
      <c r="AQ118" s="671"/>
      <c r="AR118" s="671"/>
      <c r="AS118" s="671"/>
      <c r="AT118" s="671"/>
      <c r="AU118" s="671"/>
      <c r="AV118" s="671"/>
      <c r="AW118" s="663"/>
      <c r="AX118" s="663"/>
      <c r="AY118" s="663"/>
      <c r="AZ118" s="663"/>
    </row>
    <row r="119" spans="1:52" ht="25.5" customHeight="1">
      <c r="A119" s="634">
        <v>117</v>
      </c>
      <c r="B119" s="634"/>
      <c r="C119" s="695" t="s">
        <v>1040</v>
      </c>
      <c r="D119" s="695"/>
      <c r="E119" s="695"/>
      <c r="F119" s="695"/>
      <c r="G119" s="695"/>
      <c r="H119" s="695"/>
      <c r="I119" s="695"/>
      <c r="J119" s="695"/>
      <c r="K119" s="695"/>
      <c r="L119" s="695"/>
      <c r="M119" s="695"/>
      <c r="N119" s="695"/>
      <c r="O119" s="695"/>
      <c r="P119" s="695"/>
      <c r="Q119" s="695"/>
      <c r="R119" s="695"/>
      <c r="S119" s="695"/>
      <c r="T119" s="695"/>
      <c r="U119" s="695"/>
      <c r="V119" s="691" t="s">
        <v>1028</v>
      </c>
      <c r="W119" s="691"/>
      <c r="X119" s="691"/>
      <c r="Y119" s="671"/>
      <c r="Z119" s="671"/>
      <c r="AA119" s="671"/>
      <c r="AB119" s="671"/>
      <c r="AC119" s="671"/>
      <c r="AD119" s="671"/>
      <c r="AE119" s="671"/>
      <c r="AF119" s="671"/>
      <c r="AG119" s="671"/>
      <c r="AH119" s="671"/>
      <c r="AI119" s="671"/>
      <c r="AJ119" s="671"/>
      <c r="AK119" s="671"/>
      <c r="AL119" s="671"/>
      <c r="AM119" s="671"/>
      <c r="AN119" s="671"/>
      <c r="AO119" s="671"/>
      <c r="AP119" s="671"/>
      <c r="AQ119" s="671"/>
      <c r="AR119" s="671"/>
      <c r="AS119" s="671"/>
      <c r="AT119" s="671"/>
      <c r="AU119" s="671"/>
      <c r="AV119" s="671"/>
      <c r="AW119" s="663"/>
      <c r="AX119" s="663"/>
      <c r="AY119" s="663"/>
      <c r="AZ119" s="663"/>
    </row>
    <row r="120" spans="1:52" ht="12.75" customHeight="1">
      <c r="A120" s="634">
        <v>118</v>
      </c>
      <c r="B120" s="634"/>
      <c r="C120" s="695" t="s">
        <v>1041</v>
      </c>
      <c r="D120" s="695"/>
      <c r="E120" s="695"/>
      <c r="F120" s="695"/>
      <c r="G120" s="695"/>
      <c r="H120" s="695"/>
      <c r="I120" s="695"/>
      <c r="J120" s="695"/>
      <c r="K120" s="695"/>
      <c r="L120" s="695"/>
      <c r="M120" s="695"/>
      <c r="N120" s="695"/>
      <c r="O120" s="695"/>
      <c r="P120" s="695"/>
      <c r="Q120" s="695"/>
      <c r="R120" s="695"/>
      <c r="S120" s="695"/>
      <c r="T120" s="695"/>
      <c r="U120" s="695"/>
      <c r="V120" s="691" t="s">
        <v>1028</v>
      </c>
      <c r="W120" s="691"/>
      <c r="X120" s="691"/>
      <c r="Y120" s="671"/>
      <c r="Z120" s="671"/>
      <c r="AA120" s="671"/>
      <c r="AB120" s="671"/>
      <c r="AC120" s="671"/>
      <c r="AD120" s="671"/>
      <c r="AE120" s="671"/>
      <c r="AF120" s="671"/>
      <c r="AG120" s="671"/>
      <c r="AH120" s="671"/>
      <c r="AI120" s="671"/>
      <c r="AJ120" s="671"/>
      <c r="AK120" s="671"/>
      <c r="AL120" s="671"/>
      <c r="AM120" s="671"/>
      <c r="AN120" s="671"/>
      <c r="AO120" s="671"/>
      <c r="AP120" s="671"/>
      <c r="AQ120" s="671"/>
      <c r="AR120" s="671"/>
      <c r="AS120" s="671"/>
      <c r="AT120" s="671"/>
      <c r="AU120" s="671"/>
      <c r="AV120" s="671"/>
      <c r="AW120" s="663"/>
      <c r="AX120" s="663"/>
      <c r="AY120" s="663"/>
      <c r="AZ120" s="663"/>
    </row>
    <row r="121" spans="1:52" ht="12.75" customHeight="1">
      <c r="A121" s="634">
        <v>119</v>
      </c>
      <c r="B121" s="634"/>
      <c r="C121" s="695" t="s">
        <v>1042</v>
      </c>
      <c r="D121" s="695"/>
      <c r="E121" s="695"/>
      <c r="F121" s="695"/>
      <c r="G121" s="695"/>
      <c r="H121" s="695"/>
      <c r="I121" s="695"/>
      <c r="J121" s="695"/>
      <c r="K121" s="695"/>
      <c r="L121" s="695"/>
      <c r="M121" s="695"/>
      <c r="N121" s="695"/>
      <c r="O121" s="695"/>
      <c r="P121" s="695"/>
      <c r="Q121" s="695"/>
      <c r="R121" s="695"/>
      <c r="S121" s="695"/>
      <c r="T121" s="695"/>
      <c r="U121" s="695"/>
      <c r="V121" s="691" t="s">
        <v>1028</v>
      </c>
      <c r="W121" s="691"/>
      <c r="X121" s="691"/>
      <c r="Y121" s="671"/>
      <c r="Z121" s="671"/>
      <c r="AA121" s="671"/>
      <c r="AB121" s="671"/>
      <c r="AC121" s="671"/>
      <c r="AD121" s="671"/>
      <c r="AE121" s="671"/>
      <c r="AF121" s="671"/>
      <c r="AG121" s="671"/>
      <c r="AH121" s="671"/>
      <c r="AI121" s="671"/>
      <c r="AJ121" s="671"/>
      <c r="AK121" s="671"/>
      <c r="AL121" s="671"/>
      <c r="AM121" s="671"/>
      <c r="AN121" s="671"/>
      <c r="AO121" s="671"/>
      <c r="AP121" s="671"/>
      <c r="AQ121" s="671"/>
      <c r="AR121" s="671"/>
      <c r="AS121" s="671"/>
      <c r="AT121" s="671"/>
      <c r="AU121" s="671"/>
      <c r="AV121" s="671"/>
      <c r="AW121" s="663"/>
      <c r="AX121" s="663"/>
      <c r="AY121" s="663"/>
      <c r="AZ121" s="663"/>
    </row>
    <row r="122" spans="1:52" ht="25.5" customHeight="1">
      <c r="A122" s="634">
        <v>120</v>
      </c>
      <c r="B122" s="634"/>
      <c r="C122" s="695" t="s">
        <v>1043</v>
      </c>
      <c r="D122" s="695"/>
      <c r="E122" s="695"/>
      <c r="F122" s="695"/>
      <c r="G122" s="695"/>
      <c r="H122" s="695"/>
      <c r="I122" s="695"/>
      <c r="J122" s="695"/>
      <c r="K122" s="695"/>
      <c r="L122" s="695"/>
      <c r="M122" s="695"/>
      <c r="N122" s="695"/>
      <c r="O122" s="695"/>
      <c r="P122" s="695"/>
      <c r="Q122" s="695"/>
      <c r="R122" s="695"/>
      <c r="S122" s="695"/>
      <c r="T122" s="695"/>
      <c r="U122" s="695"/>
      <c r="V122" s="691" t="s">
        <v>1028</v>
      </c>
      <c r="W122" s="691"/>
      <c r="X122" s="691"/>
      <c r="Y122" s="671"/>
      <c r="Z122" s="671"/>
      <c r="AA122" s="671"/>
      <c r="AB122" s="671"/>
      <c r="AC122" s="671"/>
      <c r="AD122" s="671"/>
      <c r="AE122" s="671"/>
      <c r="AF122" s="671"/>
      <c r="AG122" s="671"/>
      <c r="AH122" s="671"/>
      <c r="AI122" s="671"/>
      <c r="AJ122" s="671"/>
      <c r="AK122" s="671"/>
      <c r="AL122" s="671"/>
      <c r="AM122" s="671"/>
      <c r="AN122" s="671"/>
      <c r="AO122" s="671"/>
      <c r="AP122" s="671"/>
      <c r="AQ122" s="671"/>
      <c r="AR122" s="671"/>
      <c r="AS122" s="671"/>
      <c r="AT122" s="671"/>
      <c r="AU122" s="671"/>
      <c r="AV122" s="671"/>
      <c r="AW122" s="634"/>
      <c r="AX122" s="634"/>
      <c r="AY122" s="634"/>
      <c r="AZ122" s="634"/>
    </row>
    <row r="123" spans="1:52" ht="12.75" customHeight="1">
      <c r="A123" s="634">
        <v>121</v>
      </c>
      <c r="B123" s="634"/>
      <c r="C123" s="697" t="s">
        <v>1044</v>
      </c>
      <c r="D123" s="697"/>
      <c r="E123" s="697"/>
      <c r="F123" s="697"/>
      <c r="G123" s="697"/>
      <c r="H123" s="697"/>
      <c r="I123" s="697"/>
      <c r="J123" s="697"/>
      <c r="K123" s="697"/>
      <c r="L123" s="697"/>
      <c r="M123" s="697"/>
      <c r="N123" s="697"/>
      <c r="O123" s="697"/>
      <c r="P123" s="697"/>
      <c r="Q123" s="697"/>
      <c r="R123" s="697"/>
      <c r="S123" s="697"/>
      <c r="T123" s="697"/>
      <c r="U123" s="697"/>
      <c r="V123" s="691" t="s">
        <v>1028</v>
      </c>
      <c r="W123" s="691"/>
      <c r="X123" s="691"/>
      <c r="Y123" s="671"/>
      <c r="Z123" s="671"/>
      <c r="AA123" s="671"/>
      <c r="AB123" s="671"/>
      <c r="AC123" s="671"/>
      <c r="AD123" s="671"/>
      <c r="AE123" s="671"/>
      <c r="AF123" s="671"/>
      <c r="AG123" s="671"/>
      <c r="AH123" s="671"/>
      <c r="AI123" s="671"/>
      <c r="AJ123" s="671"/>
      <c r="AK123" s="671"/>
      <c r="AL123" s="671"/>
      <c r="AM123" s="671"/>
      <c r="AN123" s="671"/>
      <c r="AO123" s="671"/>
      <c r="AP123" s="671"/>
      <c r="AQ123" s="671"/>
      <c r="AR123" s="671"/>
      <c r="AS123" s="671"/>
      <c r="AT123" s="671"/>
      <c r="AU123" s="671"/>
      <c r="AV123" s="671"/>
      <c r="AW123" s="634"/>
      <c r="AX123" s="634"/>
      <c r="AY123" s="634"/>
      <c r="AZ123" s="634"/>
    </row>
    <row r="124" spans="1:52" ht="25.5" customHeight="1">
      <c r="A124" s="634">
        <v>122</v>
      </c>
      <c r="B124" s="634"/>
      <c r="C124" s="697" t="s">
        <v>1045</v>
      </c>
      <c r="D124" s="697"/>
      <c r="E124" s="697"/>
      <c r="F124" s="697"/>
      <c r="G124" s="697"/>
      <c r="H124" s="697"/>
      <c r="I124" s="697"/>
      <c r="J124" s="697"/>
      <c r="K124" s="697"/>
      <c r="L124" s="697"/>
      <c r="M124" s="697"/>
      <c r="N124" s="697"/>
      <c r="O124" s="697"/>
      <c r="P124" s="697"/>
      <c r="Q124" s="697"/>
      <c r="R124" s="697"/>
      <c r="S124" s="697"/>
      <c r="T124" s="697"/>
      <c r="U124" s="697"/>
      <c r="V124" s="691" t="s">
        <v>1028</v>
      </c>
      <c r="W124" s="691"/>
      <c r="X124" s="691"/>
      <c r="Y124" s="671"/>
      <c r="Z124" s="671"/>
      <c r="AA124" s="671"/>
      <c r="AB124" s="671"/>
      <c r="AC124" s="671"/>
      <c r="AD124" s="671"/>
      <c r="AE124" s="671"/>
      <c r="AF124" s="671"/>
      <c r="AG124" s="671"/>
      <c r="AH124" s="671"/>
      <c r="AI124" s="671"/>
      <c r="AJ124" s="671"/>
      <c r="AK124" s="671"/>
      <c r="AL124" s="671"/>
      <c r="AM124" s="671"/>
      <c r="AN124" s="671"/>
      <c r="AO124" s="671"/>
      <c r="AP124" s="671"/>
      <c r="AQ124" s="671"/>
      <c r="AR124" s="671"/>
      <c r="AS124" s="671"/>
      <c r="AT124" s="671"/>
      <c r="AU124" s="671"/>
      <c r="AV124" s="671"/>
      <c r="AW124" s="634"/>
      <c r="AX124" s="634"/>
      <c r="AY124" s="634"/>
      <c r="AZ124" s="634"/>
    </row>
    <row r="125" spans="1:52" ht="25.5" customHeight="1">
      <c r="A125" s="634">
        <v>123</v>
      </c>
      <c r="B125" s="634"/>
      <c r="C125" s="697" t="s">
        <v>1046</v>
      </c>
      <c r="D125" s="697"/>
      <c r="E125" s="697"/>
      <c r="F125" s="697"/>
      <c r="G125" s="697"/>
      <c r="H125" s="697"/>
      <c r="I125" s="697"/>
      <c r="J125" s="697"/>
      <c r="K125" s="697"/>
      <c r="L125" s="697"/>
      <c r="M125" s="697"/>
      <c r="N125" s="697"/>
      <c r="O125" s="697"/>
      <c r="P125" s="697"/>
      <c r="Q125" s="697"/>
      <c r="R125" s="697"/>
      <c r="S125" s="697"/>
      <c r="T125" s="697"/>
      <c r="U125" s="697"/>
      <c r="V125" s="691" t="s">
        <v>1028</v>
      </c>
      <c r="W125" s="691"/>
      <c r="X125" s="691"/>
      <c r="Y125" s="671"/>
      <c r="Z125" s="671"/>
      <c r="AA125" s="671"/>
      <c r="AB125" s="671"/>
      <c r="AC125" s="671"/>
      <c r="AD125" s="671"/>
      <c r="AE125" s="671"/>
      <c r="AF125" s="671"/>
      <c r="AG125" s="671"/>
      <c r="AH125" s="671"/>
      <c r="AI125" s="671"/>
      <c r="AJ125" s="671"/>
      <c r="AK125" s="671"/>
      <c r="AL125" s="671"/>
      <c r="AM125" s="671"/>
      <c r="AN125" s="671"/>
      <c r="AO125" s="671"/>
      <c r="AP125" s="671"/>
      <c r="AQ125" s="671"/>
      <c r="AR125" s="671"/>
      <c r="AS125" s="671"/>
      <c r="AT125" s="671"/>
      <c r="AU125" s="671"/>
      <c r="AV125" s="671"/>
      <c r="AW125" s="634"/>
      <c r="AX125" s="634"/>
      <c r="AY125" s="634"/>
      <c r="AZ125" s="634"/>
    </row>
    <row r="126" spans="1:52" ht="25.5" customHeight="1">
      <c r="A126" s="634">
        <v>124</v>
      </c>
      <c r="B126" s="634"/>
      <c r="C126" s="697" t="s">
        <v>1047</v>
      </c>
      <c r="D126" s="697"/>
      <c r="E126" s="697"/>
      <c r="F126" s="697"/>
      <c r="G126" s="697"/>
      <c r="H126" s="697"/>
      <c r="I126" s="697"/>
      <c r="J126" s="697"/>
      <c r="K126" s="697"/>
      <c r="L126" s="697"/>
      <c r="M126" s="697"/>
      <c r="N126" s="697"/>
      <c r="O126" s="697"/>
      <c r="P126" s="697"/>
      <c r="Q126" s="697"/>
      <c r="R126" s="697"/>
      <c r="S126" s="697"/>
      <c r="T126" s="697"/>
      <c r="U126" s="697"/>
      <c r="V126" s="691" t="s">
        <v>1028</v>
      </c>
      <c r="W126" s="691"/>
      <c r="X126" s="691"/>
      <c r="Y126" s="671"/>
      <c r="Z126" s="671"/>
      <c r="AA126" s="671"/>
      <c r="AB126" s="671"/>
      <c r="AC126" s="671"/>
      <c r="AD126" s="671"/>
      <c r="AE126" s="671"/>
      <c r="AF126" s="671"/>
      <c r="AG126" s="671"/>
      <c r="AH126" s="671"/>
      <c r="AI126" s="671"/>
      <c r="AJ126" s="671"/>
      <c r="AK126" s="671"/>
      <c r="AL126" s="671"/>
      <c r="AM126" s="671"/>
      <c r="AN126" s="671"/>
      <c r="AO126" s="671"/>
      <c r="AP126" s="671"/>
      <c r="AQ126" s="671"/>
      <c r="AR126" s="671"/>
      <c r="AS126" s="671"/>
      <c r="AT126" s="671"/>
      <c r="AU126" s="671"/>
      <c r="AV126" s="671"/>
      <c r="AW126" s="634"/>
      <c r="AX126" s="634"/>
      <c r="AY126" s="634"/>
      <c r="AZ126" s="634"/>
    </row>
    <row r="127" spans="1:52" ht="12.75" customHeight="1">
      <c r="A127" s="634">
        <v>125</v>
      </c>
      <c r="B127" s="634"/>
      <c r="C127" s="697" t="s">
        <v>1048</v>
      </c>
      <c r="D127" s="697"/>
      <c r="E127" s="697"/>
      <c r="F127" s="697"/>
      <c r="G127" s="697"/>
      <c r="H127" s="697"/>
      <c r="I127" s="697"/>
      <c r="J127" s="697"/>
      <c r="K127" s="697"/>
      <c r="L127" s="697"/>
      <c r="M127" s="697"/>
      <c r="N127" s="697"/>
      <c r="O127" s="697"/>
      <c r="P127" s="697"/>
      <c r="Q127" s="697"/>
      <c r="R127" s="697"/>
      <c r="S127" s="697"/>
      <c r="T127" s="697"/>
      <c r="U127" s="697"/>
      <c r="V127" s="691" t="s">
        <v>1028</v>
      </c>
      <c r="W127" s="691"/>
      <c r="X127" s="691"/>
      <c r="Y127" s="671"/>
      <c r="Z127" s="671"/>
      <c r="AA127" s="671"/>
      <c r="AB127" s="671"/>
      <c r="AC127" s="671"/>
      <c r="AD127" s="671"/>
      <c r="AE127" s="671"/>
      <c r="AF127" s="671"/>
      <c r="AG127" s="671"/>
      <c r="AH127" s="671"/>
      <c r="AI127" s="671"/>
      <c r="AJ127" s="671"/>
      <c r="AK127" s="671"/>
      <c r="AL127" s="671"/>
      <c r="AM127" s="671"/>
      <c r="AN127" s="671"/>
      <c r="AO127" s="671"/>
      <c r="AP127" s="671"/>
      <c r="AQ127" s="671"/>
      <c r="AR127" s="671"/>
      <c r="AS127" s="671"/>
      <c r="AT127" s="671"/>
      <c r="AU127" s="671"/>
      <c r="AV127" s="671"/>
      <c r="AW127" s="634"/>
      <c r="AX127" s="634"/>
      <c r="AY127" s="634"/>
      <c r="AZ127" s="634"/>
    </row>
    <row r="128" spans="1:52" ht="25.5" customHeight="1">
      <c r="A128" s="634">
        <v>126</v>
      </c>
      <c r="B128" s="634"/>
      <c r="C128" s="697" t="s">
        <v>1049</v>
      </c>
      <c r="D128" s="697"/>
      <c r="E128" s="697"/>
      <c r="F128" s="697"/>
      <c r="G128" s="697"/>
      <c r="H128" s="697"/>
      <c r="I128" s="697"/>
      <c r="J128" s="697"/>
      <c r="K128" s="697"/>
      <c r="L128" s="697"/>
      <c r="M128" s="697"/>
      <c r="N128" s="697"/>
      <c r="O128" s="697"/>
      <c r="P128" s="697"/>
      <c r="Q128" s="697"/>
      <c r="R128" s="697"/>
      <c r="S128" s="697"/>
      <c r="T128" s="697"/>
      <c r="U128" s="697"/>
      <c r="V128" s="691" t="s">
        <v>1028</v>
      </c>
      <c r="W128" s="691"/>
      <c r="X128" s="691"/>
      <c r="Y128" s="671"/>
      <c r="Z128" s="671"/>
      <c r="AA128" s="671"/>
      <c r="AB128" s="671"/>
      <c r="AC128" s="671"/>
      <c r="AD128" s="671"/>
      <c r="AE128" s="671"/>
      <c r="AF128" s="671"/>
      <c r="AG128" s="671"/>
      <c r="AH128" s="671"/>
      <c r="AI128" s="671"/>
      <c r="AJ128" s="671"/>
      <c r="AK128" s="671"/>
      <c r="AL128" s="671"/>
      <c r="AM128" s="671"/>
      <c r="AN128" s="671"/>
      <c r="AO128" s="671"/>
      <c r="AP128" s="671"/>
      <c r="AQ128" s="671"/>
      <c r="AR128" s="671"/>
      <c r="AS128" s="671"/>
      <c r="AT128" s="671"/>
      <c r="AU128" s="671"/>
      <c r="AV128" s="671"/>
      <c r="AW128" s="634"/>
      <c r="AX128" s="634"/>
      <c r="AY128" s="634"/>
      <c r="AZ128" s="634"/>
    </row>
    <row r="129" spans="1:52" ht="25.5" customHeight="1">
      <c r="A129" s="634">
        <v>127</v>
      </c>
      <c r="B129" s="634"/>
      <c r="C129" s="697" t="s">
        <v>1050</v>
      </c>
      <c r="D129" s="697"/>
      <c r="E129" s="697"/>
      <c r="F129" s="697"/>
      <c r="G129" s="697"/>
      <c r="H129" s="697"/>
      <c r="I129" s="697"/>
      <c r="J129" s="697"/>
      <c r="K129" s="697"/>
      <c r="L129" s="697"/>
      <c r="M129" s="697"/>
      <c r="N129" s="697"/>
      <c r="O129" s="697"/>
      <c r="P129" s="697"/>
      <c r="Q129" s="697"/>
      <c r="R129" s="697"/>
      <c r="S129" s="697"/>
      <c r="T129" s="697"/>
      <c r="U129" s="697"/>
      <c r="V129" s="691" t="s">
        <v>1028</v>
      </c>
      <c r="W129" s="691"/>
      <c r="X129" s="691"/>
      <c r="Y129" s="671"/>
      <c r="Z129" s="671"/>
      <c r="AA129" s="671"/>
      <c r="AB129" s="671"/>
      <c r="AC129" s="671"/>
      <c r="AD129" s="671"/>
      <c r="AE129" s="671"/>
      <c r="AF129" s="671"/>
      <c r="AG129" s="671"/>
      <c r="AH129" s="671"/>
      <c r="AI129" s="671"/>
      <c r="AJ129" s="671"/>
      <c r="AK129" s="671"/>
      <c r="AL129" s="671"/>
      <c r="AM129" s="671"/>
      <c r="AN129" s="671"/>
      <c r="AO129" s="671"/>
      <c r="AP129" s="671"/>
      <c r="AQ129" s="671"/>
      <c r="AR129" s="671"/>
      <c r="AS129" s="671"/>
      <c r="AT129" s="671"/>
      <c r="AU129" s="671"/>
      <c r="AV129" s="671"/>
      <c r="AW129" s="634"/>
      <c r="AX129" s="634"/>
      <c r="AY129" s="634"/>
      <c r="AZ129" s="634"/>
    </row>
    <row r="130" spans="1:52" ht="39" customHeight="1">
      <c r="A130" s="634">
        <v>128</v>
      </c>
      <c r="B130" s="634"/>
      <c r="C130" s="697" t="s">
        <v>1051</v>
      </c>
      <c r="D130" s="697"/>
      <c r="E130" s="697"/>
      <c r="F130" s="697"/>
      <c r="G130" s="697"/>
      <c r="H130" s="697"/>
      <c r="I130" s="697"/>
      <c r="J130" s="697"/>
      <c r="K130" s="697"/>
      <c r="L130" s="697"/>
      <c r="M130" s="697"/>
      <c r="N130" s="697"/>
      <c r="O130" s="697"/>
      <c r="P130" s="697"/>
      <c r="Q130" s="697"/>
      <c r="R130" s="697"/>
      <c r="S130" s="697"/>
      <c r="T130" s="697"/>
      <c r="U130" s="697"/>
      <c r="V130" s="691" t="s">
        <v>1028</v>
      </c>
      <c r="W130" s="691"/>
      <c r="X130" s="691"/>
      <c r="Y130" s="671"/>
      <c r="Z130" s="671"/>
      <c r="AA130" s="671"/>
      <c r="AB130" s="671"/>
      <c r="AC130" s="671"/>
      <c r="AD130" s="671"/>
      <c r="AE130" s="671"/>
      <c r="AF130" s="671"/>
      <c r="AG130" s="671"/>
      <c r="AH130" s="671"/>
      <c r="AI130" s="671"/>
      <c r="AJ130" s="671"/>
      <c r="AK130" s="671"/>
      <c r="AL130" s="671"/>
      <c r="AM130" s="671"/>
      <c r="AN130" s="671"/>
      <c r="AO130" s="671"/>
      <c r="AP130" s="671"/>
      <c r="AQ130" s="671"/>
      <c r="AR130" s="671"/>
      <c r="AS130" s="671"/>
      <c r="AT130" s="671"/>
      <c r="AU130" s="671"/>
      <c r="AV130" s="671"/>
      <c r="AW130" s="634"/>
      <c r="AX130" s="634"/>
      <c r="AY130" s="634"/>
      <c r="AZ130" s="634"/>
    </row>
    <row r="131" spans="1:52" ht="12.75" customHeight="1">
      <c r="A131" s="634">
        <v>129</v>
      </c>
      <c r="B131" s="634"/>
      <c r="C131" s="697" t="s">
        <v>1052</v>
      </c>
      <c r="D131" s="697"/>
      <c r="E131" s="697"/>
      <c r="F131" s="697"/>
      <c r="G131" s="697"/>
      <c r="H131" s="697"/>
      <c r="I131" s="697"/>
      <c r="J131" s="697"/>
      <c r="K131" s="697"/>
      <c r="L131" s="697"/>
      <c r="M131" s="697"/>
      <c r="N131" s="697"/>
      <c r="O131" s="697"/>
      <c r="P131" s="697"/>
      <c r="Q131" s="697"/>
      <c r="R131" s="697"/>
      <c r="S131" s="697"/>
      <c r="T131" s="697"/>
      <c r="U131" s="697"/>
      <c r="V131" s="691" t="s">
        <v>1028</v>
      </c>
      <c r="W131" s="691"/>
      <c r="X131" s="691"/>
      <c r="Y131" s="671"/>
      <c r="Z131" s="671"/>
      <c r="AA131" s="671"/>
      <c r="AB131" s="671"/>
      <c r="AC131" s="671"/>
      <c r="AD131" s="671"/>
      <c r="AE131" s="671"/>
      <c r="AF131" s="671"/>
      <c r="AG131" s="671"/>
      <c r="AH131" s="671"/>
      <c r="AI131" s="671"/>
      <c r="AJ131" s="671"/>
      <c r="AK131" s="671"/>
      <c r="AL131" s="671"/>
      <c r="AM131" s="671"/>
      <c r="AN131" s="671"/>
      <c r="AO131" s="671"/>
      <c r="AP131" s="671"/>
      <c r="AQ131" s="671"/>
      <c r="AR131" s="671"/>
      <c r="AS131" s="671"/>
      <c r="AT131" s="671"/>
      <c r="AU131" s="671"/>
      <c r="AV131" s="671"/>
      <c r="AW131" s="634"/>
      <c r="AX131" s="634"/>
      <c r="AY131" s="634"/>
      <c r="AZ131" s="634"/>
    </row>
    <row r="132" spans="1:52" ht="25.5" customHeight="1">
      <c r="A132" s="634">
        <v>130</v>
      </c>
      <c r="B132" s="634"/>
      <c r="C132" s="697" t="s">
        <v>1053</v>
      </c>
      <c r="D132" s="697"/>
      <c r="E132" s="697"/>
      <c r="F132" s="697"/>
      <c r="G132" s="697"/>
      <c r="H132" s="697"/>
      <c r="I132" s="697"/>
      <c r="J132" s="697"/>
      <c r="K132" s="697"/>
      <c r="L132" s="697"/>
      <c r="M132" s="697"/>
      <c r="N132" s="697"/>
      <c r="O132" s="697"/>
      <c r="P132" s="697"/>
      <c r="Q132" s="697"/>
      <c r="R132" s="697"/>
      <c r="S132" s="697"/>
      <c r="T132" s="697"/>
      <c r="U132" s="697"/>
      <c r="V132" s="691" t="s">
        <v>1028</v>
      </c>
      <c r="W132" s="691"/>
      <c r="X132" s="691"/>
      <c r="Y132" s="671"/>
      <c r="Z132" s="671"/>
      <c r="AA132" s="671"/>
      <c r="AB132" s="671"/>
      <c r="AC132" s="671"/>
      <c r="AD132" s="671"/>
      <c r="AE132" s="671"/>
      <c r="AF132" s="671"/>
      <c r="AG132" s="671"/>
      <c r="AH132" s="671"/>
      <c r="AI132" s="671"/>
      <c r="AJ132" s="671"/>
      <c r="AK132" s="671"/>
      <c r="AL132" s="671"/>
      <c r="AM132" s="671"/>
      <c r="AN132" s="671"/>
      <c r="AO132" s="671"/>
      <c r="AP132" s="671"/>
      <c r="AQ132" s="671"/>
      <c r="AR132" s="671"/>
      <c r="AS132" s="671"/>
      <c r="AT132" s="671"/>
      <c r="AU132" s="671"/>
      <c r="AV132" s="671"/>
      <c r="AW132" s="634"/>
      <c r="AX132" s="634"/>
      <c r="AY132" s="634"/>
      <c r="AZ132" s="634"/>
    </row>
    <row r="133" spans="1:52" ht="25.5" customHeight="1">
      <c r="A133" s="675">
        <v>131</v>
      </c>
      <c r="B133" s="675"/>
      <c r="C133" s="667" t="s">
        <v>1054</v>
      </c>
      <c r="D133" s="667"/>
      <c r="E133" s="667"/>
      <c r="F133" s="667"/>
      <c r="G133" s="667"/>
      <c r="H133" s="667"/>
      <c r="I133" s="667"/>
      <c r="J133" s="667"/>
      <c r="K133" s="667"/>
      <c r="L133" s="667"/>
      <c r="M133" s="667"/>
      <c r="N133" s="667"/>
      <c r="O133" s="667"/>
      <c r="P133" s="667"/>
      <c r="Q133" s="667"/>
      <c r="R133" s="667"/>
      <c r="S133" s="667"/>
      <c r="T133" s="667"/>
      <c r="U133" s="667"/>
      <c r="V133" s="692" t="s">
        <v>1055</v>
      </c>
      <c r="W133" s="692"/>
      <c r="X133" s="692"/>
      <c r="Y133" s="646"/>
      <c r="Z133" s="693"/>
      <c r="AA133" s="693"/>
      <c r="AB133" s="693"/>
      <c r="AC133" s="646"/>
      <c r="AD133" s="693"/>
      <c r="AE133" s="693"/>
      <c r="AF133" s="693"/>
      <c r="AG133" s="646"/>
      <c r="AH133" s="693"/>
      <c r="AI133" s="693"/>
      <c r="AJ133" s="693"/>
      <c r="AK133" s="646"/>
      <c r="AL133" s="693"/>
      <c r="AM133" s="693"/>
      <c r="AN133" s="693"/>
      <c r="AO133" s="646"/>
      <c r="AP133" s="693"/>
      <c r="AQ133" s="693"/>
      <c r="AR133" s="693"/>
      <c r="AS133" s="646"/>
      <c r="AT133" s="693"/>
      <c r="AU133" s="693"/>
      <c r="AV133" s="693"/>
      <c r="AW133" s="646"/>
      <c r="AX133" s="693"/>
      <c r="AY133" s="693"/>
      <c r="AZ133" s="693"/>
    </row>
    <row r="134" spans="1:52" ht="12.75" customHeight="1">
      <c r="A134" s="626">
        <v>132</v>
      </c>
      <c r="B134" s="627"/>
      <c r="C134" s="695" t="s">
        <v>1056</v>
      </c>
      <c r="D134" s="695"/>
      <c r="E134" s="695"/>
      <c r="F134" s="695"/>
      <c r="G134" s="695"/>
      <c r="H134" s="695"/>
      <c r="I134" s="695"/>
      <c r="J134" s="695"/>
      <c r="K134" s="695"/>
      <c r="L134" s="695"/>
      <c r="M134" s="695"/>
      <c r="N134" s="695"/>
      <c r="O134" s="695"/>
      <c r="P134" s="695"/>
      <c r="Q134" s="695"/>
      <c r="R134" s="695"/>
      <c r="S134" s="695"/>
      <c r="T134" s="695"/>
      <c r="U134" s="695"/>
      <c r="V134" s="691" t="s">
        <v>1057</v>
      </c>
      <c r="W134" s="691"/>
      <c r="X134" s="691"/>
      <c r="Y134" s="634"/>
      <c r="Z134" s="634"/>
      <c r="AA134" s="634"/>
      <c r="AB134" s="634"/>
      <c r="AC134" s="634"/>
      <c r="AD134" s="634"/>
      <c r="AE134" s="634"/>
      <c r="AF134" s="634"/>
      <c r="AG134" s="634"/>
      <c r="AH134" s="634"/>
      <c r="AI134" s="634"/>
      <c r="AJ134" s="634"/>
      <c r="AK134" s="634"/>
      <c r="AL134" s="634"/>
      <c r="AM134" s="634"/>
      <c r="AN134" s="634"/>
      <c r="AO134" s="634"/>
      <c r="AP134" s="634"/>
      <c r="AQ134" s="634"/>
      <c r="AR134" s="634"/>
      <c r="AS134" s="634"/>
      <c r="AT134" s="634"/>
      <c r="AU134" s="634"/>
      <c r="AV134" s="634"/>
      <c r="AW134" s="634"/>
      <c r="AX134" s="634"/>
      <c r="AY134" s="634"/>
      <c r="AZ134" s="634"/>
    </row>
    <row r="135" spans="1:52" ht="12.75" customHeight="1">
      <c r="A135" s="626">
        <v>133</v>
      </c>
      <c r="B135" s="627"/>
      <c r="C135" s="695" t="s">
        <v>1058</v>
      </c>
      <c r="D135" s="695"/>
      <c r="E135" s="695"/>
      <c r="F135" s="695"/>
      <c r="G135" s="695"/>
      <c r="H135" s="695"/>
      <c r="I135" s="695"/>
      <c r="J135" s="695"/>
      <c r="K135" s="695"/>
      <c r="L135" s="695"/>
      <c r="M135" s="695"/>
      <c r="N135" s="695"/>
      <c r="O135" s="695"/>
      <c r="P135" s="695"/>
      <c r="Q135" s="695"/>
      <c r="R135" s="695"/>
      <c r="S135" s="695"/>
      <c r="T135" s="695"/>
      <c r="U135" s="695"/>
      <c r="V135" s="691" t="s">
        <v>1057</v>
      </c>
      <c r="W135" s="691"/>
      <c r="X135" s="691"/>
      <c r="Y135" s="671"/>
      <c r="Z135" s="671"/>
      <c r="AA135" s="671"/>
      <c r="AB135" s="671"/>
      <c r="AC135" s="671"/>
      <c r="AD135" s="671"/>
      <c r="AE135" s="671"/>
      <c r="AF135" s="671"/>
      <c r="AG135" s="671"/>
      <c r="AH135" s="671"/>
      <c r="AI135" s="671"/>
      <c r="AJ135" s="671"/>
      <c r="AK135" s="671"/>
      <c r="AL135" s="671"/>
      <c r="AM135" s="671"/>
      <c r="AN135" s="671"/>
      <c r="AO135" s="671"/>
      <c r="AP135" s="671"/>
      <c r="AQ135" s="671"/>
      <c r="AR135" s="671"/>
      <c r="AS135" s="671"/>
      <c r="AT135" s="671"/>
      <c r="AU135" s="671"/>
      <c r="AV135" s="671"/>
      <c r="AW135" s="634"/>
      <c r="AX135" s="634"/>
      <c r="AY135" s="634"/>
      <c r="AZ135" s="634"/>
    </row>
    <row r="136" spans="1:52" ht="25.5" customHeight="1">
      <c r="A136" s="626">
        <v>134</v>
      </c>
      <c r="B136" s="627"/>
      <c r="C136" s="695" t="s">
        <v>1059</v>
      </c>
      <c r="D136" s="695"/>
      <c r="E136" s="695"/>
      <c r="F136" s="695"/>
      <c r="G136" s="695"/>
      <c r="H136" s="695"/>
      <c r="I136" s="695"/>
      <c r="J136" s="695"/>
      <c r="K136" s="695"/>
      <c r="L136" s="695"/>
      <c r="M136" s="695"/>
      <c r="N136" s="695"/>
      <c r="O136" s="695"/>
      <c r="P136" s="695"/>
      <c r="Q136" s="695"/>
      <c r="R136" s="695"/>
      <c r="S136" s="695"/>
      <c r="T136" s="695"/>
      <c r="U136" s="695"/>
      <c r="V136" s="691" t="s">
        <v>1060</v>
      </c>
      <c r="W136" s="691"/>
      <c r="X136" s="691"/>
      <c r="Y136" s="634"/>
      <c r="Z136" s="634"/>
      <c r="AA136" s="634"/>
      <c r="AB136" s="634"/>
      <c r="AC136" s="634"/>
      <c r="AD136" s="634"/>
      <c r="AE136" s="634"/>
      <c r="AF136" s="634"/>
      <c r="AG136" s="634"/>
      <c r="AH136" s="634"/>
      <c r="AI136" s="634"/>
      <c r="AJ136" s="634"/>
      <c r="AK136" s="634"/>
      <c r="AL136" s="634"/>
      <c r="AM136" s="634"/>
      <c r="AN136" s="634"/>
      <c r="AO136" s="634"/>
      <c r="AP136" s="634"/>
      <c r="AQ136" s="634"/>
      <c r="AR136" s="634"/>
      <c r="AS136" s="634"/>
      <c r="AT136" s="634"/>
      <c r="AU136" s="634"/>
      <c r="AV136" s="634"/>
      <c r="AW136" s="634"/>
      <c r="AX136" s="634"/>
      <c r="AY136" s="634"/>
      <c r="AZ136" s="634"/>
    </row>
    <row r="137" spans="1:52" ht="12.75" customHeight="1">
      <c r="A137" s="626">
        <v>135</v>
      </c>
      <c r="B137" s="627"/>
      <c r="C137" s="695" t="s">
        <v>1061</v>
      </c>
      <c r="D137" s="695"/>
      <c r="E137" s="695"/>
      <c r="F137" s="695"/>
      <c r="G137" s="695"/>
      <c r="H137" s="695"/>
      <c r="I137" s="695"/>
      <c r="J137" s="695"/>
      <c r="K137" s="695"/>
      <c r="L137" s="695"/>
      <c r="M137" s="695"/>
      <c r="N137" s="695"/>
      <c r="O137" s="695"/>
      <c r="P137" s="695"/>
      <c r="Q137" s="695"/>
      <c r="R137" s="695"/>
      <c r="S137" s="695"/>
      <c r="T137" s="695"/>
      <c r="U137" s="695"/>
      <c r="V137" s="691" t="s">
        <v>1062</v>
      </c>
      <c r="W137" s="691"/>
      <c r="X137" s="691"/>
      <c r="Y137" s="634"/>
      <c r="Z137" s="634"/>
      <c r="AA137" s="634"/>
      <c r="AB137" s="634"/>
      <c r="AC137" s="634"/>
      <c r="AD137" s="634"/>
      <c r="AE137" s="634"/>
      <c r="AF137" s="634"/>
      <c r="AG137" s="634"/>
      <c r="AH137" s="634"/>
      <c r="AI137" s="634"/>
      <c r="AJ137" s="634"/>
      <c r="AK137" s="634"/>
      <c r="AL137" s="634"/>
      <c r="AM137" s="634"/>
      <c r="AN137" s="634"/>
      <c r="AO137" s="634"/>
      <c r="AP137" s="634"/>
      <c r="AQ137" s="634"/>
      <c r="AR137" s="634"/>
      <c r="AS137" s="634"/>
      <c r="AT137" s="634"/>
      <c r="AU137" s="634"/>
      <c r="AV137" s="634"/>
      <c r="AW137" s="634"/>
      <c r="AX137" s="634"/>
      <c r="AY137" s="634"/>
      <c r="AZ137" s="634"/>
    </row>
    <row r="138" spans="1:52" ht="12.75" customHeight="1">
      <c r="A138" s="626">
        <v>136</v>
      </c>
      <c r="B138" s="627"/>
      <c r="C138" s="695" t="s">
        <v>1063</v>
      </c>
      <c r="D138" s="695"/>
      <c r="E138" s="695"/>
      <c r="F138" s="695"/>
      <c r="G138" s="695"/>
      <c r="H138" s="695"/>
      <c r="I138" s="695"/>
      <c r="J138" s="695"/>
      <c r="K138" s="695"/>
      <c r="L138" s="695"/>
      <c r="M138" s="695"/>
      <c r="N138" s="695"/>
      <c r="O138" s="695"/>
      <c r="P138" s="695"/>
      <c r="Q138" s="695"/>
      <c r="R138" s="695"/>
      <c r="S138" s="695"/>
      <c r="T138" s="695"/>
      <c r="U138" s="695"/>
      <c r="V138" s="691" t="s">
        <v>1064</v>
      </c>
      <c r="W138" s="691"/>
      <c r="X138" s="691"/>
      <c r="Y138" s="634"/>
      <c r="Z138" s="634"/>
      <c r="AA138" s="634"/>
      <c r="AB138" s="634"/>
      <c r="AC138" s="634"/>
      <c r="AD138" s="634"/>
      <c r="AE138" s="634"/>
      <c r="AF138" s="634"/>
      <c r="AG138" s="634"/>
      <c r="AH138" s="634"/>
      <c r="AI138" s="634"/>
      <c r="AJ138" s="634"/>
      <c r="AK138" s="634"/>
      <c r="AL138" s="634"/>
      <c r="AM138" s="634"/>
      <c r="AN138" s="634"/>
      <c r="AO138" s="634"/>
      <c r="AP138" s="634"/>
      <c r="AQ138" s="634"/>
      <c r="AR138" s="634"/>
      <c r="AS138" s="634"/>
      <c r="AT138" s="634"/>
      <c r="AU138" s="634"/>
      <c r="AV138" s="634"/>
      <c r="AW138" s="634"/>
      <c r="AX138" s="634"/>
      <c r="AY138" s="634"/>
      <c r="AZ138" s="634"/>
    </row>
    <row r="139" spans="1:52" ht="12.75" customHeight="1">
      <c r="A139" s="638">
        <v>137</v>
      </c>
      <c r="B139" s="639"/>
      <c r="C139" s="667" t="s">
        <v>1065</v>
      </c>
      <c r="D139" s="667"/>
      <c r="E139" s="667"/>
      <c r="F139" s="667"/>
      <c r="G139" s="667"/>
      <c r="H139" s="667"/>
      <c r="I139" s="667"/>
      <c r="J139" s="667"/>
      <c r="K139" s="667"/>
      <c r="L139" s="667"/>
      <c r="M139" s="667"/>
      <c r="N139" s="667"/>
      <c r="O139" s="667"/>
      <c r="P139" s="667"/>
      <c r="Q139" s="667"/>
      <c r="R139" s="667"/>
      <c r="S139" s="667"/>
      <c r="T139" s="667"/>
      <c r="U139" s="667"/>
      <c r="V139" s="692" t="s">
        <v>1066</v>
      </c>
      <c r="W139" s="692"/>
      <c r="X139" s="692"/>
      <c r="Y139" s="646"/>
      <c r="Z139" s="693"/>
      <c r="AA139" s="693"/>
      <c r="AB139" s="693"/>
      <c r="AC139" s="646"/>
      <c r="AD139" s="693"/>
      <c r="AE139" s="693"/>
      <c r="AF139" s="693"/>
      <c r="AG139" s="646"/>
      <c r="AH139" s="693"/>
      <c r="AI139" s="693"/>
      <c r="AJ139" s="693"/>
      <c r="AK139" s="646"/>
      <c r="AL139" s="693"/>
      <c r="AM139" s="693"/>
      <c r="AN139" s="693"/>
      <c r="AO139" s="646"/>
      <c r="AP139" s="693"/>
      <c r="AQ139" s="693"/>
      <c r="AR139" s="693"/>
      <c r="AS139" s="646"/>
      <c r="AT139" s="693"/>
      <c r="AU139" s="693"/>
      <c r="AV139" s="693"/>
      <c r="AW139" s="646"/>
      <c r="AX139" s="693"/>
      <c r="AY139" s="693"/>
      <c r="AZ139" s="693"/>
    </row>
    <row r="140" spans="1:52" ht="25.5" customHeight="1">
      <c r="A140" s="626">
        <v>138</v>
      </c>
      <c r="B140" s="627"/>
      <c r="C140" s="695" t="s">
        <v>1067</v>
      </c>
      <c r="D140" s="695"/>
      <c r="E140" s="695"/>
      <c r="F140" s="695"/>
      <c r="G140" s="695"/>
      <c r="H140" s="695"/>
      <c r="I140" s="695"/>
      <c r="J140" s="695"/>
      <c r="K140" s="695"/>
      <c r="L140" s="695"/>
      <c r="M140" s="695"/>
      <c r="N140" s="695"/>
      <c r="O140" s="695"/>
      <c r="P140" s="695"/>
      <c r="Q140" s="695"/>
      <c r="R140" s="695"/>
      <c r="S140" s="695"/>
      <c r="T140" s="695"/>
      <c r="U140" s="695"/>
      <c r="V140" s="691" t="s">
        <v>1068</v>
      </c>
      <c r="W140" s="691"/>
      <c r="X140" s="691"/>
      <c r="Y140" s="634"/>
      <c r="Z140" s="634"/>
      <c r="AA140" s="634"/>
      <c r="AB140" s="634"/>
      <c r="AC140" s="634"/>
      <c r="AD140" s="634"/>
      <c r="AE140" s="634"/>
      <c r="AF140" s="634"/>
      <c r="AG140" s="634"/>
      <c r="AH140" s="634"/>
      <c r="AI140" s="634"/>
      <c r="AJ140" s="634"/>
      <c r="AK140" s="634"/>
      <c r="AL140" s="634"/>
      <c r="AM140" s="634"/>
      <c r="AN140" s="634"/>
      <c r="AO140" s="634"/>
      <c r="AP140" s="634"/>
      <c r="AQ140" s="634"/>
      <c r="AR140" s="634"/>
      <c r="AS140" s="634"/>
      <c r="AT140" s="634"/>
      <c r="AU140" s="634"/>
      <c r="AV140" s="634"/>
      <c r="AW140" s="634"/>
      <c r="AX140" s="634"/>
      <c r="AY140" s="634"/>
      <c r="AZ140" s="634"/>
    </row>
    <row r="141" spans="1:52" ht="25.5" customHeight="1">
      <c r="A141" s="626">
        <v>139</v>
      </c>
      <c r="B141" s="627"/>
      <c r="C141" s="695" t="s">
        <v>1069</v>
      </c>
      <c r="D141" s="695"/>
      <c r="E141" s="695"/>
      <c r="F141" s="695"/>
      <c r="G141" s="695"/>
      <c r="H141" s="695"/>
      <c r="I141" s="695"/>
      <c r="J141" s="695"/>
      <c r="K141" s="695"/>
      <c r="L141" s="695"/>
      <c r="M141" s="695"/>
      <c r="N141" s="695"/>
      <c r="O141" s="695"/>
      <c r="P141" s="695"/>
      <c r="Q141" s="695"/>
      <c r="R141" s="695"/>
      <c r="S141" s="695"/>
      <c r="T141" s="695"/>
      <c r="U141" s="695"/>
      <c r="V141" s="691" t="s">
        <v>1070</v>
      </c>
      <c r="W141" s="691"/>
      <c r="X141" s="691"/>
      <c r="Y141" s="634"/>
      <c r="Z141" s="634"/>
      <c r="AA141" s="634"/>
      <c r="AB141" s="634"/>
      <c r="AC141" s="634"/>
      <c r="AD141" s="634"/>
      <c r="AE141" s="634"/>
      <c r="AF141" s="634"/>
      <c r="AG141" s="634"/>
      <c r="AH141" s="634"/>
      <c r="AI141" s="634"/>
      <c r="AJ141" s="634"/>
      <c r="AK141" s="634"/>
      <c r="AL141" s="634"/>
      <c r="AM141" s="634"/>
      <c r="AN141" s="634"/>
      <c r="AO141" s="671"/>
      <c r="AP141" s="671"/>
      <c r="AQ141" s="671"/>
      <c r="AR141" s="671"/>
      <c r="AS141" s="671"/>
      <c r="AT141" s="671"/>
      <c r="AU141" s="671"/>
      <c r="AV141" s="671"/>
      <c r="AW141" s="646"/>
      <c r="AX141" s="693"/>
      <c r="AY141" s="693"/>
      <c r="AZ141" s="693"/>
    </row>
    <row r="142" spans="1:52" ht="12.75" customHeight="1">
      <c r="A142" s="626">
        <v>140</v>
      </c>
      <c r="B142" s="627"/>
      <c r="C142" s="697" t="s">
        <v>1071</v>
      </c>
      <c r="D142" s="697"/>
      <c r="E142" s="697"/>
      <c r="F142" s="697"/>
      <c r="G142" s="697"/>
      <c r="H142" s="697"/>
      <c r="I142" s="697"/>
      <c r="J142" s="697"/>
      <c r="K142" s="697"/>
      <c r="L142" s="697"/>
      <c r="M142" s="697"/>
      <c r="N142" s="697"/>
      <c r="O142" s="697"/>
      <c r="P142" s="697"/>
      <c r="Q142" s="697"/>
      <c r="R142" s="697"/>
      <c r="S142" s="697"/>
      <c r="T142" s="697"/>
      <c r="U142" s="697"/>
      <c r="V142" s="691" t="s">
        <v>1070</v>
      </c>
      <c r="W142" s="691"/>
      <c r="X142" s="691"/>
      <c r="Y142" s="671"/>
      <c r="Z142" s="671"/>
      <c r="AA142" s="671"/>
      <c r="AB142" s="671"/>
      <c r="AC142" s="671"/>
      <c r="AD142" s="671"/>
      <c r="AE142" s="671"/>
      <c r="AF142" s="671"/>
      <c r="AG142" s="671"/>
      <c r="AH142" s="671"/>
      <c r="AI142" s="671"/>
      <c r="AJ142" s="671"/>
      <c r="AK142" s="671"/>
      <c r="AL142" s="671"/>
      <c r="AM142" s="671"/>
      <c r="AN142" s="671"/>
      <c r="AO142" s="671"/>
      <c r="AP142" s="671"/>
      <c r="AQ142" s="671"/>
      <c r="AR142" s="671"/>
      <c r="AS142" s="671"/>
      <c r="AT142" s="671"/>
      <c r="AU142" s="671"/>
      <c r="AV142" s="671"/>
      <c r="AW142" s="634"/>
      <c r="AX142" s="634"/>
      <c r="AY142" s="634"/>
      <c r="AZ142" s="634"/>
    </row>
    <row r="143" spans="1:52" ht="12.75" customHeight="1">
      <c r="A143" s="626">
        <v>141</v>
      </c>
      <c r="B143" s="627"/>
      <c r="C143" s="697" t="s">
        <v>1072</v>
      </c>
      <c r="D143" s="697"/>
      <c r="E143" s="697"/>
      <c r="F143" s="697"/>
      <c r="G143" s="697"/>
      <c r="H143" s="697"/>
      <c r="I143" s="697"/>
      <c r="J143" s="697"/>
      <c r="K143" s="697"/>
      <c r="L143" s="697"/>
      <c r="M143" s="697"/>
      <c r="N143" s="697"/>
      <c r="O143" s="697"/>
      <c r="P143" s="697"/>
      <c r="Q143" s="697"/>
      <c r="R143" s="697"/>
      <c r="S143" s="697"/>
      <c r="T143" s="697"/>
      <c r="U143" s="697"/>
      <c r="V143" s="691" t="s">
        <v>1070</v>
      </c>
      <c r="W143" s="691"/>
      <c r="X143" s="691"/>
      <c r="Y143" s="671"/>
      <c r="Z143" s="671"/>
      <c r="AA143" s="671"/>
      <c r="AB143" s="671"/>
      <c r="AC143" s="671"/>
      <c r="AD143" s="671"/>
      <c r="AE143" s="671"/>
      <c r="AF143" s="671"/>
      <c r="AG143" s="671"/>
      <c r="AH143" s="671"/>
      <c r="AI143" s="671"/>
      <c r="AJ143" s="671"/>
      <c r="AK143" s="671"/>
      <c r="AL143" s="671"/>
      <c r="AM143" s="671"/>
      <c r="AN143" s="671"/>
      <c r="AO143" s="671"/>
      <c r="AP143" s="671"/>
      <c r="AQ143" s="671"/>
      <c r="AR143" s="671"/>
      <c r="AS143" s="671"/>
      <c r="AT143" s="671"/>
      <c r="AU143" s="671"/>
      <c r="AV143" s="671"/>
      <c r="AW143" s="634"/>
      <c r="AX143" s="634"/>
      <c r="AY143" s="634"/>
      <c r="AZ143" s="634"/>
    </row>
    <row r="144" spans="1:52" ht="25.5" customHeight="1">
      <c r="A144" s="626">
        <v>142</v>
      </c>
      <c r="B144" s="627"/>
      <c r="C144" s="697" t="s">
        <v>1073</v>
      </c>
      <c r="D144" s="697"/>
      <c r="E144" s="697"/>
      <c r="F144" s="697"/>
      <c r="G144" s="697"/>
      <c r="H144" s="697"/>
      <c r="I144" s="697"/>
      <c r="J144" s="697"/>
      <c r="K144" s="697"/>
      <c r="L144" s="697"/>
      <c r="M144" s="697"/>
      <c r="N144" s="697"/>
      <c r="O144" s="697"/>
      <c r="P144" s="697"/>
      <c r="Q144" s="697"/>
      <c r="R144" s="697"/>
      <c r="S144" s="697"/>
      <c r="T144" s="697"/>
      <c r="U144" s="697"/>
      <c r="V144" s="691" t="s">
        <v>1070</v>
      </c>
      <c r="W144" s="691"/>
      <c r="X144" s="691"/>
      <c r="Y144" s="671"/>
      <c r="Z144" s="671"/>
      <c r="AA144" s="671"/>
      <c r="AB144" s="671"/>
      <c r="AC144" s="671"/>
      <c r="AD144" s="671"/>
      <c r="AE144" s="671"/>
      <c r="AF144" s="671"/>
      <c r="AG144" s="671"/>
      <c r="AH144" s="671"/>
      <c r="AI144" s="671"/>
      <c r="AJ144" s="671"/>
      <c r="AK144" s="671"/>
      <c r="AL144" s="671"/>
      <c r="AM144" s="671"/>
      <c r="AN144" s="671"/>
      <c r="AO144" s="671"/>
      <c r="AP144" s="671"/>
      <c r="AQ144" s="671"/>
      <c r="AR144" s="671"/>
      <c r="AS144" s="671"/>
      <c r="AT144" s="671"/>
      <c r="AU144" s="671"/>
      <c r="AV144" s="671"/>
      <c r="AW144" s="634"/>
      <c r="AX144" s="634"/>
      <c r="AY144" s="634"/>
      <c r="AZ144" s="634"/>
    </row>
    <row r="145" spans="1:52" ht="12.75" customHeight="1">
      <c r="A145" s="626">
        <v>143</v>
      </c>
      <c r="B145" s="627"/>
      <c r="C145" s="697" t="s">
        <v>1074</v>
      </c>
      <c r="D145" s="697"/>
      <c r="E145" s="697"/>
      <c r="F145" s="697"/>
      <c r="G145" s="697"/>
      <c r="H145" s="697"/>
      <c r="I145" s="697"/>
      <c r="J145" s="697"/>
      <c r="K145" s="697"/>
      <c r="L145" s="697"/>
      <c r="M145" s="697"/>
      <c r="N145" s="697"/>
      <c r="O145" s="697"/>
      <c r="P145" s="697"/>
      <c r="Q145" s="697"/>
      <c r="R145" s="697"/>
      <c r="S145" s="697"/>
      <c r="T145" s="697"/>
      <c r="U145" s="697"/>
      <c r="V145" s="691" t="s">
        <v>1070</v>
      </c>
      <c r="W145" s="691"/>
      <c r="X145" s="691"/>
      <c r="Y145" s="671"/>
      <c r="Z145" s="671"/>
      <c r="AA145" s="671"/>
      <c r="AB145" s="671"/>
      <c r="AC145" s="671"/>
      <c r="AD145" s="671"/>
      <c r="AE145" s="671"/>
      <c r="AF145" s="671"/>
      <c r="AG145" s="671"/>
      <c r="AH145" s="671"/>
      <c r="AI145" s="671"/>
      <c r="AJ145" s="671"/>
      <c r="AK145" s="671"/>
      <c r="AL145" s="671"/>
      <c r="AM145" s="671"/>
      <c r="AN145" s="671"/>
      <c r="AO145" s="671"/>
      <c r="AP145" s="671"/>
      <c r="AQ145" s="671"/>
      <c r="AR145" s="671"/>
      <c r="AS145" s="671"/>
      <c r="AT145" s="671"/>
      <c r="AU145" s="671"/>
      <c r="AV145" s="671"/>
      <c r="AW145" s="634"/>
      <c r="AX145" s="634"/>
      <c r="AY145" s="634"/>
      <c r="AZ145" s="634"/>
    </row>
    <row r="146" spans="1:52" ht="12.75" customHeight="1">
      <c r="A146" s="626">
        <v>144</v>
      </c>
      <c r="B146" s="627"/>
      <c r="C146" s="697" t="s">
        <v>1075</v>
      </c>
      <c r="D146" s="697"/>
      <c r="E146" s="697"/>
      <c r="F146" s="697"/>
      <c r="G146" s="697"/>
      <c r="H146" s="697"/>
      <c r="I146" s="697"/>
      <c r="J146" s="697"/>
      <c r="K146" s="697"/>
      <c r="L146" s="697"/>
      <c r="M146" s="697"/>
      <c r="N146" s="697"/>
      <c r="O146" s="697"/>
      <c r="P146" s="697"/>
      <c r="Q146" s="697"/>
      <c r="R146" s="697"/>
      <c r="S146" s="697"/>
      <c r="T146" s="697"/>
      <c r="U146" s="697"/>
      <c r="V146" s="691" t="s">
        <v>1070</v>
      </c>
      <c r="W146" s="691"/>
      <c r="X146" s="691"/>
      <c r="Y146" s="671"/>
      <c r="Z146" s="671"/>
      <c r="AA146" s="671"/>
      <c r="AB146" s="671"/>
      <c r="AC146" s="671"/>
      <c r="AD146" s="671"/>
      <c r="AE146" s="671"/>
      <c r="AF146" s="671"/>
      <c r="AG146" s="671"/>
      <c r="AH146" s="671"/>
      <c r="AI146" s="671"/>
      <c r="AJ146" s="671"/>
      <c r="AK146" s="671"/>
      <c r="AL146" s="671"/>
      <c r="AM146" s="671"/>
      <c r="AN146" s="671"/>
      <c r="AO146" s="671"/>
      <c r="AP146" s="671"/>
      <c r="AQ146" s="671"/>
      <c r="AR146" s="671"/>
      <c r="AS146" s="671"/>
      <c r="AT146" s="671"/>
      <c r="AU146" s="671"/>
      <c r="AV146" s="671"/>
      <c r="AW146" s="634"/>
      <c r="AX146" s="634"/>
      <c r="AY146" s="634"/>
      <c r="AZ146" s="634"/>
    </row>
    <row r="147" spans="1:52" ht="12.75" customHeight="1">
      <c r="A147" s="626">
        <v>145</v>
      </c>
      <c r="B147" s="627"/>
      <c r="C147" s="697" t="s">
        <v>1076</v>
      </c>
      <c r="D147" s="697"/>
      <c r="E147" s="697"/>
      <c r="F147" s="697"/>
      <c r="G147" s="697"/>
      <c r="H147" s="697"/>
      <c r="I147" s="697"/>
      <c r="J147" s="697"/>
      <c r="K147" s="697"/>
      <c r="L147" s="697"/>
      <c r="M147" s="697"/>
      <c r="N147" s="697"/>
      <c r="O147" s="697"/>
      <c r="P147" s="697"/>
      <c r="Q147" s="697"/>
      <c r="R147" s="697"/>
      <c r="S147" s="697"/>
      <c r="T147" s="697"/>
      <c r="U147" s="697"/>
      <c r="V147" s="691" t="s">
        <v>1070</v>
      </c>
      <c r="W147" s="691"/>
      <c r="X147" s="691"/>
      <c r="Y147" s="671"/>
      <c r="Z147" s="671"/>
      <c r="AA147" s="671"/>
      <c r="AB147" s="671"/>
      <c r="AC147" s="671"/>
      <c r="AD147" s="671"/>
      <c r="AE147" s="671"/>
      <c r="AF147" s="671"/>
      <c r="AG147" s="671"/>
      <c r="AH147" s="671"/>
      <c r="AI147" s="671"/>
      <c r="AJ147" s="671"/>
      <c r="AK147" s="671"/>
      <c r="AL147" s="671"/>
      <c r="AM147" s="671"/>
      <c r="AN147" s="671"/>
      <c r="AO147" s="671"/>
      <c r="AP147" s="671"/>
      <c r="AQ147" s="671"/>
      <c r="AR147" s="671"/>
      <c r="AS147" s="671"/>
      <c r="AT147" s="671"/>
      <c r="AU147" s="671"/>
      <c r="AV147" s="671"/>
      <c r="AW147" s="634"/>
      <c r="AX147" s="634"/>
      <c r="AY147" s="634"/>
      <c r="AZ147" s="634"/>
    </row>
    <row r="148" spans="1:52" ht="12.75" customHeight="1">
      <c r="A148" s="626">
        <v>146</v>
      </c>
      <c r="B148" s="627"/>
      <c r="C148" s="697" t="s">
        <v>1077</v>
      </c>
      <c r="D148" s="697"/>
      <c r="E148" s="697"/>
      <c r="F148" s="697"/>
      <c r="G148" s="697"/>
      <c r="H148" s="697"/>
      <c r="I148" s="697"/>
      <c r="J148" s="697"/>
      <c r="K148" s="697"/>
      <c r="L148" s="697"/>
      <c r="M148" s="697"/>
      <c r="N148" s="697"/>
      <c r="O148" s="697"/>
      <c r="P148" s="697"/>
      <c r="Q148" s="697"/>
      <c r="R148" s="697"/>
      <c r="S148" s="697"/>
      <c r="T148" s="697"/>
      <c r="U148" s="697"/>
      <c r="V148" s="691" t="s">
        <v>1070</v>
      </c>
      <c r="W148" s="691"/>
      <c r="X148" s="691"/>
      <c r="Y148" s="671"/>
      <c r="Z148" s="671"/>
      <c r="AA148" s="671"/>
      <c r="AB148" s="671"/>
      <c r="AC148" s="671"/>
      <c r="AD148" s="671"/>
      <c r="AE148" s="671"/>
      <c r="AF148" s="671"/>
      <c r="AG148" s="671"/>
      <c r="AH148" s="671"/>
      <c r="AI148" s="671"/>
      <c r="AJ148" s="671"/>
      <c r="AK148" s="671"/>
      <c r="AL148" s="671"/>
      <c r="AM148" s="671"/>
      <c r="AN148" s="671"/>
      <c r="AO148" s="671"/>
      <c r="AP148" s="671"/>
      <c r="AQ148" s="671"/>
      <c r="AR148" s="671"/>
      <c r="AS148" s="671"/>
      <c r="AT148" s="671"/>
      <c r="AU148" s="671"/>
      <c r="AV148" s="671"/>
      <c r="AW148" s="634"/>
      <c r="AX148" s="634"/>
      <c r="AY148" s="634"/>
      <c r="AZ148" s="634"/>
    </row>
    <row r="149" spans="1:52" ht="12.75" customHeight="1">
      <c r="A149" s="626">
        <v>147</v>
      </c>
      <c r="B149" s="627"/>
      <c r="C149" s="697" t="s">
        <v>1078</v>
      </c>
      <c r="D149" s="697"/>
      <c r="E149" s="697"/>
      <c r="F149" s="697"/>
      <c r="G149" s="697"/>
      <c r="H149" s="697"/>
      <c r="I149" s="697"/>
      <c r="J149" s="697"/>
      <c r="K149" s="697"/>
      <c r="L149" s="697"/>
      <c r="M149" s="697"/>
      <c r="N149" s="697"/>
      <c r="O149" s="697"/>
      <c r="P149" s="697"/>
      <c r="Q149" s="697"/>
      <c r="R149" s="697"/>
      <c r="S149" s="697"/>
      <c r="T149" s="697"/>
      <c r="U149" s="697"/>
      <c r="V149" s="691" t="s">
        <v>1070</v>
      </c>
      <c r="W149" s="691"/>
      <c r="X149" s="691"/>
      <c r="Y149" s="671"/>
      <c r="Z149" s="671"/>
      <c r="AA149" s="671"/>
      <c r="AB149" s="671"/>
      <c r="AC149" s="671"/>
      <c r="AD149" s="671"/>
      <c r="AE149" s="671"/>
      <c r="AF149" s="671"/>
      <c r="AG149" s="671"/>
      <c r="AH149" s="671"/>
      <c r="AI149" s="671"/>
      <c r="AJ149" s="671"/>
      <c r="AK149" s="671"/>
      <c r="AL149" s="671"/>
      <c r="AM149" s="671"/>
      <c r="AN149" s="671"/>
      <c r="AO149" s="671"/>
      <c r="AP149" s="671"/>
      <c r="AQ149" s="671"/>
      <c r="AR149" s="671"/>
      <c r="AS149" s="671"/>
      <c r="AT149" s="671"/>
      <c r="AU149" s="671"/>
      <c r="AV149" s="671"/>
      <c r="AW149" s="634"/>
      <c r="AX149" s="634"/>
      <c r="AY149" s="634"/>
      <c r="AZ149" s="634"/>
    </row>
    <row r="150" spans="1:52" ht="25.5" customHeight="1">
      <c r="A150" s="626">
        <v>148</v>
      </c>
      <c r="B150" s="627"/>
      <c r="C150" s="697" t="s">
        <v>1079</v>
      </c>
      <c r="D150" s="697"/>
      <c r="E150" s="697"/>
      <c r="F150" s="697"/>
      <c r="G150" s="697"/>
      <c r="H150" s="697"/>
      <c r="I150" s="697"/>
      <c r="J150" s="697"/>
      <c r="K150" s="697"/>
      <c r="L150" s="697"/>
      <c r="M150" s="697"/>
      <c r="N150" s="697"/>
      <c r="O150" s="697"/>
      <c r="P150" s="697"/>
      <c r="Q150" s="697"/>
      <c r="R150" s="697"/>
      <c r="S150" s="697"/>
      <c r="T150" s="697"/>
      <c r="U150" s="697"/>
      <c r="V150" s="691" t="s">
        <v>1070</v>
      </c>
      <c r="W150" s="691"/>
      <c r="X150" s="691"/>
      <c r="Y150" s="671"/>
      <c r="Z150" s="671"/>
      <c r="AA150" s="671"/>
      <c r="AB150" s="671"/>
      <c r="AC150" s="671"/>
      <c r="AD150" s="671"/>
      <c r="AE150" s="671"/>
      <c r="AF150" s="671"/>
      <c r="AG150" s="671"/>
      <c r="AH150" s="671"/>
      <c r="AI150" s="671"/>
      <c r="AJ150" s="671"/>
      <c r="AK150" s="671"/>
      <c r="AL150" s="671"/>
      <c r="AM150" s="671"/>
      <c r="AN150" s="671"/>
      <c r="AO150" s="671"/>
      <c r="AP150" s="671"/>
      <c r="AQ150" s="671"/>
      <c r="AR150" s="671"/>
      <c r="AS150" s="671"/>
      <c r="AT150" s="671"/>
      <c r="AU150" s="671"/>
      <c r="AV150" s="671"/>
      <c r="AW150" s="634"/>
      <c r="AX150" s="634"/>
      <c r="AY150" s="634"/>
      <c r="AZ150" s="634"/>
    </row>
    <row r="151" spans="1:52" ht="12.75" customHeight="1">
      <c r="A151" s="626">
        <v>149</v>
      </c>
      <c r="B151" s="627"/>
      <c r="C151" s="697" t="s">
        <v>1080</v>
      </c>
      <c r="D151" s="697"/>
      <c r="E151" s="697"/>
      <c r="F151" s="697"/>
      <c r="G151" s="697"/>
      <c r="H151" s="697"/>
      <c r="I151" s="697"/>
      <c r="J151" s="697"/>
      <c r="K151" s="697"/>
      <c r="L151" s="697"/>
      <c r="M151" s="697"/>
      <c r="N151" s="697"/>
      <c r="O151" s="697"/>
      <c r="P151" s="697"/>
      <c r="Q151" s="697"/>
      <c r="R151" s="697"/>
      <c r="S151" s="697"/>
      <c r="T151" s="697"/>
      <c r="U151" s="697"/>
      <c r="V151" s="691" t="s">
        <v>1070</v>
      </c>
      <c r="W151" s="691"/>
      <c r="X151" s="691"/>
      <c r="Y151" s="671"/>
      <c r="Z151" s="671"/>
      <c r="AA151" s="671"/>
      <c r="AB151" s="671"/>
      <c r="AC151" s="671"/>
      <c r="AD151" s="671"/>
      <c r="AE151" s="671"/>
      <c r="AF151" s="671"/>
      <c r="AG151" s="671"/>
      <c r="AH151" s="671"/>
      <c r="AI151" s="671"/>
      <c r="AJ151" s="671"/>
      <c r="AK151" s="671"/>
      <c r="AL151" s="671"/>
      <c r="AM151" s="671"/>
      <c r="AN151" s="671"/>
      <c r="AO151" s="671"/>
      <c r="AP151" s="671"/>
      <c r="AQ151" s="671"/>
      <c r="AR151" s="671"/>
      <c r="AS151" s="671"/>
      <c r="AT151" s="671"/>
      <c r="AU151" s="671"/>
      <c r="AV151" s="671"/>
      <c r="AW151" s="634"/>
      <c r="AX151" s="634"/>
      <c r="AY151" s="634"/>
      <c r="AZ151" s="634"/>
    </row>
    <row r="152" spans="1:52" ht="25.5" customHeight="1">
      <c r="A152" s="626">
        <v>150</v>
      </c>
      <c r="B152" s="627"/>
      <c r="C152" s="695" t="s">
        <v>1081</v>
      </c>
      <c r="D152" s="695"/>
      <c r="E152" s="695"/>
      <c r="F152" s="695"/>
      <c r="G152" s="695"/>
      <c r="H152" s="695"/>
      <c r="I152" s="695"/>
      <c r="J152" s="695"/>
      <c r="K152" s="695"/>
      <c r="L152" s="695"/>
      <c r="M152" s="695"/>
      <c r="N152" s="695"/>
      <c r="O152" s="695"/>
      <c r="P152" s="695"/>
      <c r="Q152" s="695"/>
      <c r="R152" s="695"/>
      <c r="S152" s="695"/>
      <c r="T152" s="695"/>
      <c r="U152" s="695"/>
      <c r="V152" s="691" t="s">
        <v>1082</v>
      </c>
      <c r="W152" s="691"/>
      <c r="X152" s="691"/>
      <c r="Y152" s="634"/>
      <c r="Z152" s="634"/>
      <c r="AA152" s="634"/>
      <c r="AB152" s="634"/>
      <c r="AC152" s="634"/>
      <c r="AD152" s="634"/>
      <c r="AE152" s="634"/>
      <c r="AF152" s="634"/>
      <c r="AG152" s="634"/>
      <c r="AH152" s="634"/>
      <c r="AI152" s="634"/>
      <c r="AJ152" s="634"/>
      <c r="AK152" s="634"/>
      <c r="AL152" s="634"/>
      <c r="AM152" s="634"/>
      <c r="AN152" s="634"/>
      <c r="AO152" s="634"/>
      <c r="AP152" s="634"/>
      <c r="AQ152" s="634"/>
      <c r="AR152" s="634"/>
      <c r="AS152" s="634"/>
      <c r="AT152" s="634"/>
      <c r="AU152" s="634"/>
      <c r="AV152" s="634"/>
      <c r="AW152" s="646"/>
      <c r="AX152" s="693"/>
      <c r="AY152" s="693"/>
      <c r="AZ152" s="693"/>
    </row>
    <row r="153" spans="1:52" ht="12.75" customHeight="1">
      <c r="A153" s="626">
        <v>151</v>
      </c>
      <c r="B153" s="627"/>
      <c r="C153" s="697" t="s">
        <v>1071</v>
      </c>
      <c r="D153" s="697"/>
      <c r="E153" s="697"/>
      <c r="F153" s="697"/>
      <c r="G153" s="697"/>
      <c r="H153" s="697"/>
      <c r="I153" s="697"/>
      <c r="J153" s="697"/>
      <c r="K153" s="697"/>
      <c r="L153" s="697"/>
      <c r="M153" s="697"/>
      <c r="N153" s="697"/>
      <c r="O153" s="697"/>
      <c r="P153" s="697"/>
      <c r="Q153" s="697"/>
      <c r="R153" s="697"/>
      <c r="S153" s="697"/>
      <c r="T153" s="697"/>
      <c r="U153" s="697"/>
      <c r="V153" s="691" t="s">
        <v>1082</v>
      </c>
      <c r="W153" s="691"/>
      <c r="X153" s="691"/>
      <c r="Y153" s="671"/>
      <c r="Z153" s="671"/>
      <c r="AA153" s="671"/>
      <c r="AB153" s="671"/>
      <c r="AC153" s="671"/>
      <c r="AD153" s="671"/>
      <c r="AE153" s="671"/>
      <c r="AF153" s="671"/>
      <c r="AG153" s="671"/>
      <c r="AH153" s="671"/>
      <c r="AI153" s="671"/>
      <c r="AJ153" s="671"/>
      <c r="AK153" s="671"/>
      <c r="AL153" s="671"/>
      <c r="AM153" s="671"/>
      <c r="AN153" s="671"/>
      <c r="AO153" s="671"/>
      <c r="AP153" s="671"/>
      <c r="AQ153" s="671"/>
      <c r="AR153" s="671"/>
      <c r="AS153" s="671"/>
      <c r="AT153" s="671"/>
      <c r="AU153" s="671"/>
      <c r="AV153" s="671"/>
      <c r="AW153" s="634"/>
      <c r="AX153" s="634"/>
      <c r="AY153" s="634"/>
      <c r="AZ153" s="634"/>
    </row>
    <row r="154" spans="1:52" ht="12.75" customHeight="1">
      <c r="A154" s="626">
        <v>152</v>
      </c>
      <c r="B154" s="627"/>
      <c r="C154" s="697" t="s">
        <v>1072</v>
      </c>
      <c r="D154" s="697"/>
      <c r="E154" s="697"/>
      <c r="F154" s="697"/>
      <c r="G154" s="697"/>
      <c r="H154" s="697"/>
      <c r="I154" s="697"/>
      <c r="J154" s="697"/>
      <c r="K154" s="697"/>
      <c r="L154" s="697"/>
      <c r="M154" s="697"/>
      <c r="N154" s="697"/>
      <c r="O154" s="697"/>
      <c r="P154" s="697"/>
      <c r="Q154" s="697"/>
      <c r="R154" s="697"/>
      <c r="S154" s="697"/>
      <c r="T154" s="697"/>
      <c r="U154" s="697"/>
      <c r="V154" s="691" t="s">
        <v>1082</v>
      </c>
      <c r="W154" s="691"/>
      <c r="X154" s="691"/>
      <c r="Y154" s="671"/>
      <c r="Z154" s="671"/>
      <c r="AA154" s="671"/>
      <c r="AB154" s="671"/>
      <c r="AC154" s="671"/>
      <c r="AD154" s="671"/>
      <c r="AE154" s="671"/>
      <c r="AF154" s="671"/>
      <c r="AG154" s="671"/>
      <c r="AH154" s="671"/>
      <c r="AI154" s="671"/>
      <c r="AJ154" s="671"/>
      <c r="AK154" s="671"/>
      <c r="AL154" s="671"/>
      <c r="AM154" s="671"/>
      <c r="AN154" s="671"/>
      <c r="AO154" s="671"/>
      <c r="AP154" s="671"/>
      <c r="AQ154" s="671"/>
      <c r="AR154" s="671"/>
      <c r="AS154" s="671"/>
      <c r="AT154" s="671"/>
      <c r="AU154" s="671"/>
      <c r="AV154" s="671"/>
      <c r="AW154" s="634"/>
      <c r="AX154" s="634"/>
      <c r="AY154" s="634"/>
      <c r="AZ154" s="634"/>
    </row>
    <row r="155" spans="1:52" ht="25.5" customHeight="1">
      <c r="A155" s="626">
        <v>153</v>
      </c>
      <c r="B155" s="627"/>
      <c r="C155" s="697" t="s">
        <v>1073</v>
      </c>
      <c r="D155" s="697"/>
      <c r="E155" s="697"/>
      <c r="F155" s="697"/>
      <c r="G155" s="697"/>
      <c r="H155" s="697"/>
      <c r="I155" s="697"/>
      <c r="J155" s="697"/>
      <c r="K155" s="697"/>
      <c r="L155" s="697"/>
      <c r="M155" s="697"/>
      <c r="N155" s="697"/>
      <c r="O155" s="697"/>
      <c r="P155" s="697"/>
      <c r="Q155" s="697"/>
      <c r="R155" s="697"/>
      <c r="S155" s="697"/>
      <c r="T155" s="697"/>
      <c r="U155" s="697"/>
      <c r="V155" s="691" t="s">
        <v>1082</v>
      </c>
      <c r="W155" s="691"/>
      <c r="X155" s="691"/>
      <c r="Y155" s="671"/>
      <c r="Z155" s="671"/>
      <c r="AA155" s="671"/>
      <c r="AB155" s="671"/>
      <c r="AC155" s="671"/>
      <c r="AD155" s="671"/>
      <c r="AE155" s="671"/>
      <c r="AF155" s="671"/>
      <c r="AG155" s="671"/>
      <c r="AH155" s="671"/>
      <c r="AI155" s="671"/>
      <c r="AJ155" s="671"/>
      <c r="AK155" s="671"/>
      <c r="AL155" s="671"/>
      <c r="AM155" s="671"/>
      <c r="AN155" s="671"/>
      <c r="AO155" s="671"/>
      <c r="AP155" s="671"/>
      <c r="AQ155" s="671"/>
      <c r="AR155" s="671"/>
      <c r="AS155" s="671"/>
      <c r="AT155" s="671"/>
      <c r="AU155" s="671"/>
      <c r="AV155" s="671"/>
      <c r="AW155" s="634"/>
      <c r="AX155" s="634"/>
      <c r="AY155" s="634"/>
      <c r="AZ155" s="634"/>
    </row>
    <row r="156" spans="1:52" ht="12.75" customHeight="1">
      <c r="A156" s="626">
        <v>154</v>
      </c>
      <c r="B156" s="627"/>
      <c r="C156" s="697" t="s">
        <v>1074</v>
      </c>
      <c r="D156" s="697"/>
      <c r="E156" s="697"/>
      <c r="F156" s="697"/>
      <c r="G156" s="697"/>
      <c r="H156" s="697"/>
      <c r="I156" s="697"/>
      <c r="J156" s="697"/>
      <c r="K156" s="697"/>
      <c r="L156" s="697"/>
      <c r="M156" s="697"/>
      <c r="N156" s="697"/>
      <c r="O156" s="697"/>
      <c r="P156" s="697"/>
      <c r="Q156" s="697"/>
      <c r="R156" s="697"/>
      <c r="S156" s="697"/>
      <c r="T156" s="697"/>
      <c r="U156" s="697"/>
      <c r="V156" s="691" t="s">
        <v>1082</v>
      </c>
      <c r="W156" s="691"/>
      <c r="X156" s="691"/>
      <c r="Y156" s="671"/>
      <c r="Z156" s="671"/>
      <c r="AA156" s="671"/>
      <c r="AB156" s="671"/>
      <c r="AC156" s="671"/>
      <c r="AD156" s="671"/>
      <c r="AE156" s="671"/>
      <c r="AF156" s="671"/>
      <c r="AG156" s="671"/>
      <c r="AH156" s="671"/>
      <c r="AI156" s="671"/>
      <c r="AJ156" s="671"/>
      <c r="AK156" s="671"/>
      <c r="AL156" s="671"/>
      <c r="AM156" s="671"/>
      <c r="AN156" s="671"/>
      <c r="AO156" s="671"/>
      <c r="AP156" s="671"/>
      <c r="AQ156" s="671"/>
      <c r="AR156" s="671"/>
      <c r="AS156" s="671"/>
      <c r="AT156" s="671"/>
      <c r="AU156" s="671"/>
      <c r="AV156" s="671"/>
      <c r="AW156" s="634"/>
      <c r="AX156" s="634"/>
      <c r="AY156" s="634"/>
      <c r="AZ156" s="634"/>
    </row>
    <row r="157" spans="1:52" ht="12.75" customHeight="1">
      <c r="A157" s="626">
        <v>155</v>
      </c>
      <c r="B157" s="627"/>
      <c r="C157" s="697" t="s">
        <v>1075</v>
      </c>
      <c r="D157" s="697"/>
      <c r="E157" s="697"/>
      <c r="F157" s="697"/>
      <c r="G157" s="697"/>
      <c r="H157" s="697"/>
      <c r="I157" s="697"/>
      <c r="J157" s="697"/>
      <c r="K157" s="697"/>
      <c r="L157" s="697"/>
      <c r="M157" s="697"/>
      <c r="N157" s="697"/>
      <c r="O157" s="697"/>
      <c r="P157" s="697"/>
      <c r="Q157" s="697"/>
      <c r="R157" s="697"/>
      <c r="S157" s="697"/>
      <c r="T157" s="697"/>
      <c r="U157" s="697"/>
      <c r="V157" s="691" t="s">
        <v>1082</v>
      </c>
      <c r="W157" s="691"/>
      <c r="X157" s="691"/>
      <c r="Y157" s="671"/>
      <c r="Z157" s="671"/>
      <c r="AA157" s="671"/>
      <c r="AB157" s="671"/>
      <c r="AC157" s="671"/>
      <c r="AD157" s="671"/>
      <c r="AE157" s="671"/>
      <c r="AF157" s="671"/>
      <c r="AG157" s="671"/>
      <c r="AH157" s="671"/>
      <c r="AI157" s="671"/>
      <c r="AJ157" s="671"/>
      <c r="AK157" s="671"/>
      <c r="AL157" s="671"/>
      <c r="AM157" s="671"/>
      <c r="AN157" s="671"/>
      <c r="AO157" s="671"/>
      <c r="AP157" s="671"/>
      <c r="AQ157" s="671"/>
      <c r="AR157" s="671"/>
      <c r="AS157" s="671"/>
      <c r="AT157" s="671"/>
      <c r="AU157" s="671"/>
      <c r="AV157" s="671"/>
      <c r="AW157" s="634"/>
      <c r="AX157" s="634"/>
      <c r="AY157" s="634"/>
      <c r="AZ157" s="634"/>
    </row>
    <row r="158" spans="1:52" ht="12.75" customHeight="1">
      <c r="A158" s="626">
        <v>156</v>
      </c>
      <c r="B158" s="627"/>
      <c r="C158" s="697" t="s">
        <v>1076</v>
      </c>
      <c r="D158" s="697"/>
      <c r="E158" s="697"/>
      <c r="F158" s="697"/>
      <c r="G158" s="697"/>
      <c r="H158" s="697"/>
      <c r="I158" s="697"/>
      <c r="J158" s="697"/>
      <c r="K158" s="697"/>
      <c r="L158" s="697"/>
      <c r="M158" s="697"/>
      <c r="N158" s="697"/>
      <c r="O158" s="697"/>
      <c r="P158" s="697"/>
      <c r="Q158" s="697"/>
      <c r="R158" s="697"/>
      <c r="S158" s="697"/>
      <c r="T158" s="697"/>
      <c r="U158" s="697"/>
      <c r="V158" s="691" t="s">
        <v>1082</v>
      </c>
      <c r="W158" s="691"/>
      <c r="X158" s="691"/>
      <c r="Y158" s="671"/>
      <c r="Z158" s="671"/>
      <c r="AA158" s="671"/>
      <c r="AB158" s="671"/>
      <c r="AC158" s="671"/>
      <c r="AD158" s="671"/>
      <c r="AE158" s="671"/>
      <c r="AF158" s="671"/>
      <c r="AG158" s="671"/>
      <c r="AH158" s="671"/>
      <c r="AI158" s="671"/>
      <c r="AJ158" s="671"/>
      <c r="AK158" s="671"/>
      <c r="AL158" s="671"/>
      <c r="AM158" s="671"/>
      <c r="AN158" s="671"/>
      <c r="AO158" s="671"/>
      <c r="AP158" s="671"/>
      <c r="AQ158" s="671"/>
      <c r="AR158" s="671"/>
      <c r="AS158" s="671"/>
      <c r="AT158" s="671"/>
      <c r="AU158" s="671"/>
      <c r="AV158" s="671"/>
      <c r="AW158" s="634"/>
      <c r="AX158" s="634"/>
      <c r="AY158" s="634"/>
      <c r="AZ158" s="634"/>
    </row>
    <row r="159" spans="1:52" ht="12.75" customHeight="1">
      <c r="A159" s="626">
        <v>157</v>
      </c>
      <c r="B159" s="627"/>
      <c r="C159" s="697" t="s">
        <v>1077</v>
      </c>
      <c r="D159" s="697"/>
      <c r="E159" s="697"/>
      <c r="F159" s="697"/>
      <c r="G159" s="697"/>
      <c r="H159" s="697"/>
      <c r="I159" s="697"/>
      <c r="J159" s="697"/>
      <c r="K159" s="697"/>
      <c r="L159" s="697"/>
      <c r="M159" s="697"/>
      <c r="N159" s="697"/>
      <c r="O159" s="697"/>
      <c r="P159" s="697"/>
      <c r="Q159" s="697"/>
      <c r="R159" s="697"/>
      <c r="S159" s="697"/>
      <c r="T159" s="697"/>
      <c r="U159" s="697"/>
      <c r="V159" s="691" t="s">
        <v>1082</v>
      </c>
      <c r="W159" s="691"/>
      <c r="X159" s="691"/>
      <c r="Y159" s="671"/>
      <c r="Z159" s="671"/>
      <c r="AA159" s="671"/>
      <c r="AB159" s="671"/>
      <c r="AC159" s="671"/>
      <c r="AD159" s="671"/>
      <c r="AE159" s="671"/>
      <c r="AF159" s="671"/>
      <c r="AG159" s="671"/>
      <c r="AH159" s="671"/>
      <c r="AI159" s="671"/>
      <c r="AJ159" s="671"/>
      <c r="AK159" s="671"/>
      <c r="AL159" s="671"/>
      <c r="AM159" s="671"/>
      <c r="AN159" s="671"/>
      <c r="AO159" s="671"/>
      <c r="AP159" s="671"/>
      <c r="AQ159" s="671"/>
      <c r="AR159" s="671"/>
      <c r="AS159" s="671"/>
      <c r="AT159" s="671"/>
      <c r="AU159" s="671"/>
      <c r="AV159" s="671"/>
      <c r="AW159" s="634"/>
      <c r="AX159" s="634"/>
      <c r="AY159" s="634"/>
      <c r="AZ159" s="634"/>
    </row>
    <row r="160" spans="1:52" ht="12.75" customHeight="1">
      <c r="A160" s="626">
        <v>158</v>
      </c>
      <c r="B160" s="627"/>
      <c r="C160" s="697" t="s">
        <v>1078</v>
      </c>
      <c r="D160" s="697"/>
      <c r="E160" s="697"/>
      <c r="F160" s="697"/>
      <c r="G160" s="697"/>
      <c r="H160" s="697"/>
      <c r="I160" s="697"/>
      <c r="J160" s="697"/>
      <c r="K160" s="697"/>
      <c r="L160" s="697"/>
      <c r="M160" s="697"/>
      <c r="N160" s="697"/>
      <c r="O160" s="697"/>
      <c r="P160" s="697"/>
      <c r="Q160" s="697"/>
      <c r="R160" s="697"/>
      <c r="S160" s="697"/>
      <c r="T160" s="697"/>
      <c r="U160" s="697"/>
      <c r="V160" s="691" t="s">
        <v>1082</v>
      </c>
      <c r="W160" s="691"/>
      <c r="X160" s="691"/>
      <c r="Y160" s="671"/>
      <c r="Z160" s="671"/>
      <c r="AA160" s="671"/>
      <c r="AB160" s="671"/>
      <c r="AC160" s="671"/>
      <c r="AD160" s="671"/>
      <c r="AE160" s="671"/>
      <c r="AF160" s="671"/>
      <c r="AG160" s="671"/>
      <c r="AH160" s="671"/>
      <c r="AI160" s="671"/>
      <c r="AJ160" s="671"/>
      <c r="AK160" s="671"/>
      <c r="AL160" s="671"/>
      <c r="AM160" s="671"/>
      <c r="AN160" s="671"/>
      <c r="AO160" s="671"/>
      <c r="AP160" s="671"/>
      <c r="AQ160" s="671"/>
      <c r="AR160" s="671"/>
      <c r="AS160" s="671"/>
      <c r="AT160" s="671"/>
      <c r="AU160" s="671"/>
      <c r="AV160" s="671"/>
      <c r="AW160" s="634"/>
      <c r="AX160" s="634"/>
      <c r="AY160" s="634"/>
      <c r="AZ160" s="634"/>
    </row>
    <row r="161" spans="1:52" ht="25.5" customHeight="1">
      <c r="A161" s="626">
        <v>159</v>
      </c>
      <c r="B161" s="627"/>
      <c r="C161" s="697" t="s">
        <v>1079</v>
      </c>
      <c r="D161" s="697"/>
      <c r="E161" s="697"/>
      <c r="F161" s="697"/>
      <c r="G161" s="697"/>
      <c r="H161" s="697"/>
      <c r="I161" s="697"/>
      <c r="J161" s="697"/>
      <c r="K161" s="697"/>
      <c r="L161" s="697"/>
      <c r="M161" s="697"/>
      <c r="N161" s="697"/>
      <c r="O161" s="697"/>
      <c r="P161" s="697"/>
      <c r="Q161" s="697"/>
      <c r="R161" s="697"/>
      <c r="S161" s="697"/>
      <c r="T161" s="697"/>
      <c r="U161" s="697"/>
      <c r="V161" s="691" t="s">
        <v>1082</v>
      </c>
      <c r="W161" s="691"/>
      <c r="X161" s="691"/>
      <c r="Y161" s="671"/>
      <c r="Z161" s="671"/>
      <c r="AA161" s="671"/>
      <c r="AB161" s="671"/>
      <c r="AC161" s="671"/>
      <c r="AD161" s="671"/>
      <c r="AE161" s="671"/>
      <c r="AF161" s="671"/>
      <c r="AG161" s="671"/>
      <c r="AH161" s="671"/>
      <c r="AI161" s="671"/>
      <c r="AJ161" s="671"/>
      <c r="AK161" s="671"/>
      <c r="AL161" s="671"/>
      <c r="AM161" s="671"/>
      <c r="AN161" s="671"/>
      <c r="AO161" s="671"/>
      <c r="AP161" s="671"/>
      <c r="AQ161" s="671"/>
      <c r="AR161" s="671"/>
      <c r="AS161" s="671"/>
      <c r="AT161" s="671"/>
      <c r="AU161" s="671"/>
      <c r="AV161" s="671"/>
      <c r="AW161" s="634"/>
      <c r="AX161" s="634"/>
      <c r="AY161" s="634"/>
      <c r="AZ161" s="634"/>
    </row>
    <row r="162" spans="1:52" ht="12.75" customHeight="1">
      <c r="A162" s="626">
        <v>160</v>
      </c>
      <c r="B162" s="627"/>
      <c r="C162" s="697" t="s">
        <v>1080</v>
      </c>
      <c r="D162" s="697"/>
      <c r="E162" s="697"/>
      <c r="F162" s="697"/>
      <c r="G162" s="697"/>
      <c r="H162" s="697"/>
      <c r="I162" s="697"/>
      <c r="J162" s="697"/>
      <c r="K162" s="697"/>
      <c r="L162" s="697"/>
      <c r="M162" s="697"/>
      <c r="N162" s="697"/>
      <c r="O162" s="697"/>
      <c r="P162" s="697"/>
      <c r="Q162" s="697"/>
      <c r="R162" s="697"/>
      <c r="S162" s="697"/>
      <c r="T162" s="697"/>
      <c r="U162" s="697"/>
      <c r="V162" s="691" t="s">
        <v>1082</v>
      </c>
      <c r="W162" s="691"/>
      <c r="X162" s="691"/>
      <c r="Y162" s="671"/>
      <c r="Z162" s="671"/>
      <c r="AA162" s="671"/>
      <c r="AB162" s="671"/>
      <c r="AC162" s="671"/>
      <c r="AD162" s="671"/>
      <c r="AE162" s="671"/>
      <c r="AF162" s="671"/>
      <c r="AG162" s="671"/>
      <c r="AH162" s="671"/>
      <c r="AI162" s="671"/>
      <c r="AJ162" s="671"/>
      <c r="AK162" s="671"/>
      <c r="AL162" s="671"/>
      <c r="AM162" s="671"/>
      <c r="AN162" s="671"/>
      <c r="AO162" s="671"/>
      <c r="AP162" s="671"/>
      <c r="AQ162" s="671"/>
      <c r="AR162" s="671"/>
      <c r="AS162" s="671"/>
      <c r="AT162" s="671"/>
      <c r="AU162" s="671"/>
      <c r="AV162" s="671"/>
      <c r="AW162" s="634"/>
      <c r="AX162" s="634"/>
      <c r="AY162" s="634"/>
      <c r="AZ162" s="634"/>
    </row>
    <row r="163" spans="1:52" ht="25.5" customHeight="1">
      <c r="A163" s="626">
        <v>161</v>
      </c>
      <c r="B163" s="627"/>
      <c r="C163" s="695" t="s">
        <v>1083</v>
      </c>
      <c r="D163" s="695"/>
      <c r="E163" s="695"/>
      <c r="F163" s="695"/>
      <c r="G163" s="695"/>
      <c r="H163" s="695"/>
      <c r="I163" s="695"/>
      <c r="J163" s="695"/>
      <c r="K163" s="695"/>
      <c r="L163" s="695"/>
      <c r="M163" s="695"/>
      <c r="N163" s="695"/>
      <c r="O163" s="695"/>
      <c r="P163" s="695"/>
      <c r="Q163" s="695"/>
      <c r="R163" s="695"/>
      <c r="S163" s="695"/>
      <c r="T163" s="695"/>
      <c r="U163" s="695"/>
      <c r="V163" s="691" t="s">
        <v>1084</v>
      </c>
      <c r="W163" s="691"/>
      <c r="X163" s="691"/>
      <c r="Y163" s="634"/>
      <c r="Z163" s="634"/>
      <c r="AA163" s="634"/>
      <c r="AB163" s="634"/>
      <c r="AC163" s="634"/>
      <c r="AD163" s="634"/>
      <c r="AE163" s="634"/>
      <c r="AF163" s="634"/>
      <c r="AG163" s="634"/>
      <c r="AH163" s="634"/>
      <c r="AI163" s="634"/>
      <c r="AJ163" s="634"/>
      <c r="AK163" s="634"/>
      <c r="AL163" s="634"/>
      <c r="AM163" s="634"/>
      <c r="AN163" s="634"/>
      <c r="AO163" s="634"/>
      <c r="AP163" s="634"/>
      <c r="AQ163" s="634"/>
      <c r="AR163" s="634"/>
      <c r="AS163" s="634"/>
      <c r="AT163" s="634"/>
      <c r="AU163" s="634"/>
      <c r="AV163" s="634"/>
      <c r="AW163" s="646"/>
      <c r="AX163" s="693"/>
      <c r="AY163" s="693"/>
      <c r="AZ163" s="693"/>
    </row>
    <row r="164" spans="1:52" ht="12.75" customHeight="1">
      <c r="A164" s="626">
        <v>162</v>
      </c>
      <c r="B164" s="627"/>
      <c r="C164" s="697" t="s">
        <v>1071</v>
      </c>
      <c r="D164" s="697"/>
      <c r="E164" s="697"/>
      <c r="F164" s="697"/>
      <c r="G164" s="697"/>
      <c r="H164" s="697"/>
      <c r="I164" s="697"/>
      <c r="J164" s="697"/>
      <c r="K164" s="697"/>
      <c r="L164" s="697"/>
      <c r="M164" s="697"/>
      <c r="N164" s="697"/>
      <c r="O164" s="697"/>
      <c r="P164" s="697"/>
      <c r="Q164" s="697"/>
      <c r="R164" s="697"/>
      <c r="S164" s="697"/>
      <c r="T164" s="697"/>
      <c r="U164" s="697"/>
      <c r="V164" s="691" t="s">
        <v>1084</v>
      </c>
      <c r="W164" s="691"/>
      <c r="X164" s="691"/>
      <c r="Y164" s="671"/>
      <c r="Z164" s="671"/>
      <c r="AA164" s="671"/>
      <c r="AB164" s="671"/>
      <c r="AC164" s="671"/>
      <c r="AD164" s="671"/>
      <c r="AE164" s="671"/>
      <c r="AF164" s="671"/>
      <c r="AG164" s="671"/>
      <c r="AH164" s="671"/>
      <c r="AI164" s="671"/>
      <c r="AJ164" s="671"/>
      <c r="AK164" s="671"/>
      <c r="AL164" s="671"/>
      <c r="AM164" s="671"/>
      <c r="AN164" s="671"/>
      <c r="AO164" s="671"/>
      <c r="AP164" s="671"/>
      <c r="AQ164" s="671"/>
      <c r="AR164" s="671"/>
      <c r="AS164" s="671"/>
      <c r="AT164" s="671"/>
      <c r="AU164" s="671"/>
      <c r="AV164" s="671"/>
      <c r="AW164" s="634"/>
      <c r="AX164" s="634"/>
      <c r="AY164" s="634"/>
      <c r="AZ164" s="634"/>
    </row>
    <row r="165" spans="1:52" ht="12.75" customHeight="1">
      <c r="A165" s="626">
        <v>163</v>
      </c>
      <c r="B165" s="627"/>
      <c r="C165" s="697" t="s">
        <v>1072</v>
      </c>
      <c r="D165" s="697"/>
      <c r="E165" s="697"/>
      <c r="F165" s="697"/>
      <c r="G165" s="697"/>
      <c r="H165" s="697"/>
      <c r="I165" s="697"/>
      <c r="J165" s="697"/>
      <c r="K165" s="697"/>
      <c r="L165" s="697"/>
      <c r="M165" s="697"/>
      <c r="N165" s="697"/>
      <c r="O165" s="697"/>
      <c r="P165" s="697"/>
      <c r="Q165" s="697"/>
      <c r="R165" s="697"/>
      <c r="S165" s="697"/>
      <c r="T165" s="697"/>
      <c r="U165" s="697"/>
      <c r="V165" s="691" t="s">
        <v>1084</v>
      </c>
      <c r="W165" s="691"/>
      <c r="X165" s="691"/>
      <c r="Y165" s="671"/>
      <c r="Z165" s="671"/>
      <c r="AA165" s="671"/>
      <c r="AB165" s="671"/>
      <c r="AC165" s="671"/>
      <c r="AD165" s="671"/>
      <c r="AE165" s="671"/>
      <c r="AF165" s="671"/>
      <c r="AG165" s="671"/>
      <c r="AH165" s="671"/>
      <c r="AI165" s="671"/>
      <c r="AJ165" s="671"/>
      <c r="AK165" s="671"/>
      <c r="AL165" s="671"/>
      <c r="AM165" s="671"/>
      <c r="AN165" s="671"/>
      <c r="AO165" s="671"/>
      <c r="AP165" s="671"/>
      <c r="AQ165" s="671"/>
      <c r="AR165" s="671"/>
      <c r="AS165" s="671"/>
      <c r="AT165" s="671"/>
      <c r="AU165" s="671"/>
      <c r="AV165" s="671"/>
      <c r="AW165" s="634"/>
      <c r="AX165" s="634"/>
      <c r="AY165" s="634"/>
      <c r="AZ165" s="634"/>
    </row>
    <row r="166" spans="1:52" ht="25.5" customHeight="1">
      <c r="A166" s="626">
        <v>164</v>
      </c>
      <c r="B166" s="627"/>
      <c r="C166" s="697" t="s">
        <v>1073</v>
      </c>
      <c r="D166" s="697"/>
      <c r="E166" s="697"/>
      <c r="F166" s="697"/>
      <c r="G166" s="697"/>
      <c r="H166" s="697"/>
      <c r="I166" s="697"/>
      <c r="J166" s="697"/>
      <c r="K166" s="697"/>
      <c r="L166" s="697"/>
      <c r="M166" s="697"/>
      <c r="N166" s="697"/>
      <c r="O166" s="697"/>
      <c r="P166" s="697"/>
      <c r="Q166" s="697"/>
      <c r="R166" s="697"/>
      <c r="S166" s="697"/>
      <c r="T166" s="697"/>
      <c r="U166" s="697"/>
      <c r="V166" s="691" t="s">
        <v>1084</v>
      </c>
      <c r="W166" s="691"/>
      <c r="X166" s="691"/>
      <c r="Y166" s="671"/>
      <c r="Z166" s="671"/>
      <c r="AA166" s="671"/>
      <c r="AB166" s="671"/>
      <c r="AC166" s="671"/>
      <c r="AD166" s="671"/>
      <c r="AE166" s="671"/>
      <c r="AF166" s="671"/>
      <c r="AG166" s="671"/>
      <c r="AH166" s="671"/>
      <c r="AI166" s="671"/>
      <c r="AJ166" s="671"/>
      <c r="AK166" s="671"/>
      <c r="AL166" s="671"/>
      <c r="AM166" s="671"/>
      <c r="AN166" s="671"/>
      <c r="AO166" s="671"/>
      <c r="AP166" s="671"/>
      <c r="AQ166" s="671"/>
      <c r="AR166" s="671"/>
      <c r="AS166" s="671"/>
      <c r="AT166" s="671"/>
      <c r="AU166" s="671"/>
      <c r="AV166" s="671"/>
      <c r="AW166" s="634"/>
      <c r="AX166" s="634"/>
      <c r="AY166" s="634"/>
      <c r="AZ166" s="634"/>
    </row>
    <row r="167" spans="1:52" ht="12.75" customHeight="1">
      <c r="A167" s="626">
        <v>165</v>
      </c>
      <c r="B167" s="627"/>
      <c r="C167" s="697" t="s">
        <v>1074</v>
      </c>
      <c r="D167" s="697"/>
      <c r="E167" s="697"/>
      <c r="F167" s="697"/>
      <c r="G167" s="697"/>
      <c r="H167" s="697"/>
      <c r="I167" s="697"/>
      <c r="J167" s="697"/>
      <c r="K167" s="697"/>
      <c r="L167" s="697"/>
      <c r="M167" s="697"/>
      <c r="N167" s="697"/>
      <c r="O167" s="697"/>
      <c r="P167" s="697"/>
      <c r="Q167" s="697"/>
      <c r="R167" s="697"/>
      <c r="S167" s="697"/>
      <c r="T167" s="697"/>
      <c r="U167" s="697"/>
      <c r="V167" s="691" t="s">
        <v>1084</v>
      </c>
      <c r="W167" s="691"/>
      <c r="X167" s="691"/>
      <c r="Y167" s="671"/>
      <c r="Z167" s="671"/>
      <c r="AA167" s="671"/>
      <c r="AB167" s="671"/>
      <c r="AC167" s="671"/>
      <c r="AD167" s="671"/>
      <c r="AE167" s="671"/>
      <c r="AF167" s="671"/>
      <c r="AG167" s="671"/>
      <c r="AH167" s="671"/>
      <c r="AI167" s="671"/>
      <c r="AJ167" s="671"/>
      <c r="AK167" s="671"/>
      <c r="AL167" s="671"/>
      <c r="AM167" s="671"/>
      <c r="AN167" s="671"/>
      <c r="AO167" s="671"/>
      <c r="AP167" s="671"/>
      <c r="AQ167" s="671"/>
      <c r="AR167" s="671"/>
      <c r="AS167" s="671"/>
      <c r="AT167" s="671"/>
      <c r="AU167" s="671"/>
      <c r="AV167" s="671"/>
      <c r="AW167" s="634"/>
      <c r="AX167" s="634"/>
      <c r="AY167" s="634"/>
      <c r="AZ167" s="634"/>
    </row>
    <row r="168" spans="1:52" ht="12.75" customHeight="1">
      <c r="A168" s="626">
        <v>166</v>
      </c>
      <c r="B168" s="627"/>
      <c r="C168" s="697" t="s">
        <v>1075</v>
      </c>
      <c r="D168" s="697"/>
      <c r="E168" s="697"/>
      <c r="F168" s="697"/>
      <c r="G168" s="697"/>
      <c r="H168" s="697"/>
      <c r="I168" s="697"/>
      <c r="J168" s="697"/>
      <c r="K168" s="697"/>
      <c r="L168" s="697"/>
      <c r="M168" s="697"/>
      <c r="N168" s="697"/>
      <c r="O168" s="697"/>
      <c r="P168" s="697"/>
      <c r="Q168" s="697"/>
      <c r="R168" s="697"/>
      <c r="S168" s="697"/>
      <c r="T168" s="697"/>
      <c r="U168" s="697"/>
      <c r="V168" s="691" t="s">
        <v>1084</v>
      </c>
      <c r="W168" s="691"/>
      <c r="X168" s="691"/>
      <c r="Y168" s="671"/>
      <c r="Z168" s="671"/>
      <c r="AA168" s="671"/>
      <c r="AB168" s="671"/>
      <c r="AC168" s="671"/>
      <c r="AD168" s="671"/>
      <c r="AE168" s="671"/>
      <c r="AF168" s="671"/>
      <c r="AG168" s="671"/>
      <c r="AH168" s="671"/>
      <c r="AI168" s="671"/>
      <c r="AJ168" s="671"/>
      <c r="AK168" s="671"/>
      <c r="AL168" s="671"/>
      <c r="AM168" s="671"/>
      <c r="AN168" s="671"/>
      <c r="AO168" s="671"/>
      <c r="AP168" s="671"/>
      <c r="AQ168" s="671"/>
      <c r="AR168" s="671"/>
      <c r="AS168" s="671"/>
      <c r="AT168" s="671"/>
      <c r="AU168" s="671"/>
      <c r="AV168" s="671"/>
      <c r="AW168" s="634"/>
      <c r="AX168" s="634"/>
      <c r="AY168" s="634"/>
      <c r="AZ168" s="634"/>
    </row>
    <row r="169" spans="1:52" ht="12.75" customHeight="1">
      <c r="A169" s="626">
        <v>167</v>
      </c>
      <c r="B169" s="627"/>
      <c r="C169" s="697" t="s">
        <v>1076</v>
      </c>
      <c r="D169" s="697"/>
      <c r="E169" s="697"/>
      <c r="F169" s="697"/>
      <c r="G169" s="697"/>
      <c r="H169" s="697"/>
      <c r="I169" s="697"/>
      <c r="J169" s="697"/>
      <c r="K169" s="697"/>
      <c r="L169" s="697"/>
      <c r="M169" s="697"/>
      <c r="N169" s="697"/>
      <c r="O169" s="697"/>
      <c r="P169" s="697"/>
      <c r="Q169" s="697"/>
      <c r="R169" s="697"/>
      <c r="S169" s="697"/>
      <c r="T169" s="697"/>
      <c r="U169" s="697"/>
      <c r="V169" s="691" t="s">
        <v>1084</v>
      </c>
      <c r="W169" s="691"/>
      <c r="X169" s="691"/>
      <c r="Y169" s="671"/>
      <c r="Z169" s="671"/>
      <c r="AA169" s="671"/>
      <c r="AB169" s="671"/>
      <c r="AC169" s="671"/>
      <c r="AD169" s="671"/>
      <c r="AE169" s="671"/>
      <c r="AF169" s="671"/>
      <c r="AG169" s="671"/>
      <c r="AH169" s="671"/>
      <c r="AI169" s="671"/>
      <c r="AJ169" s="671"/>
      <c r="AK169" s="671"/>
      <c r="AL169" s="671"/>
      <c r="AM169" s="671"/>
      <c r="AN169" s="671"/>
      <c r="AO169" s="671"/>
      <c r="AP169" s="671"/>
      <c r="AQ169" s="671"/>
      <c r="AR169" s="671"/>
      <c r="AS169" s="671"/>
      <c r="AT169" s="671"/>
      <c r="AU169" s="671"/>
      <c r="AV169" s="671"/>
      <c r="AW169" s="634"/>
      <c r="AX169" s="634"/>
      <c r="AY169" s="634"/>
      <c r="AZ169" s="634"/>
    </row>
    <row r="170" spans="1:52" ht="12.75" customHeight="1">
      <c r="A170" s="626">
        <v>168</v>
      </c>
      <c r="B170" s="627"/>
      <c r="C170" s="697" t="s">
        <v>1077</v>
      </c>
      <c r="D170" s="697"/>
      <c r="E170" s="697"/>
      <c r="F170" s="697"/>
      <c r="G170" s="697"/>
      <c r="H170" s="697"/>
      <c r="I170" s="697"/>
      <c r="J170" s="697"/>
      <c r="K170" s="697"/>
      <c r="L170" s="697"/>
      <c r="M170" s="697"/>
      <c r="N170" s="697"/>
      <c r="O170" s="697"/>
      <c r="P170" s="697"/>
      <c r="Q170" s="697"/>
      <c r="R170" s="697"/>
      <c r="S170" s="697"/>
      <c r="T170" s="697"/>
      <c r="U170" s="697"/>
      <c r="V170" s="691" t="s">
        <v>1084</v>
      </c>
      <c r="W170" s="691"/>
      <c r="X170" s="691"/>
      <c r="Y170" s="671"/>
      <c r="Z170" s="671"/>
      <c r="AA170" s="671"/>
      <c r="AB170" s="671"/>
      <c r="AC170" s="671"/>
      <c r="AD170" s="671"/>
      <c r="AE170" s="671"/>
      <c r="AF170" s="671"/>
      <c r="AG170" s="671"/>
      <c r="AH170" s="671"/>
      <c r="AI170" s="671"/>
      <c r="AJ170" s="671"/>
      <c r="AK170" s="671"/>
      <c r="AL170" s="671"/>
      <c r="AM170" s="671"/>
      <c r="AN170" s="671"/>
      <c r="AO170" s="671"/>
      <c r="AP170" s="671"/>
      <c r="AQ170" s="671"/>
      <c r="AR170" s="671"/>
      <c r="AS170" s="671"/>
      <c r="AT170" s="671"/>
      <c r="AU170" s="671"/>
      <c r="AV170" s="671"/>
      <c r="AW170" s="634"/>
      <c r="AX170" s="634"/>
      <c r="AY170" s="634"/>
      <c r="AZ170" s="634"/>
    </row>
    <row r="171" spans="1:52" ht="12.75" customHeight="1">
      <c r="A171" s="626">
        <v>169</v>
      </c>
      <c r="B171" s="627"/>
      <c r="C171" s="697" t="s">
        <v>1078</v>
      </c>
      <c r="D171" s="697"/>
      <c r="E171" s="697"/>
      <c r="F171" s="697"/>
      <c r="G171" s="697"/>
      <c r="H171" s="697"/>
      <c r="I171" s="697"/>
      <c r="J171" s="697"/>
      <c r="K171" s="697"/>
      <c r="L171" s="697"/>
      <c r="M171" s="697"/>
      <c r="N171" s="697"/>
      <c r="O171" s="697"/>
      <c r="P171" s="697"/>
      <c r="Q171" s="697"/>
      <c r="R171" s="697"/>
      <c r="S171" s="697"/>
      <c r="T171" s="697"/>
      <c r="U171" s="697"/>
      <c r="V171" s="691" t="s">
        <v>1084</v>
      </c>
      <c r="W171" s="691"/>
      <c r="X171" s="691"/>
      <c r="Y171" s="671"/>
      <c r="Z171" s="671"/>
      <c r="AA171" s="671"/>
      <c r="AB171" s="671"/>
      <c r="AC171" s="671"/>
      <c r="AD171" s="671"/>
      <c r="AE171" s="671"/>
      <c r="AF171" s="671"/>
      <c r="AG171" s="671"/>
      <c r="AH171" s="671"/>
      <c r="AI171" s="671"/>
      <c r="AJ171" s="671"/>
      <c r="AK171" s="671"/>
      <c r="AL171" s="671"/>
      <c r="AM171" s="671"/>
      <c r="AN171" s="671"/>
      <c r="AO171" s="671"/>
      <c r="AP171" s="671"/>
      <c r="AQ171" s="671"/>
      <c r="AR171" s="671"/>
      <c r="AS171" s="671"/>
      <c r="AT171" s="671"/>
      <c r="AU171" s="671"/>
      <c r="AV171" s="671"/>
      <c r="AW171" s="634"/>
      <c r="AX171" s="634"/>
      <c r="AY171" s="634"/>
      <c r="AZ171" s="634"/>
    </row>
    <row r="172" spans="1:52" ht="25.5" customHeight="1">
      <c r="A172" s="626">
        <v>170</v>
      </c>
      <c r="B172" s="627"/>
      <c r="C172" s="697" t="s">
        <v>1079</v>
      </c>
      <c r="D172" s="697"/>
      <c r="E172" s="697"/>
      <c r="F172" s="697"/>
      <c r="G172" s="697"/>
      <c r="H172" s="697"/>
      <c r="I172" s="697"/>
      <c r="J172" s="697"/>
      <c r="K172" s="697"/>
      <c r="L172" s="697"/>
      <c r="M172" s="697"/>
      <c r="N172" s="697"/>
      <c r="O172" s="697"/>
      <c r="P172" s="697"/>
      <c r="Q172" s="697"/>
      <c r="R172" s="697"/>
      <c r="S172" s="697"/>
      <c r="T172" s="697"/>
      <c r="U172" s="697"/>
      <c r="V172" s="691" t="s">
        <v>1084</v>
      </c>
      <c r="W172" s="691"/>
      <c r="X172" s="691"/>
      <c r="Y172" s="671"/>
      <c r="Z172" s="671"/>
      <c r="AA172" s="671"/>
      <c r="AB172" s="671"/>
      <c r="AC172" s="671"/>
      <c r="AD172" s="671"/>
      <c r="AE172" s="671"/>
      <c r="AF172" s="671"/>
      <c r="AG172" s="671"/>
      <c r="AH172" s="671"/>
      <c r="AI172" s="671"/>
      <c r="AJ172" s="671"/>
      <c r="AK172" s="671"/>
      <c r="AL172" s="671"/>
      <c r="AM172" s="671"/>
      <c r="AN172" s="671"/>
      <c r="AO172" s="671"/>
      <c r="AP172" s="671"/>
      <c r="AQ172" s="671"/>
      <c r="AR172" s="671"/>
      <c r="AS172" s="671"/>
      <c r="AT172" s="671"/>
      <c r="AU172" s="671"/>
      <c r="AV172" s="671"/>
      <c r="AW172" s="634"/>
      <c r="AX172" s="634"/>
      <c r="AY172" s="634"/>
      <c r="AZ172" s="634"/>
    </row>
    <row r="173" spans="1:52" ht="12.75" customHeight="1">
      <c r="A173" s="626">
        <v>171</v>
      </c>
      <c r="B173" s="627"/>
      <c r="C173" s="697" t="s">
        <v>1080</v>
      </c>
      <c r="D173" s="697"/>
      <c r="E173" s="697"/>
      <c r="F173" s="697"/>
      <c r="G173" s="697"/>
      <c r="H173" s="697"/>
      <c r="I173" s="697"/>
      <c r="J173" s="697"/>
      <c r="K173" s="697"/>
      <c r="L173" s="697"/>
      <c r="M173" s="697"/>
      <c r="N173" s="697"/>
      <c r="O173" s="697"/>
      <c r="P173" s="697"/>
      <c r="Q173" s="697"/>
      <c r="R173" s="697"/>
      <c r="S173" s="697"/>
      <c r="T173" s="697"/>
      <c r="U173" s="697"/>
      <c r="V173" s="691" t="s">
        <v>1084</v>
      </c>
      <c r="W173" s="691"/>
      <c r="X173" s="691"/>
      <c r="Y173" s="671"/>
      <c r="Z173" s="671"/>
      <c r="AA173" s="671"/>
      <c r="AB173" s="671"/>
      <c r="AC173" s="671"/>
      <c r="AD173" s="671"/>
      <c r="AE173" s="671"/>
      <c r="AF173" s="671"/>
      <c r="AG173" s="671"/>
      <c r="AH173" s="671"/>
      <c r="AI173" s="671"/>
      <c r="AJ173" s="671"/>
      <c r="AK173" s="671"/>
      <c r="AL173" s="671"/>
      <c r="AM173" s="671"/>
      <c r="AN173" s="671"/>
      <c r="AO173" s="671"/>
      <c r="AP173" s="671"/>
      <c r="AQ173" s="671"/>
      <c r="AR173" s="671"/>
      <c r="AS173" s="671"/>
      <c r="AT173" s="671"/>
      <c r="AU173" s="671"/>
      <c r="AV173" s="671"/>
      <c r="AW173" s="634"/>
      <c r="AX173" s="634"/>
      <c r="AY173" s="634"/>
      <c r="AZ173" s="634"/>
    </row>
    <row r="174" spans="1:52" ht="25.5" customHeight="1">
      <c r="A174" s="626">
        <v>172</v>
      </c>
      <c r="B174" s="627"/>
      <c r="C174" s="695" t="s">
        <v>1085</v>
      </c>
      <c r="D174" s="695"/>
      <c r="E174" s="695"/>
      <c r="F174" s="695"/>
      <c r="G174" s="695"/>
      <c r="H174" s="695"/>
      <c r="I174" s="695"/>
      <c r="J174" s="695"/>
      <c r="K174" s="695"/>
      <c r="L174" s="695"/>
      <c r="M174" s="695"/>
      <c r="N174" s="695"/>
      <c r="O174" s="695"/>
      <c r="P174" s="695"/>
      <c r="Q174" s="695"/>
      <c r="R174" s="695"/>
      <c r="S174" s="695"/>
      <c r="T174" s="695"/>
      <c r="U174" s="695"/>
      <c r="V174" s="691" t="s">
        <v>1086</v>
      </c>
      <c r="W174" s="691"/>
      <c r="X174" s="691"/>
      <c r="Y174" s="634"/>
      <c r="Z174" s="634"/>
      <c r="AA174" s="634"/>
      <c r="AB174" s="634"/>
      <c r="AC174" s="634"/>
      <c r="AD174" s="634"/>
      <c r="AE174" s="634"/>
      <c r="AF174" s="634"/>
      <c r="AG174" s="634"/>
      <c r="AH174" s="634"/>
      <c r="AI174" s="634"/>
      <c r="AJ174" s="634"/>
      <c r="AK174" s="634"/>
      <c r="AL174" s="634"/>
      <c r="AM174" s="634"/>
      <c r="AN174" s="634"/>
      <c r="AO174" s="634"/>
      <c r="AP174" s="634"/>
      <c r="AQ174" s="634"/>
      <c r="AR174" s="634"/>
      <c r="AS174" s="634"/>
      <c r="AT174" s="634"/>
      <c r="AU174" s="634"/>
      <c r="AV174" s="634"/>
      <c r="AW174" s="634"/>
      <c r="AX174" s="634"/>
      <c r="AY174" s="634"/>
      <c r="AZ174" s="634"/>
    </row>
    <row r="175" spans="1:52" ht="25.5" customHeight="1">
      <c r="A175" s="626">
        <v>173</v>
      </c>
      <c r="B175" s="627"/>
      <c r="C175" s="695" t="s">
        <v>1087</v>
      </c>
      <c r="D175" s="695"/>
      <c r="E175" s="695"/>
      <c r="F175" s="695"/>
      <c r="G175" s="695"/>
      <c r="H175" s="695"/>
      <c r="I175" s="695"/>
      <c r="J175" s="695"/>
      <c r="K175" s="695"/>
      <c r="L175" s="695"/>
      <c r="M175" s="695"/>
      <c r="N175" s="695"/>
      <c r="O175" s="695"/>
      <c r="P175" s="695"/>
      <c r="Q175" s="695"/>
      <c r="R175" s="695"/>
      <c r="S175" s="695"/>
      <c r="T175" s="695"/>
      <c r="U175" s="695"/>
      <c r="V175" s="691" t="s">
        <v>1086</v>
      </c>
      <c r="W175" s="691"/>
      <c r="X175" s="691"/>
      <c r="Y175" s="671"/>
      <c r="Z175" s="671"/>
      <c r="AA175" s="671"/>
      <c r="AB175" s="671"/>
      <c r="AC175" s="671"/>
      <c r="AD175" s="671"/>
      <c r="AE175" s="671"/>
      <c r="AF175" s="671"/>
      <c r="AG175" s="671"/>
      <c r="AH175" s="671"/>
      <c r="AI175" s="671"/>
      <c r="AJ175" s="671"/>
      <c r="AK175" s="671"/>
      <c r="AL175" s="671"/>
      <c r="AM175" s="671"/>
      <c r="AN175" s="671"/>
      <c r="AO175" s="671"/>
      <c r="AP175" s="671"/>
      <c r="AQ175" s="671"/>
      <c r="AR175" s="671"/>
      <c r="AS175" s="671"/>
      <c r="AT175" s="671"/>
      <c r="AU175" s="671"/>
      <c r="AV175" s="671"/>
      <c r="AW175" s="634"/>
      <c r="AX175" s="634"/>
      <c r="AY175" s="634"/>
      <c r="AZ175" s="634"/>
    </row>
    <row r="176" spans="1:52" ht="25.5" customHeight="1">
      <c r="A176" s="626">
        <v>174</v>
      </c>
      <c r="B176" s="627"/>
      <c r="C176" s="700" t="s">
        <v>1088</v>
      </c>
      <c r="D176" s="700"/>
      <c r="E176" s="700"/>
      <c r="F176" s="700"/>
      <c r="G176" s="700"/>
      <c r="H176" s="700"/>
      <c r="I176" s="700"/>
      <c r="J176" s="700"/>
      <c r="K176" s="700"/>
      <c r="L176" s="700"/>
      <c r="M176" s="700"/>
      <c r="N176" s="700"/>
      <c r="O176" s="700"/>
      <c r="P176" s="700"/>
      <c r="Q176" s="700"/>
      <c r="R176" s="700"/>
      <c r="S176" s="700"/>
      <c r="T176" s="700"/>
      <c r="U176" s="700"/>
      <c r="V176" s="691" t="s">
        <v>1089</v>
      </c>
      <c r="W176" s="691"/>
      <c r="X176" s="691"/>
      <c r="Y176" s="634"/>
      <c r="Z176" s="634"/>
      <c r="AA176" s="634"/>
      <c r="AB176" s="634"/>
      <c r="AC176" s="634"/>
      <c r="AD176" s="634"/>
      <c r="AE176" s="634"/>
      <c r="AF176" s="634"/>
      <c r="AG176" s="634"/>
      <c r="AH176" s="634"/>
      <c r="AI176" s="634"/>
      <c r="AJ176" s="634"/>
      <c r="AK176" s="634"/>
      <c r="AL176" s="634"/>
      <c r="AM176" s="634"/>
      <c r="AN176" s="634"/>
      <c r="AO176" s="671"/>
      <c r="AP176" s="671"/>
      <c r="AQ176" s="671"/>
      <c r="AR176" s="671"/>
      <c r="AS176" s="671"/>
      <c r="AT176" s="671"/>
      <c r="AU176" s="671"/>
      <c r="AV176" s="671"/>
      <c r="AW176" s="646"/>
      <c r="AX176" s="693"/>
      <c r="AY176" s="693"/>
      <c r="AZ176" s="693"/>
    </row>
    <row r="177" spans="1:52" ht="12.75" customHeight="1">
      <c r="A177" s="626">
        <v>175</v>
      </c>
      <c r="B177" s="627"/>
      <c r="C177" s="690" t="s">
        <v>1090</v>
      </c>
      <c r="D177" s="690"/>
      <c r="E177" s="690"/>
      <c r="F177" s="690"/>
      <c r="G177" s="690"/>
      <c r="H177" s="690"/>
      <c r="I177" s="690"/>
      <c r="J177" s="690"/>
      <c r="K177" s="690"/>
      <c r="L177" s="690"/>
      <c r="M177" s="690"/>
      <c r="N177" s="690"/>
      <c r="O177" s="690"/>
      <c r="P177" s="690"/>
      <c r="Q177" s="690"/>
      <c r="R177" s="690"/>
      <c r="S177" s="690"/>
      <c r="T177" s="690"/>
      <c r="U177" s="690"/>
      <c r="V177" s="690" t="s">
        <v>1089</v>
      </c>
      <c r="W177" s="690"/>
      <c r="X177" s="690"/>
      <c r="Y177" s="671"/>
      <c r="Z177" s="671"/>
      <c r="AA177" s="671"/>
      <c r="AB177" s="671"/>
      <c r="AC177" s="671"/>
      <c r="AD177" s="671"/>
      <c r="AE177" s="671"/>
      <c r="AF177" s="671"/>
      <c r="AG177" s="671"/>
      <c r="AH177" s="671"/>
      <c r="AI177" s="671"/>
      <c r="AJ177" s="671"/>
      <c r="AK177" s="671"/>
      <c r="AL177" s="671"/>
      <c r="AM177" s="671"/>
      <c r="AN177" s="671"/>
      <c r="AO177" s="671"/>
      <c r="AP177" s="671"/>
      <c r="AQ177" s="671"/>
      <c r="AR177" s="671"/>
      <c r="AS177" s="671"/>
      <c r="AT177" s="671"/>
      <c r="AU177" s="671"/>
      <c r="AV177" s="671"/>
      <c r="AW177" s="634"/>
      <c r="AX177" s="634"/>
      <c r="AY177" s="634"/>
      <c r="AZ177" s="634"/>
    </row>
    <row r="178" spans="1:52" s="556" customFormat="1" ht="12.75" customHeight="1">
      <c r="A178" s="626">
        <v>176</v>
      </c>
      <c r="B178" s="627"/>
      <c r="C178" s="690" t="s">
        <v>1091</v>
      </c>
      <c r="D178" s="690"/>
      <c r="E178" s="690"/>
      <c r="F178" s="690"/>
      <c r="G178" s="690"/>
      <c r="H178" s="690"/>
      <c r="I178" s="690"/>
      <c r="J178" s="690"/>
      <c r="K178" s="690"/>
      <c r="L178" s="690"/>
      <c r="M178" s="690"/>
      <c r="N178" s="690"/>
      <c r="O178" s="690"/>
      <c r="P178" s="690"/>
      <c r="Q178" s="690"/>
      <c r="R178" s="690"/>
      <c r="S178" s="690"/>
      <c r="T178" s="690"/>
      <c r="U178" s="690"/>
      <c r="V178" s="690" t="s">
        <v>1089</v>
      </c>
      <c r="W178" s="690"/>
      <c r="X178" s="690"/>
      <c r="Y178" s="671"/>
      <c r="Z178" s="671"/>
      <c r="AA178" s="671"/>
      <c r="AB178" s="671"/>
      <c r="AC178" s="671"/>
      <c r="AD178" s="671"/>
      <c r="AE178" s="671"/>
      <c r="AF178" s="671"/>
      <c r="AG178" s="671"/>
      <c r="AH178" s="671"/>
      <c r="AI178" s="671"/>
      <c r="AJ178" s="671"/>
      <c r="AK178" s="671"/>
      <c r="AL178" s="671"/>
      <c r="AM178" s="671"/>
      <c r="AN178" s="671"/>
      <c r="AO178" s="671"/>
      <c r="AP178" s="671"/>
      <c r="AQ178" s="671"/>
      <c r="AR178" s="671"/>
      <c r="AS178" s="671"/>
      <c r="AT178" s="671"/>
      <c r="AU178" s="671"/>
      <c r="AV178" s="671"/>
      <c r="AW178" s="634"/>
      <c r="AX178" s="634"/>
      <c r="AY178" s="634"/>
      <c r="AZ178" s="634"/>
    </row>
    <row r="179" spans="1:52" ht="12.75" customHeight="1">
      <c r="A179" s="626">
        <v>177</v>
      </c>
      <c r="B179" s="627"/>
      <c r="C179" s="690" t="s">
        <v>1092</v>
      </c>
      <c r="D179" s="690"/>
      <c r="E179" s="690"/>
      <c r="F179" s="690"/>
      <c r="G179" s="690"/>
      <c r="H179" s="690"/>
      <c r="I179" s="690"/>
      <c r="J179" s="690"/>
      <c r="K179" s="690"/>
      <c r="L179" s="690"/>
      <c r="M179" s="690"/>
      <c r="N179" s="690"/>
      <c r="O179" s="690"/>
      <c r="P179" s="690"/>
      <c r="Q179" s="690"/>
      <c r="R179" s="690"/>
      <c r="S179" s="690"/>
      <c r="T179" s="690"/>
      <c r="U179" s="690"/>
      <c r="V179" s="690" t="s">
        <v>1089</v>
      </c>
      <c r="W179" s="690"/>
      <c r="X179" s="690"/>
      <c r="Y179" s="671"/>
      <c r="Z179" s="671"/>
      <c r="AA179" s="671"/>
      <c r="AB179" s="671"/>
      <c r="AC179" s="671"/>
      <c r="AD179" s="671"/>
      <c r="AE179" s="671"/>
      <c r="AF179" s="671"/>
      <c r="AG179" s="671"/>
      <c r="AH179" s="671"/>
      <c r="AI179" s="671"/>
      <c r="AJ179" s="671"/>
      <c r="AK179" s="671"/>
      <c r="AL179" s="671"/>
      <c r="AM179" s="671"/>
      <c r="AN179" s="671"/>
      <c r="AO179" s="671"/>
      <c r="AP179" s="671"/>
      <c r="AQ179" s="671"/>
      <c r="AR179" s="671"/>
      <c r="AS179" s="671"/>
      <c r="AT179" s="671"/>
      <c r="AU179" s="671"/>
      <c r="AV179" s="671"/>
      <c r="AW179" s="634"/>
      <c r="AX179" s="634"/>
      <c r="AY179" s="634"/>
      <c r="AZ179" s="634"/>
    </row>
    <row r="180" spans="1:52" ht="12.75" customHeight="1">
      <c r="A180" s="626">
        <v>178</v>
      </c>
      <c r="B180" s="627"/>
      <c r="C180" s="690" t="s">
        <v>1093</v>
      </c>
      <c r="D180" s="690"/>
      <c r="E180" s="690"/>
      <c r="F180" s="690"/>
      <c r="G180" s="690"/>
      <c r="H180" s="690"/>
      <c r="I180" s="690"/>
      <c r="J180" s="690"/>
      <c r="K180" s="690"/>
      <c r="L180" s="690"/>
      <c r="M180" s="690"/>
      <c r="N180" s="690"/>
      <c r="O180" s="690"/>
      <c r="P180" s="690"/>
      <c r="Q180" s="690"/>
      <c r="R180" s="690"/>
      <c r="S180" s="690"/>
      <c r="T180" s="690"/>
      <c r="U180" s="690"/>
      <c r="V180" s="690" t="s">
        <v>1089</v>
      </c>
      <c r="W180" s="690"/>
      <c r="X180" s="690"/>
      <c r="Y180" s="671"/>
      <c r="Z180" s="671"/>
      <c r="AA180" s="671"/>
      <c r="AB180" s="671"/>
      <c r="AC180" s="671"/>
      <c r="AD180" s="671"/>
      <c r="AE180" s="671"/>
      <c r="AF180" s="671"/>
      <c r="AG180" s="671"/>
      <c r="AH180" s="671"/>
      <c r="AI180" s="671"/>
      <c r="AJ180" s="671"/>
      <c r="AK180" s="671"/>
      <c r="AL180" s="671"/>
      <c r="AM180" s="671"/>
      <c r="AN180" s="671"/>
      <c r="AO180" s="671"/>
      <c r="AP180" s="671"/>
      <c r="AQ180" s="671"/>
      <c r="AR180" s="671"/>
      <c r="AS180" s="671"/>
      <c r="AT180" s="671"/>
      <c r="AU180" s="671"/>
      <c r="AV180" s="671"/>
      <c r="AW180" s="634"/>
      <c r="AX180" s="634"/>
      <c r="AY180" s="634"/>
      <c r="AZ180" s="634"/>
    </row>
    <row r="181" spans="1:52" ht="12.75" customHeight="1">
      <c r="A181" s="626">
        <v>179</v>
      </c>
      <c r="B181" s="627"/>
      <c r="C181" s="690" t="s">
        <v>1094</v>
      </c>
      <c r="D181" s="690"/>
      <c r="E181" s="690"/>
      <c r="F181" s="690"/>
      <c r="G181" s="690"/>
      <c r="H181" s="690"/>
      <c r="I181" s="690"/>
      <c r="J181" s="690"/>
      <c r="K181" s="690"/>
      <c r="L181" s="690"/>
      <c r="M181" s="690"/>
      <c r="N181" s="690"/>
      <c r="O181" s="690"/>
      <c r="P181" s="690"/>
      <c r="Q181" s="690"/>
      <c r="R181" s="690"/>
      <c r="S181" s="690"/>
      <c r="T181" s="690"/>
      <c r="U181" s="690"/>
      <c r="V181" s="690" t="s">
        <v>1089</v>
      </c>
      <c r="W181" s="690"/>
      <c r="X181" s="690"/>
      <c r="Y181" s="671"/>
      <c r="Z181" s="671"/>
      <c r="AA181" s="671"/>
      <c r="AB181" s="671"/>
      <c r="AC181" s="671"/>
      <c r="AD181" s="671"/>
      <c r="AE181" s="671"/>
      <c r="AF181" s="671"/>
      <c r="AG181" s="671"/>
      <c r="AH181" s="671"/>
      <c r="AI181" s="671"/>
      <c r="AJ181" s="671"/>
      <c r="AK181" s="671"/>
      <c r="AL181" s="671"/>
      <c r="AM181" s="671"/>
      <c r="AN181" s="671"/>
      <c r="AO181" s="671"/>
      <c r="AP181" s="671"/>
      <c r="AQ181" s="671"/>
      <c r="AR181" s="671"/>
      <c r="AS181" s="671"/>
      <c r="AT181" s="671"/>
      <c r="AU181" s="671"/>
      <c r="AV181" s="671"/>
      <c r="AW181" s="634"/>
      <c r="AX181" s="634"/>
      <c r="AY181" s="634"/>
      <c r="AZ181" s="634"/>
    </row>
    <row r="182" spans="1:52" ht="12.75" customHeight="1">
      <c r="A182" s="626">
        <v>180</v>
      </c>
      <c r="B182" s="627"/>
      <c r="C182" s="690" t="s">
        <v>1095</v>
      </c>
      <c r="D182" s="690"/>
      <c r="E182" s="690"/>
      <c r="F182" s="690"/>
      <c r="G182" s="690"/>
      <c r="H182" s="690"/>
      <c r="I182" s="690"/>
      <c r="J182" s="690"/>
      <c r="K182" s="690"/>
      <c r="L182" s="690"/>
      <c r="M182" s="690"/>
      <c r="N182" s="690"/>
      <c r="O182" s="690"/>
      <c r="P182" s="690"/>
      <c r="Q182" s="690"/>
      <c r="R182" s="690"/>
      <c r="S182" s="690"/>
      <c r="T182" s="690"/>
      <c r="U182" s="690"/>
      <c r="V182" s="690" t="s">
        <v>1089</v>
      </c>
      <c r="W182" s="690"/>
      <c r="X182" s="690"/>
      <c r="Y182" s="671"/>
      <c r="Z182" s="671"/>
      <c r="AA182" s="671"/>
      <c r="AB182" s="671"/>
      <c r="AC182" s="671"/>
      <c r="AD182" s="671"/>
      <c r="AE182" s="671"/>
      <c r="AF182" s="671"/>
      <c r="AG182" s="671"/>
      <c r="AH182" s="671"/>
      <c r="AI182" s="671"/>
      <c r="AJ182" s="671"/>
      <c r="AK182" s="671"/>
      <c r="AL182" s="671"/>
      <c r="AM182" s="671"/>
      <c r="AN182" s="671"/>
      <c r="AO182" s="671"/>
      <c r="AP182" s="671"/>
      <c r="AQ182" s="671"/>
      <c r="AR182" s="671"/>
      <c r="AS182" s="671"/>
      <c r="AT182" s="671"/>
      <c r="AU182" s="671"/>
      <c r="AV182" s="671"/>
      <c r="AW182" s="634"/>
      <c r="AX182" s="634"/>
      <c r="AY182" s="634"/>
      <c r="AZ182" s="634"/>
    </row>
    <row r="183" spans="1:52" ht="25.5" customHeight="1">
      <c r="A183" s="626">
        <v>181</v>
      </c>
      <c r="B183" s="627"/>
      <c r="C183" s="690" t="s">
        <v>1096</v>
      </c>
      <c r="D183" s="690"/>
      <c r="E183" s="690"/>
      <c r="F183" s="690"/>
      <c r="G183" s="690"/>
      <c r="H183" s="690"/>
      <c r="I183" s="690"/>
      <c r="J183" s="690"/>
      <c r="K183" s="690"/>
      <c r="L183" s="690"/>
      <c r="M183" s="690"/>
      <c r="N183" s="690"/>
      <c r="O183" s="690"/>
      <c r="P183" s="690"/>
      <c r="Q183" s="690"/>
      <c r="R183" s="690"/>
      <c r="S183" s="690"/>
      <c r="T183" s="690"/>
      <c r="U183" s="690"/>
      <c r="V183" s="690" t="s">
        <v>1089</v>
      </c>
      <c r="W183" s="690"/>
      <c r="X183" s="690"/>
      <c r="Y183" s="671"/>
      <c r="Z183" s="671"/>
      <c r="AA183" s="671"/>
      <c r="AB183" s="671"/>
      <c r="AC183" s="671"/>
      <c r="AD183" s="671"/>
      <c r="AE183" s="671"/>
      <c r="AF183" s="671"/>
      <c r="AG183" s="671"/>
      <c r="AH183" s="671"/>
      <c r="AI183" s="671"/>
      <c r="AJ183" s="671"/>
      <c r="AK183" s="671"/>
      <c r="AL183" s="671"/>
      <c r="AM183" s="671"/>
      <c r="AN183" s="671"/>
      <c r="AO183" s="671"/>
      <c r="AP183" s="671"/>
      <c r="AQ183" s="671"/>
      <c r="AR183" s="671"/>
      <c r="AS183" s="671"/>
      <c r="AT183" s="671"/>
      <c r="AU183" s="671"/>
      <c r="AV183" s="671"/>
      <c r="AW183" s="634"/>
      <c r="AX183" s="634"/>
      <c r="AY183" s="634"/>
      <c r="AZ183" s="634"/>
    </row>
    <row r="184" spans="1:52" ht="12.75" customHeight="1">
      <c r="A184" s="626">
        <v>182</v>
      </c>
      <c r="B184" s="627"/>
      <c r="C184" s="690" t="s">
        <v>1097</v>
      </c>
      <c r="D184" s="690"/>
      <c r="E184" s="690"/>
      <c r="F184" s="690"/>
      <c r="G184" s="690"/>
      <c r="H184" s="690"/>
      <c r="I184" s="690"/>
      <c r="J184" s="690"/>
      <c r="K184" s="690"/>
      <c r="L184" s="690"/>
      <c r="M184" s="690"/>
      <c r="N184" s="690"/>
      <c r="O184" s="690"/>
      <c r="P184" s="690"/>
      <c r="Q184" s="690"/>
      <c r="R184" s="690"/>
      <c r="S184" s="690"/>
      <c r="T184" s="690"/>
      <c r="U184" s="690"/>
      <c r="V184" s="690" t="s">
        <v>1089</v>
      </c>
      <c r="W184" s="690"/>
      <c r="X184" s="690"/>
      <c r="Y184" s="671"/>
      <c r="Z184" s="671"/>
      <c r="AA184" s="671"/>
      <c r="AB184" s="671"/>
      <c r="AC184" s="671"/>
      <c r="AD184" s="671"/>
      <c r="AE184" s="671"/>
      <c r="AF184" s="671"/>
      <c r="AG184" s="671"/>
      <c r="AH184" s="671"/>
      <c r="AI184" s="671"/>
      <c r="AJ184" s="671"/>
      <c r="AK184" s="671"/>
      <c r="AL184" s="671"/>
      <c r="AM184" s="671"/>
      <c r="AN184" s="671"/>
      <c r="AO184" s="671"/>
      <c r="AP184" s="671"/>
      <c r="AQ184" s="671"/>
      <c r="AR184" s="671"/>
      <c r="AS184" s="671"/>
      <c r="AT184" s="671"/>
      <c r="AU184" s="671"/>
      <c r="AV184" s="671"/>
      <c r="AW184" s="634"/>
      <c r="AX184" s="634"/>
      <c r="AY184" s="634"/>
      <c r="AZ184" s="634"/>
    </row>
    <row r="185" spans="1:52" ht="12.75" customHeight="1">
      <c r="A185" s="626">
        <v>183</v>
      </c>
      <c r="B185" s="627"/>
      <c r="C185" s="690" t="s">
        <v>1098</v>
      </c>
      <c r="D185" s="690"/>
      <c r="E185" s="690"/>
      <c r="F185" s="690"/>
      <c r="G185" s="690"/>
      <c r="H185" s="690"/>
      <c r="I185" s="690"/>
      <c r="J185" s="690"/>
      <c r="K185" s="690"/>
      <c r="L185" s="690"/>
      <c r="M185" s="690"/>
      <c r="N185" s="690"/>
      <c r="O185" s="690"/>
      <c r="P185" s="690"/>
      <c r="Q185" s="690"/>
      <c r="R185" s="690"/>
      <c r="S185" s="690"/>
      <c r="T185" s="690"/>
      <c r="U185" s="690"/>
      <c r="V185" s="690" t="s">
        <v>1089</v>
      </c>
      <c r="W185" s="690"/>
      <c r="X185" s="690"/>
      <c r="Y185" s="671"/>
      <c r="Z185" s="671"/>
      <c r="AA185" s="671"/>
      <c r="AB185" s="671"/>
      <c r="AC185" s="671"/>
      <c r="AD185" s="671"/>
      <c r="AE185" s="671"/>
      <c r="AF185" s="671"/>
      <c r="AG185" s="671"/>
      <c r="AH185" s="671"/>
      <c r="AI185" s="671"/>
      <c r="AJ185" s="671"/>
      <c r="AK185" s="671"/>
      <c r="AL185" s="671"/>
      <c r="AM185" s="671"/>
      <c r="AN185" s="671"/>
      <c r="AO185" s="671"/>
      <c r="AP185" s="671"/>
      <c r="AQ185" s="671"/>
      <c r="AR185" s="671"/>
      <c r="AS185" s="671"/>
      <c r="AT185" s="671"/>
      <c r="AU185" s="671"/>
      <c r="AV185" s="671"/>
      <c r="AW185" s="634"/>
      <c r="AX185" s="634"/>
      <c r="AY185" s="634"/>
      <c r="AZ185" s="634"/>
    </row>
    <row r="186" spans="1:52" ht="12.75" customHeight="1">
      <c r="A186" s="626">
        <v>184</v>
      </c>
      <c r="B186" s="627"/>
      <c r="C186" s="690" t="s">
        <v>1099</v>
      </c>
      <c r="D186" s="690"/>
      <c r="E186" s="690"/>
      <c r="F186" s="690"/>
      <c r="G186" s="690"/>
      <c r="H186" s="690"/>
      <c r="I186" s="690"/>
      <c r="J186" s="690"/>
      <c r="K186" s="690"/>
      <c r="L186" s="690"/>
      <c r="M186" s="690"/>
      <c r="N186" s="690"/>
      <c r="O186" s="690"/>
      <c r="P186" s="690"/>
      <c r="Q186" s="690"/>
      <c r="R186" s="690"/>
      <c r="S186" s="690"/>
      <c r="T186" s="690"/>
      <c r="U186" s="690"/>
      <c r="V186" s="690" t="s">
        <v>1089</v>
      </c>
      <c r="W186" s="690"/>
      <c r="X186" s="690"/>
      <c r="Y186" s="671"/>
      <c r="Z186" s="671"/>
      <c r="AA186" s="671"/>
      <c r="AB186" s="671"/>
      <c r="AC186" s="671"/>
      <c r="AD186" s="671"/>
      <c r="AE186" s="671"/>
      <c r="AF186" s="671"/>
      <c r="AG186" s="671"/>
      <c r="AH186" s="671"/>
      <c r="AI186" s="671"/>
      <c r="AJ186" s="671"/>
      <c r="AK186" s="671"/>
      <c r="AL186" s="671"/>
      <c r="AM186" s="671"/>
      <c r="AN186" s="671"/>
      <c r="AO186" s="671"/>
      <c r="AP186" s="671"/>
      <c r="AQ186" s="671"/>
      <c r="AR186" s="671"/>
      <c r="AS186" s="671"/>
      <c r="AT186" s="671"/>
      <c r="AU186" s="671"/>
      <c r="AV186" s="671"/>
      <c r="AW186" s="634"/>
      <c r="AX186" s="634"/>
      <c r="AY186" s="634"/>
      <c r="AZ186" s="634"/>
    </row>
    <row r="187" spans="1:52" ht="12.75" customHeight="1">
      <c r="A187" s="626">
        <v>185</v>
      </c>
      <c r="B187" s="627"/>
      <c r="C187" s="690" t="s">
        <v>1100</v>
      </c>
      <c r="D187" s="690"/>
      <c r="E187" s="690"/>
      <c r="F187" s="690"/>
      <c r="G187" s="690"/>
      <c r="H187" s="690"/>
      <c r="I187" s="690"/>
      <c r="J187" s="690"/>
      <c r="K187" s="690"/>
      <c r="L187" s="690"/>
      <c r="M187" s="690"/>
      <c r="N187" s="690"/>
      <c r="O187" s="690"/>
      <c r="P187" s="690"/>
      <c r="Q187" s="690"/>
      <c r="R187" s="690"/>
      <c r="S187" s="690"/>
      <c r="T187" s="690"/>
      <c r="U187" s="690"/>
      <c r="V187" s="690" t="s">
        <v>1089</v>
      </c>
      <c r="W187" s="690"/>
      <c r="X187" s="690"/>
      <c r="Y187" s="671"/>
      <c r="Z187" s="671"/>
      <c r="AA187" s="671"/>
      <c r="AB187" s="671"/>
      <c r="AC187" s="671"/>
      <c r="AD187" s="671"/>
      <c r="AE187" s="671"/>
      <c r="AF187" s="671"/>
      <c r="AG187" s="671"/>
      <c r="AH187" s="671"/>
      <c r="AI187" s="671"/>
      <c r="AJ187" s="671"/>
      <c r="AK187" s="671"/>
      <c r="AL187" s="671"/>
      <c r="AM187" s="671"/>
      <c r="AN187" s="671"/>
      <c r="AO187" s="671"/>
      <c r="AP187" s="671"/>
      <c r="AQ187" s="671"/>
      <c r="AR187" s="671"/>
      <c r="AS187" s="671"/>
      <c r="AT187" s="671"/>
      <c r="AU187" s="671"/>
      <c r="AV187" s="671"/>
      <c r="AW187" s="634"/>
      <c r="AX187" s="634"/>
      <c r="AY187" s="634"/>
      <c r="AZ187" s="634"/>
    </row>
    <row r="188" spans="1:52" ht="12.75" customHeight="1">
      <c r="A188" s="626">
        <v>186</v>
      </c>
      <c r="B188" s="627"/>
      <c r="C188" s="700" t="s">
        <v>1101</v>
      </c>
      <c r="D188" s="700"/>
      <c r="E188" s="700"/>
      <c r="F188" s="700"/>
      <c r="G188" s="700"/>
      <c r="H188" s="700"/>
      <c r="I188" s="700"/>
      <c r="J188" s="700"/>
      <c r="K188" s="700"/>
      <c r="L188" s="700"/>
      <c r="M188" s="700"/>
      <c r="N188" s="700"/>
      <c r="O188" s="700"/>
      <c r="P188" s="700"/>
      <c r="Q188" s="700"/>
      <c r="R188" s="700"/>
      <c r="S188" s="700"/>
      <c r="T188" s="700"/>
      <c r="U188" s="700"/>
      <c r="V188" s="691" t="s">
        <v>1102</v>
      </c>
      <c r="W188" s="691"/>
      <c r="X188" s="691"/>
      <c r="Y188" s="634"/>
      <c r="Z188" s="634"/>
      <c r="AA188" s="634"/>
      <c r="AB188" s="634"/>
      <c r="AC188" s="634"/>
      <c r="AD188" s="634"/>
      <c r="AE188" s="634"/>
      <c r="AF188" s="634"/>
      <c r="AG188" s="634"/>
      <c r="AH188" s="634"/>
      <c r="AI188" s="634"/>
      <c r="AJ188" s="634"/>
      <c r="AK188" s="634"/>
      <c r="AL188" s="634"/>
      <c r="AM188" s="634"/>
      <c r="AN188" s="634"/>
      <c r="AO188" s="634"/>
      <c r="AP188" s="634"/>
      <c r="AQ188" s="634"/>
      <c r="AR188" s="634"/>
      <c r="AS188" s="634"/>
      <c r="AT188" s="634"/>
      <c r="AU188" s="634"/>
      <c r="AV188" s="634"/>
      <c r="AW188" s="634"/>
      <c r="AX188" s="634"/>
      <c r="AY188" s="634"/>
      <c r="AZ188" s="634"/>
    </row>
    <row r="189" spans="1:52" ht="12.75" customHeight="1">
      <c r="A189" s="626">
        <v>187</v>
      </c>
      <c r="B189" s="627"/>
      <c r="C189" s="700" t="s">
        <v>1103</v>
      </c>
      <c r="D189" s="700"/>
      <c r="E189" s="700"/>
      <c r="F189" s="700"/>
      <c r="G189" s="700"/>
      <c r="H189" s="700"/>
      <c r="I189" s="700"/>
      <c r="J189" s="700"/>
      <c r="K189" s="700"/>
      <c r="L189" s="700"/>
      <c r="M189" s="700"/>
      <c r="N189" s="700"/>
      <c r="O189" s="700"/>
      <c r="P189" s="700"/>
      <c r="Q189" s="700"/>
      <c r="R189" s="700"/>
      <c r="S189" s="700"/>
      <c r="T189" s="700"/>
      <c r="U189" s="700"/>
      <c r="V189" s="691" t="s">
        <v>1104</v>
      </c>
      <c r="W189" s="691"/>
      <c r="X189" s="691"/>
      <c r="Y189" s="634"/>
      <c r="Z189" s="634"/>
      <c r="AA189" s="634"/>
      <c r="AB189" s="634"/>
      <c r="AC189" s="634"/>
      <c r="AD189" s="634"/>
      <c r="AE189" s="634"/>
      <c r="AF189" s="634"/>
      <c r="AG189" s="634"/>
      <c r="AH189" s="634"/>
      <c r="AI189" s="634"/>
      <c r="AJ189" s="634"/>
      <c r="AK189" s="634"/>
      <c r="AL189" s="634"/>
      <c r="AM189" s="634"/>
      <c r="AN189" s="634"/>
      <c r="AO189" s="634"/>
      <c r="AP189" s="634"/>
      <c r="AQ189" s="634"/>
      <c r="AR189" s="634"/>
      <c r="AS189" s="634"/>
      <c r="AT189" s="634"/>
      <c r="AU189" s="634"/>
      <c r="AV189" s="634"/>
      <c r="AW189" s="634"/>
      <c r="AX189" s="634"/>
      <c r="AY189" s="634"/>
      <c r="AZ189" s="634"/>
    </row>
    <row r="190" spans="1:52" ht="12.75" customHeight="1">
      <c r="A190" s="626">
        <v>188</v>
      </c>
      <c r="B190" s="627"/>
      <c r="C190" s="700" t="s">
        <v>1105</v>
      </c>
      <c r="D190" s="700"/>
      <c r="E190" s="700"/>
      <c r="F190" s="700"/>
      <c r="G190" s="700"/>
      <c r="H190" s="700"/>
      <c r="I190" s="700"/>
      <c r="J190" s="700"/>
      <c r="K190" s="700"/>
      <c r="L190" s="700"/>
      <c r="M190" s="700"/>
      <c r="N190" s="700"/>
      <c r="O190" s="700"/>
      <c r="P190" s="700"/>
      <c r="Q190" s="700"/>
      <c r="R190" s="700"/>
      <c r="S190" s="700"/>
      <c r="T190" s="700"/>
      <c r="U190" s="700"/>
      <c r="V190" s="691" t="s">
        <v>1106</v>
      </c>
      <c r="W190" s="691"/>
      <c r="X190" s="691"/>
      <c r="Y190" s="634"/>
      <c r="Z190" s="634"/>
      <c r="AA190" s="634"/>
      <c r="AB190" s="634"/>
      <c r="AC190" s="634"/>
      <c r="AD190" s="634"/>
      <c r="AE190" s="634"/>
      <c r="AF190" s="634"/>
      <c r="AG190" s="634"/>
      <c r="AH190" s="634"/>
      <c r="AI190" s="634"/>
      <c r="AJ190" s="634"/>
      <c r="AK190" s="634"/>
      <c r="AL190" s="634"/>
      <c r="AM190" s="634"/>
      <c r="AN190" s="634"/>
      <c r="AO190" s="634"/>
      <c r="AP190" s="634"/>
      <c r="AQ190" s="634"/>
      <c r="AR190" s="634"/>
      <c r="AS190" s="634"/>
      <c r="AT190" s="634"/>
      <c r="AU190" s="634"/>
      <c r="AV190" s="634"/>
      <c r="AW190" s="634"/>
      <c r="AX190" s="634"/>
      <c r="AY190" s="634"/>
      <c r="AZ190" s="634"/>
    </row>
    <row r="191" spans="1:52" ht="25.5" customHeight="1">
      <c r="A191" s="626">
        <v>189</v>
      </c>
      <c r="B191" s="627"/>
      <c r="C191" s="690" t="s">
        <v>1107</v>
      </c>
      <c r="D191" s="690"/>
      <c r="E191" s="690"/>
      <c r="F191" s="690"/>
      <c r="G191" s="690"/>
      <c r="H191" s="690"/>
      <c r="I191" s="690"/>
      <c r="J191" s="690"/>
      <c r="K191" s="690"/>
      <c r="L191" s="690"/>
      <c r="M191" s="690"/>
      <c r="N191" s="690"/>
      <c r="O191" s="690"/>
      <c r="P191" s="690"/>
      <c r="Q191" s="690"/>
      <c r="R191" s="690"/>
      <c r="S191" s="690"/>
      <c r="T191" s="690"/>
      <c r="U191" s="690"/>
      <c r="V191" s="691" t="s">
        <v>1108</v>
      </c>
      <c r="W191" s="691"/>
      <c r="X191" s="691"/>
      <c r="Y191" s="634"/>
      <c r="Z191" s="634"/>
      <c r="AA191" s="634"/>
      <c r="AB191" s="634"/>
      <c r="AC191" s="634"/>
      <c r="AD191" s="634"/>
      <c r="AE191" s="634"/>
      <c r="AF191" s="634"/>
      <c r="AG191" s="634"/>
      <c r="AH191" s="634"/>
      <c r="AI191" s="634"/>
      <c r="AJ191" s="634"/>
      <c r="AK191" s="634"/>
      <c r="AL191" s="634"/>
      <c r="AM191" s="634"/>
      <c r="AN191" s="634"/>
      <c r="AO191" s="634"/>
      <c r="AP191" s="634"/>
      <c r="AQ191" s="634"/>
      <c r="AR191" s="634"/>
      <c r="AS191" s="634"/>
      <c r="AT191" s="634"/>
      <c r="AU191" s="634"/>
      <c r="AV191" s="634"/>
      <c r="AW191" s="646"/>
      <c r="AX191" s="693"/>
      <c r="AY191" s="693"/>
      <c r="AZ191" s="693"/>
    </row>
    <row r="192" spans="1:52" ht="12.75" customHeight="1">
      <c r="A192" s="626">
        <v>190</v>
      </c>
      <c r="B192" s="627"/>
      <c r="C192" s="690" t="s">
        <v>1090</v>
      </c>
      <c r="D192" s="690"/>
      <c r="E192" s="690"/>
      <c r="F192" s="690"/>
      <c r="G192" s="690"/>
      <c r="H192" s="690"/>
      <c r="I192" s="690"/>
      <c r="J192" s="690"/>
      <c r="K192" s="690"/>
      <c r="L192" s="690"/>
      <c r="M192" s="690"/>
      <c r="N192" s="690"/>
      <c r="O192" s="690"/>
      <c r="P192" s="690"/>
      <c r="Q192" s="690"/>
      <c r="R192" s="690"/>
      <c r="S192" s="690"/>
      <c r="T192" s="690"/>
      <c r="U192" s="690"/>
      <c r="V192" s="691" t="s">
        <v>1108</v>
      </c>
      <c r="W192" s="691"/>
      <c r="X192" s="691"/>
      <c r="Y192" s="671"/>
      <c r="Z192" s="671"/>
      <c r="AA192" s="671"/>
      <c r="AB192" s="671"/>
      <c r="AC192" s="671"/>
      <c r="AD192" s="671"/>
      <c r="AE192" s="671"/>
      <c r="AF192" s="671"/>
      <c r="AG192" s="671"/>
      <c r="AH192" s="671"/>
      <c r="AI192" s="671"/>
      <c r="AJ192" s="671"/>
      <c r="AK192" s="671"/>
      <c r="AL192" s="671"/>
      <c r="AM192" s="671"/>
      <c r="AN192" s="671"/>
      <c r="AO192" s="671"/>
      <c r="AP192" s="671"/>
      <c r="AQ192" s="671"/>
      <c r="AR192" s="671"/>
      <c r="AS192" s="671"/>
      <c r="AT192" s="671"/>
      <c r="AU192" s="671"/>
      <c r="AV192" s="671"/>
      <c r="AW192" s="634"/>
      <c r="AX192" s="634"/>
      <c r="AY192" s="634"/>
      <c r="AZ192" s="634"/>
    </row>
    <row r="193" spans="1:52" ht="12.75" customHeight="1">
      <c r="A193" s="626">
        <v>191</v>
      </c>
      <c r="B193" s="627"/>
      <c r="C193" s="690" t="s">
        <v>1091</v>
      </c>
      <c r="D193" s="690"/>
      <c r="E193" s="690"/>
      <c r="F193" s="690"/>
      <c r="G193" s="690"/>
      <c r="H193" s="690"/>
      <c r="I193" s="690"/>
      <c r="J193" s="690"/>
      <c r="K193" s="690"/>
      <c r="L193" s="690"/>
      <c r="M193" s="690"/>
      <c r="N193" s="690"/>
      <c r="O193" s="690"/>
      <c r="P193" s="690"/>
      <c r="Q193" s="690"/>
      <c r="R193" s="690"/>
      <c r="S193" s="690"/>
      <c r="T193" s="690"/>
      <c r="U193" s="690"/>
      <c r="V193" s="691" t="s">
        <v>1108</v>
      </c>
      <c r="W193" s="691"/>
      <c r="X193" s="691"/>
      <c r="Y193" s="671"/>
      <c r="Z193" s="671"/>
      <c r="AA193" s="671"/>
      <c r="AB193" s="671"/>
      <c r="AC193" s="671"/>
      <c r="AD193" s="671"/>
      <c r="AE193" s="671"/>
      <c r="AF193" s="671"/>
      <c r="AG193" s="671"/>
      <c r="AH193" s="671"/>
      <c r="AI193" s="671"/>
      <c r="AJ193" s="671"/>
      <c r="AK193" s="671"/>
      <c r="AL193" s="671"/>
      <c r="AM193" s="671"/>
      <c r="AN193" s="671"/>
      <c r="AO193" s="671"/>
      <c r="AP193" s="671"/>
      <c r="AQ193" s="671"/>
      <c r="AR193" s="671"/>
      <c r="AS193" s="671"/>
      <c r="AT193" s="671"/>
      <c r="AU193" s="671"/>
      <c r="AV193" s="671"/>
      <c r="AW193" s="634"/>
      <c r="AX193" s="634"/>
      <c r="AY193" s="634"/>
      <c r="AZ193" s="634"/>
    </row>
    <row r="194" spans="1:52" ht="12.75" customHeight="1">
      <c r="A194" s="626">
        <v>192</v>
      </c>
      <c r="B194" s="627"/>
      <c r="C194" s="690" t="s">
        <v>1092</v>
      </c>
      <c r="D194" s="690"/>
      <c r="E194" s="690"/>
      <c r="F194" s="690"/>
      <c r="G194" s="690"/>
      <c r="H194" s="690"/>
      <c r="I194" s="690"/>
      <c r="J194" s="690"/>
      <c r="K194" s="690"/>
      <c r="L194" s="690"/>
      <c r="M194" s="690"/>
      <c r="N194" s="690"/>
      <c r="O194" s="690"/>
      <c r="P194" s="690"/>
      <c r="Q194" s="690"/>
      <c r="R194" s="690"/>
      <c r="S194" s="690"/>
      <c r="T194" s="690"/>
      <c r="U194" s="690"/>
      <c r="V194" s="691" t="s">
        <v>1108</v>
      </c>
      <c r="W194" s="691"/>
      <c r="X194" s="691"/>
      <c r="Y194" s="671"/>
      <c r="Z194" s="671"/>
      <c r="AA194" s="671"/>
      <c r="AB194" s="671"/>
      <c r="AC194" s="671"/>
      <c r="AD194" s="671"/>
      <c r="AE194" s="671"/>
      <c r="AF194" s="671"/>
      <c r="AG194" s="671"/>
      <c r="AH194" s="671"/>
      <c r="AI194" s="671"/>
      <c r="AJ194" s="671"/>
      <c r="AK194" s="671"/>
      <c r="AL194" s="671"/>
      <c r="AM194" s="671"/>
      <c r="AN194" s="671"/>
      <c r="AO194" s="671"/>
      <c r="AP194" s="671"/>
      <c r="AQ194" s="671"/>
      <c r="AR194" s="671"/>
      <c r="AS194" s="671"/>
      <c r="AT194" s="671"/>
      <c r="AU194" s="671"/>
      <c r="AV194" s="671"/>
      <c r="AW194" s="634"/>
      <c r="AX194" s="634"/>
      <c r="AY194" s="634"/>
      <c r="AZ194" s="634"/>
    </row>
    <row r="195" spans="1:52" ht="12.75" customHeight="1">
      <c r="A195" s="626">
        <v>193</v>
      </c>
      <c r="B195" s="627"/>
      <c r="C195" s="690" t="s">
        <v>1093</v>
      </c>
      <c r="D195" s="690"/>
      <c r="E195" s="690"/>
      <c r="F195" s="690"/>
      <c r="G195" s="690"/>
      <c r="H195" s="690"/>
      <c r="I195" s="690"/>
      <c r="J195" s="690"/>
      <c r="K195" s="690"/>
      <c r="L195" s="690"/>
      <c r="M195" s="690"/>
      <c r="N195" s="690"/>
      <c r="O195" s="690"/>
      <c r="P195" s="690"/>
      <c r="Q195" s="690"/>
      <c r="R195" s="690"/>
      <c r="S195" s="690"/>
      <c r="T195" s="690"/>
      <c r="U195" s="690"/>
      <c r="V195" s="691" t="s">
        <v>1108</v>
      </c>
      <c r="W195" s="691"/>
      <c r="X195" s="691"/>
      <c r="Y195" s="671"/>
      <c r="Z195" s="671"/>
      <c r="AA195" s="671"/>
      <c r="AB195" s="671"/>
      <c r="AC195" s="671"/>
      <c r="AD195" s="671"/>
      <c r="AE195" s="671"/>
      <c r="AF195" s="671"/>
      <c r="AG195" s="671"/>
      <c r="AH195" s="671"/>
      <c r="AI195" s="671"/>
      <c r="AJ195" s="671"/>
      <c r="AK195" s="671"/>
      <c r="AL195" s="671"/>
      <c r="AM195" s="671"/>
      <c r="AN195" s="671"/>
      <c r="AO195" s="671"/>
      <c r="AP195" s="671"/>
      <c r="AQ195" s="671"/>
      <c r="AR195" s="671"/>
      <c r="AS195" s="671"/>
      <c r="AT195" s="671"/>
      <c r="AU195" s="671"/>
      <c r="AV195" s="671"/>
      <c r="AW195" s="634"/>
      <c r="AX195" s="634"/>
      <c r="AY195" s="634"/>
      <c r="AZ195" s="634"/>
    </row>
    <row r="196" spans="1:52" ht="12.75" customHeight="1">
      <c r="A196" s="626">
        <v>194</v>
      </c>
      <c r="B196" s="627"/>
      <c r="C196" s="690" t="s">
        <v>1094</v>
      </c>
      <c r="D196" s="690"/>
      <c r="E196" s="690"/>
      <c r="F196" s="690"/>
      <c r="G196" s="690"/>
      <c r="H196" s="690"/>
      <c r="I196" s="690"/>
      <c r="J196" s="690"/>
      <c r="K196" s="690"/>
      <c r="L196" s="690"/>
      <c r="M196" s="690"/>
      <c r="N196" s="690"/>
      <c r="O196" s="690"/>
      <c r="P196" s="690"/>
      <c r="Q196" s="690"/>
      <c r="R196" s="690"/>
      <c r="S196" s="690"/>
      <c r="T196" s="690"/>
      <c r="U196" s="690"/>
      <c r="V196" s="691" t="s">
        <v>1108</v>
      </c>
      <c r="W196" s="691"/>
      <c r="X196" s="691"/>
      <c r="Y196" s="671"/>
      <c r="Z196" s="671"/>
      <c r="AA196" s="671"/>
      <c r="AB196" s="671"/>
      <c r="AC196" s="671"/>
      <c r="AD196" s="671"/>
      <c r="AE196" s="671"/>
      <c r="AF196" s="671"/>
      <c r="AG196" s="671"/>
      <c r="AH196" s="671"/>
      <c r="AI196" s="671"/>
      <c r="AJ196" s="671"/>
      <c r="AK196" s="671"/>
      <c r="AL196" s="671"/>
      <c r="AM196" s="671"/>
      <c r="AN196" s="671"/>
      <c r="AO196" s="671"/>
      <c r="AP196" s="671"/>
      <c r="AQ196" s="671"/>
      <c r="AR196" s="671"/>
      <c r="AS196" s="671"/>
      <c r="AT196" s="671"/>
      <c r="AU196" s="671"/>
      <c r="AV196" s="671"/>
      <c r="AW196" s="634"/>
      <c r="AX196" s="634"/>
      <c r="AY196" s="634"/>
      <c r="AZ196" s="634"/>
    </row>
    <row r="197" spans="1:52" ht="12.75" customHeight="1">
      <c r="A197" s="626">
        <v>195</v>
      </c>
      <c r="B197" s="627"/>
      <c r="C197" s="690" t="s">
        <v>1095</v>
      </c>
      <c r="D197" s="690"/>
      <c r="E197" s="690"/>
      <c r="F197" s="690"/>
      <c r="G197" s="690"/>
      <c r="H197" s="690"/>
      <c r="I197" s="690"/>
      <c r="J197" s="690"/>
      <c r="K197" s="690"/>
      <c r="L197" s="690"/>
      <c r="M197" s="690"/>
      <c r="N197" s="690"/>
      <c r="O197" s="690"/>
      <c r="P197" s="690"/>
      <c r="Q197" s="690"/>
      <c r="R197" s="690"/>
      <c r="S197" s="690"/>
      <c r="T197" s="690"/>
      <c r="U197" s="690"/>
      <c r="V197" s="691" t="s">
        <v>1108</v>
      </c>
      <c r="W197" s="691"/>
      <c r="X197" s="691"/>
      <c r="Y197" s="671"/>
      <c r="Z197" s="671"/>
      <c r="AA197" s="671"/>
      <c r="AB197" s="671"/>
      <c r="AC197" s="671"/>
      <c r="AD197" s="671"/>
      <c r="AE197" s="671"/>
      <c r="AF197" s="671"/>
      <c r="AG197" s="671"/>
      <c r="AH197" s="671"/>
      <c r="AI197" s="671"/>
      <c r="AJ197" s="671"/>
      <c r="AK197" s="671"/>
      <c r="AL197" s="671"/>
      <c r="AM197" s="671"/>
      <c r="AN197" s="671"/>
      <c r="AO197" s="671"/>
      <c r="AP197" s="671"/>
      <c r="AQ197" s="671"/>
      <c r="AR197" s="671"/>
      <c r="AS197" s="671"/>
      <c r="AT197" s="671"/>
      <c r="AU197" s="671"/>
      <c r="AV197" s="671"/>
      <c r="AW197" s="634"/>
      <c r="AX197" s="634"/>
      <c r="AY197" s="634"/>
      <c r="AZ197" s="634"/>
    </row>
    <row r="198" spans="1:52" ht="25.5" customHeight="1">
      <c r="A198" s="626">
        <v>196</v>
      </c>
      <c r="B198" s="627"/>
      <c r="C198" s="690" t="s">
        <v>1096</v>
      </c>
      <c r="D198" s="690"/>
      <c r="E198" s="690"/>
      <c r="F198" s="690"/>
      <c r="G198" s="690"/>
      <c r="H198" s="690"/>
      <c r="I198" s="690"/>
      <c r="J198" s="690"/>
      <c r="K198" s="690"/>
      <c r="L198" s="690"/>
      <c r="M198" s="690"/>
      <c r="N198" s="690"/>
      <c r="O198" s="690"/>
      <c r="P198" s="690"/>
      <c r="Q198" s="690"/>
      <c r="R198" s="690"/>
      <c r="S198" s="690"/>
      <c r="T198" s="690"/>
      <c r="U198" s="690"/>
      <c r="V198" s="691" t="s">
        <v>1108</v>
      </c>
      <c r="W198" s="691"/>
      <c r="X198" s="691"/>
      <c r="Y198" s="671"/>
      <c r="Z198" s="671"/>
      <c r="AA198" s="671"/>
      <c r="AB198" s="671"/>
      <c r="AC198" s="671"/>
      <c r="AD198" s="671"/>
      <c r="AE198" s="671"/>
      <c r="AF198" s="671"/>
      <c r="AG198" s="671"/>
      <c r="AH198" s="671"/>
      <c r="AI198" s="671"/>
      <c r="AJ198" s="671"/>
      <c r="AK198" s="671"/>
      <c r="AL198" s="671"/>
      <c r="AM198" s="671"/>
      <c r="AN198" s="671"/>
      <c r="AO198" s="671"/>
      <c r="AP198" s="671"/>
      <c r="AQ198" s="671"/>
      <c r="AR198" s="671"/>
      <c r="AS198" s="671"/>
      <c r="AT198" s="671"/>
      <c r="AU198" s="671"/>
      <c r="AV198" s="671"/>
      <c r="AW198" s="634"/>
      <c r="AX198" s="634"/>
      <c r="AY198" s="634"/>
      <c r="AZ198" s="634"/>
    </row>
    <row r="199" spans="1:52" ht="12.75" customHeight="1">
      <c r="A199" s="626">
        <v>197</v>
      </c>
      <c r="B199" s="627"/>
      <c r="C199" s="690" t="s">
        <v>1097</v>
      </c>
      <c r="D199" s="690"/>
      <c r="E199" s="690"/>
      <c r="F199" s="690"/>
      <c r="G199" s="690"/>
      <c r="H199" s="690"/>
      <c r="I199" s="690"/>
      <c r="J199" s="690"/>
      <c r="K199" s="690"/>
      <c r="L199" s="690"/>
      <c r="M199" s="690"/>
      <c r="N199" s="690"/>
      <c r="O199" s="690"/>
      <c r="P199" s="690"/>
      <c r="Q199" s="690"/>
      <c r="R199" s="690"/>
      <c r="S199" s="690"/>
      <c r="T199" s="690"/>
      <c r="U199" s="690"/>
      <c r="V199" s="691" t="s">
        <v>1108</v>
      </c>
      <c r="W199" s="691"/>
      <c r="X199" s="691"/>
      <c r="Y199" s="671"/>
      <c r="Z199" s="671"/>
      <c r="AA199" s="671"/>
      <c r="AB199" s="671"/>
      <c r="AC199" s="671"/>
      <c r="AD199" s="671"/>
      <c r="AE199" s="671"/>
      <c r="AF199" s="671"/>
      <c r="AG199" s="671"/>
      <c r="AH199" s="671"/>
      <c r="AI199" s="671"/>
      <c r="AJ199" s="671"/>
      <c r="AK199" s="671"/>
      <c r="AL199" s="671"/>
      <c r="AM199" s="671"/>
      <c r="AN199" s="671"/>
      <c r="AO199" s="671"/>
      <c r="AP199" s="671"/>
      <c r="AQ199" s="671"/>
      <c r="AR199" s="671"/>
      <c r="AS199" s="671"/>
      <c r="AT199" s="671"/>
      <c r="AU199" s="671"/>
      <c r="AV199" s="671"/>
      <c r="AW199" s="634"/>
      <c r="AX199" s="634"/>
      <c r="AY199" s="634"/>
      <c r="AZ199" s="634"/>
    </row>
    <row r="200" spans="1:52" ht="12.75" customHeight="1">
      <c r="A200" s="626">
        <v>198</v>
      </c>
      <c r="B200" s="627"/>
      <c r="C200" s="690" t="s">
        <v>1099</v>
      </c>
      <c r="D200" s="690"/>
      <c r="E200" s="690"/>
      <c r="F200" s="690"/>
      <c r="G200" s="690"/>
      <c r="H200" s="690"/>
      <c r="I200" s="690"/>
      <c r="J200" s="690"/>
      <c r="K200" s="690"/>
      <c r="L200" s="690"/>
      <c r="M200" s="690"/>
      <c r="N200" s="690"/>
      <c r="O200" s="690"/>
      <c r="P200" s="690"/>
      <c r="Q200" s="690"/>
      <c r="R200" s="690"/>
      <c r="S200" s="690"/>
      <c r="T200" s="690"/>
      <c r="U200" s="690"/>
      <c r="V200" s="691" t="s">
        <v>1108</v>
      </c>
      <c r="W200" s="691"/>
      <c r="X200" s="691"/>
      <c r="Y200" s="671"/>
      <c r="Z200" s="671"/>
      <c r="AA200" s="671"/>
      <c r="AB200" s="671"/>
      <c r="AC200" s="671"/>
      <c r="AD200" s="671"/>
      <c r="AE200" s="671"/>
      <c r="AF200" s="671"/>
      <c r="AG200" s="671"/>
      <c r="AH200" s="671"/>
      <c r="AI200" s="671"/>
      <c r="AJ200" s="671"/>
      <c r="AK200" s="671"/>
      <c r="AL200" s="671"/>
      <c r="AM200" s="671"/>
      <c r="AN200" s="671"/>
      <c r="AO200" s="671"/>
      <c r="AP200" s="671"/>
      <c r="AQ200" s="671"/>
      <c r="AR200" s="671"/>
      <c r="AS200" s="671"/>
      <c r="AT200" s="671"/>
      <c r="AU200" s="671"/>
      <c r="AV200" s="671"/>
      <c r="AW200" s="634"/>
      <c r="AX200" s="634"/>
      <c r="AY200" s="634"/>
      <c r="AZ200" s="634"/>
    </row>
    <row r="201" spans="1:52" ht="12.75" customHeight="1">
      <c r="A201" s="626">
        <v>199</v>
      </c>
      <c r="B201" s="627"/>
      <c r="C201" s="690" t="s">
        <v>1100</v>
      </c>
      <c r="D201" s="690"/>
      <c r="E201" s="690"/>
      <c r="F201" s="690"/>
      <c r="G201" s="690"/>
      <c r="H201" s="690"/>
      <c r="I201" s="690"/>
      <c r="J201" s="690"/>
      <c r="K201" s="690"/>
      <c r="L201" s="690"/>
      <c r="M201" s="690"/>
      <c r="N201" s="690"/>
      <c r="O201" s="690"/>
      <c r="P201" s="690"/>
      <c r="Q201" s="690"/>
      <c r="R201" s="690"/>
      <c r="S201" s="690"/>
      <c r="T201" s="690"/>
      <c r="U201" s="690"/>
      <c r="V201" s="691" t="s">
        <v>1108</v>
      </c>
      <c r="W201" s="691"/>
      <c r="X201" s="691"/>
      <c r="Y201" s="671"/>
      <c r="Z201" s="671"/>
      <c r="AA201" s="671"/>
      <c r="AB201" s="671"/>
      <c r="AC201" s="671"/>
      <c r="AD201" s="671"/>
      <c r="AE201" s="671"/>
      <c r="AF201" s="671"/>
      <c r="AG201" s="671"/>
      <c r="AH201" s="671"/>
      <c r="AI201" s="671"/>
      <c r="AJ201" s="671"/>
      <c r="AK201" s="671"/>
      <c r="AL201" s="671"/>
      <c r="AM201" s="671"/>
      <c r="AN201" s="671"/>
      <c r="AO201" s="671"/>
      <c r="AP201" s="671"/>
      <c r="AQ201" s="671"/>
      <c r="AR201" s="671"/>
      <c r="AS201" s="671"/>
      <c r="AT201" s="671"/>
      <c r="AU201" s="671"/>
      <c r="AV201" s="671"/>
      <c r="AW201" s="634"/>
      <c r="AX201" s="634"/>
      <c r="AY201" s="634"/>
      <c r="AZ201" s="634"/>
    </row>
    <row r="202" spans="1:52" ht="12.75" customHeight="1">
      <c r="A202" s="626">
        <v>200</v>
      </c>
      <c r="B202" s="627"/>
      <c r="C202" s="690" t="s">
        <v>1109</v>
      </c>
      <c r="D202" s="690"/>
      <c r="E202" s="690"/>
      <c r="F202" s="690"/>
      <c r="G202" s="690"/>
      <c r="H202" s="690"/>
      <c r="I202" s="690"/>
      <c r="J202" s="690"/>
      <c r="K202" s="690"/>
      <c r="L202" s="690"/>
      <c r="M202" s="690"/>
      <c r="N202" s="690"/>
      <c r="O202" s="690"/>
      <c r="P202" s="690"/>
      <c r="Q202" s="690"/>
      <c r="R202" s="690"/>
      <c r="S202" s="690"/>
      <c r="T202" s="690"/>
      <c r="U202" s="690"/>
      <c r="V202" s="691" t="s">
        <v>1110</v>
      </c>
      <c r="W202" s="691"/>
      <c r="X202" s="691"/>
      <c r="Y202" s="634"/>
      <c r="Z202" s="634"/>
      <c r="AA202" s="634"/>
      <c r="AB202" s="634"/>
      <c r="AC202" s="634"/>
      <c r="AD202" s="634"/>
      <c r="AE202" s="634"/>
      <c r="AF202" s="634"/>
      <c r="AG202" s="671"/>
      <c r="AH202" s="671"/>
      <c r="AI202" s="671"/>
      <c r="AJ202" s="671"/>
      <c r="AK202" s="671"/>
      <c r="AL202" s="671"/>
      <c r="AM202" s="671"/>
      <c r="AN202" s="671"/>
      <c r="AO202" s="671"/>
      <c r="AP202" s="671"/>
      <c r="AQ202" s="671"/>
      <c r="AR202" s="671"/>
      <c r="AS202" s="671"/>
      <c r="AT202" s="671"/>
      <c r="AU202" s="671"/>
      <c r="AV202" s="671"/>
      <c r="AW202" s="671"/>
      <c r="AX202" s="671"/>
      <c r="AY202" s="671"/>
      <c r="AZ202" s="671"/>
    </row>
    <row r="203" spans="1:52" ht="39" customHeight="1">
      <c r="A203" s="638">
        <v>201</v>
      </c>
      <c r="B203" s="639"/>
      <c r="C203" s="701" t="s">
        <v>1111</v>
      </c>
      <c r="D203" s="701"/>
      <c r="E203" s="701"/>
      <c r="F203" s="701"/>
      <c r="G203" s="701"/>
      <c r="H203" s="701"/>
      <c r="I203" s="701"/>
      <c r="J203" s="701"/>
      <c r="K203" s="701"/>
      <c r="L203" s="701"/>
      <c r="M203" s="701"/>
      <c r="N203" s="701"/>
      <c r="O203" s="701"/>
      <c r="P203" s="701"/>
      <c r="Q203" s="701"/>
      <c r="R203" s="701"/>
      <c r="S203" s="701"/>
      <c r="T203" s="701"/>
      <c r="U203" s="701"/>
      <c r="V203" s="692" t="s">
        <v>1112</v>
      </c>
      <c r="W203" s="692"/>
      <c r="X203" s="692"/>
      <c r="Y203" s="646"/>
      <c r="Z203" s="693"/>
      <c r="AA203" s="693"/>
      <c r="AB203" s="693"/>
      <c r="AC203" s="646"/>
      <c r="AD203" s="693"/>
      <c r="AE203" s="693"/>
      <c r="AF203" s="693"/>
      <c r="AG203" s="646"/>
      <c r="AH203" s="693"/>
      <c r="AI203" s="693"/>
      <c r="AJ203" s="693"/>
      <c r="AK203" s="646"/>
      <c r="AL203" s="693"/>
      <c r="AM203" s="693"/>
      <c r="AN203" s="693"/>
      <c r="AO203" s="646"/>
      <c r="AP203" s="693"/>
      <c r="AQ203" s="693"/>
      <c r="AR203" s="693"/>
      <c r="AS203" s="646"/>
      <c r="AT203" s="693"/>
      <c r="AU203" s="693"/>
      <c r="AV203" s="693"/>
      <c r="AW203" s="646"/>
      <c r="AX203" s="693"/>
      <c r="AY203" s="693"/>
      <c r="AZ203" s="693"/>
    </row>
    <row r="204" spans="1:52" ht="12.75" customHeight="1">
      <c r="A204" s="626">
        <v>202</v>
      </c>
      <c r="B204" s="627"/>
      <c r="C204" s="690" t="s">
        <v>1113</v>
      </c>
      <c r="D204" s="690"/>
      <c r="E204" s="690"/>
      <c r="F204" s="690"/>
      <c r="G204" s="690"/>
      <c r="H204" s="690"/>
      <c r="I204" s="690"/>
      <c r="J204" s="690"/>
      <c r="K204" s="690"/>
      <c r="L204" s="690"/>
      <c r="M204" s="690"/>
      <c r="N204" s="690"/>
      <c r="O204" s="690"/>
      <c r="P204" s="690"/>
      <c r="Q204" s="690"/>
      <c r="R204" s="690"/>
      <c r="S204" s="690"/>
      <c r="T204" s="690"/>
      <c r="U204" s="690"/>
      <c r="V204" s="691" t="s">
        <v>1114</v>
      </c>
      <c r="W204" s="691"/>
      <c r="X204" s="691"/>
      <c r="Y204" s="634"/>
      <c r="Z204" s="634"/>
      <c r="AA204" s="634"/>
      <c r="AB204" s="634"/>
      <c r="AC204" s="634"/>
      <c r="AD204" s="634"/>
      <c r="AE204" s="634"/>
      <c r="AF204" s="634"/>
      <c r="AG204" s="634"/>
      <c r="AH204" s="634"/>
      <c r="AI204" s="634"/>
      <c r="AJ204" s="634"/>
      <c r="AK204" s="634"/>
      <c r="AL204" s="634"/>
      <c r="AM204" s="634"/>
      <c r="AN204" s="634"/>
      <c r="AO204" s="634"/>
      <c r="AP204" s="634"/>
      <c r="AQ204" s="634"/>
      <c r="AR204" s="634"/>
      <c r="AS204" s="634"/>
      <c r="AT204" s="634"/>
      <c r="AU204" s="634"/>
      <c r="AV204" s="634"/>
      <c r="AW204" s="634"/>
      <c r="AX204" s="634"/>
      <c r="AY204" s="634"/>
      <c r="AZ204" s="634"/>
    </row>
    <row r="205" spans="1:52" ht="12.75" customHeight="1">
      <c r="A205" s="626">
        <v>203</v>
      </c>
      <c r="B205" s="627"/>
      <c r="C205" s="690" t="s">
        <v>1115</v>
      </c>
      <c r="D205" s="690"/>
      <c r="E205" s="690"/>
      <c r="F205" s="690"/>
      <c r="G205" s="690"/>
      <c r="H205" s="690"/>
      <c r="I205" s="690"/>
      <c r="J205" s="690"/>
      <c r="K205" s="690"/>
      <c r="L205" s="690"/>
      <c r="M205" s="690"/>
      <c r="N205" s="690"/>
      <c r="O205" s="690"/>
      <c r="P205" s="690"/>
      <c r="Q205" s="690"/>
      <c r="R205" s="690"/>
      <c r="S205" s="690"/>
      <c r="T205" s="690"/>
      <c r="U205" s="690"/>
      <c r="V205" s="691" t="s">
        <v>1116</v>
      </c>
      <c r="W205" s="691"/>
      <c r="X205" s="691"/>
      <c r="Y205" s="634"/>
      <c r="Z205" s="634"/>
      <c r="AA205" s="634"/>
      <c r="AB205" s="634"/>
      <c r="AC205" s="634"/>
      <c r="AD205" s="634"/>
      <c r="AE205" s="634"/>
      <c r="AF205" s="634"/>
      <c r="AG205" s="634"/>
      <c r="AH205" s="634"/>
      <c r="AI205" s="634"/>
      <c r="AJ205" s="634"/>
      <c r="AK205" s="634"/>
      <c r="AL205" s="634"/>
      <c r="AM205" s="634"/>
      <c r="AN205" s="634"/>
      <c r="AO205" s="634"/>
      <c r="AP205" s="634"/>
      <c r="AQ205" s="634"/>
      <c r="AR205" s="634"/>
      <c r="AS205" s="634"/>
      <c r="AT205" s="634"/>
      <c r="AU205" s="634"/>
      <c r="AV205" s="634"/>
      <c r="AW205" s="634"/>
      <c r="AX205" s="634"/>
      <c r="AY205" s="634"/>
      <c r="AZ205" s="634"/>
    </row>
    <row r="206" spans="1:52" ht="12.75" customHeight="1">
      <c r="A206" s="626">
        <v>204</v>
      </c>
      <c r="B206" s="627"/>
      <c r="C206" s="690" t="s">
        <v>1117</v>
      </c>
      <c r="D206" s="690"/>
      <c r="E206" s="690"/>
      <c r="F206" s="690"/>
      <c r="G206" s="690"/>
      <c r="H206" s="690"/>
      <c r="I206" s="690"/>
      <c r="J206" s="690"/>
      <c r="K206" s="690"/>
      <c r="L206" s="690"/>
      <c r="M206" s="690"/>
      <c r="N206" s="690"/>
      <c r="O206" s="690"/>
      <c r="P206" s="690"/>
      <c r="Q206" s="690"/>
      <c r="R206" s="690"/>
      <c r="S206" s="690"/>
      <c r="T206" s="690"/>
      <c r="U206" s="690"/>
      <c r="V206" s="691" t="s">
        <v>1116</v>
      </c>
      <c r="W206" s="691"/>
      <c r="X206" s="691"/>
      <c r="Y206" s="671"/>
      <c r="Z206" s="671"/>
      <c r="AA206" s="671"/>
      <c r="AB206" s="671"/>
      <c r="AC206" s="671"/>
      <c r="AD206" s="671"/>
      <c r="AE206" s="671"/>
      <c r="AF206" s="671"/>
      <c r="AG206" s="671"/>
      <c r="AH206" s="671"/>
      <c r="AI206" s="671"/>
      <c r="AJ206" s="671"/>
      <c r="AK206" s="671"/>
      <c r="AL206" s="671"/>
      <c r="AM206" s="671"/>
      <c r="AN206" s="671"/>
      <c r="AO206" s="671"/>
      <c r="AP206" s="671"/>
      <c r="AQ206" s="671"/>
      <c r="AR206" s="671"/>
      <c r="AS206" s="671"/>
      <c r="AT206" s="671"/>
      <c r="AU206" s="671"/>
      <c r="AV206" s="671"/>
      <c r="AW206" s="634"/>
      <c r="AX206" s="634"/>
      <c r="AY206" s="634"/>
      <c r="AZ206" s="634"/>
    </row>
    <row r="207" spans="1:52" ht="12.75" customHeight="1">
      <c r="A207" s="626">
        <v>205</v>
      </c>
      <c r="B207" s="627"/>
      <c r="C207" s="690" t="s">
        <v>1118</v>
      </c>
      <c r="D207" s="690"/>
      <c r="E207" s="690"/>
      <c r="F207" s="690"/>
      <c r="G207" s="690"/>
      <c r="H207" s="690"/>
      <c r="I207" s="690"/>
      <c r="J207" s="690"/>
      <c r="K207" s="690"/>
      <c r="L207" s="690"/>
      <c r="M207" s="690"/>
      <c r="N207" s="690"/>
      <c r="O207" s="690"/>
      <c r="P207" s="690"/>
      <c r="Q207" s="690"/>
      <c r="R207" s="690"/>
      <c r="S207" s="690"/>
      <c r="T207" s="690"/>
      <c r="U207" s="690"/>
      <c r="V207" s="691" t="s">
        <v>1119</v>
      </c>
      <c r="W207" s="691"/>
      <c r="X207" s="691"/>
      <c r="Y207" s="634"/>
      <c r="Z207" s="634"/>
      <c r="AA207" s="634"/>
      <c r="AB207" s="634"/>
      <c r="AC207" s="634"/>
      <c r="AD207" s="634"/>
      <c r="AE207" s="634"/>
      <c r="AF207" s="634"/>
      <c r="AG207" s="634"/>
      <c r="AH207" s="634"/>
      <c r="AI207" s="634"/>
      <c r="AJ207" s="634"/>
      <c r="AK207" s="634"/>
      <c r="AL207" s="634"/>
      <c r="AM207" s="634"/>
      <c r="AN207" s="634"/>
      <c r="AO207" s="634"/>
      <c r="AP207" s="634"/>
      <c r="AQ207" s="634"/>
      <c r="AR207" s="634"/>
      <c r="AS207" s="634"/>
      <c r="AT207" s="634"/>
      <c r="AU207" s="634"/>
      <c r="AV207" s="634"/>
      <c r="AW207" s="634"/>
      <c r="AX207" s="634"/>
      <c r="AY207" s="634"/>
      <c r="AZ207" s="634"/>
    </row>
    <row r="208" spans="1:52" ht="12.75" customHeight="1">
      <c r="A208" s="626">
        <v>206</v>
      </c>
      <c r="B208" s="627"/>
      <c r="C208" s="690" t="s">
        <v>1120</v>
      </c>
      <c r="D208" s="690"/>
      <c r="E208" s="690"/>
      <c r="F208" s="690"/>
      <c r="G208" s="690"/>
      <c r="H208" s="690"/>
      <c r="I208" s="690"/>
      <c r="J208" s="690"/>
      <c r="K208" s="690"/>
      <c r="L208" s="690"/>
      <c r="M208" s="690"/>
      <c r="N208" s="690"/>
      <c r="O208" s="690"/>
      <c r="P208" s="690"/>
      <c r="Q208" s="690"/>
      <c r="R208" s="690"/>
      <c r="S208" s="690"/>
      <c r="T208" s="690"/>
      <c r="U208" s="690"/>
      <c r="V208" s="691" t="s">
        <v>1121</v>
      </c>
      <c r="W208" s="691"/>
      <c r="X208" s="691"/>
      <c r="Y208" s="634"/>
      <c r="Z208" s="634"/>
      <c r="AA208" s="634"/>
      <c r="AB208" s="634"/>
      <c r="AC208" s="634"/>
      <c r="AD208" s="634"/>
      <c r="AE208" s="634"/>
      <c r="AF208" s="634"/>
      <c r="AG208" s="634"/>
      <c r="AH208" s="634"/>
      <c r="AI208" s="634"/>
      <c r="AJ208" s="634"/>
      <c r="AK208" s="634"/>
      <c r="AL208" s="634"/>
      <c r="AM208" s="634"/>
      <c r="AN208" s="634"/>
      <c r="AO208" s="634"/>
      <c r="AP208" s="634"/>
      <c r="AQ208" s="634"/>
      <c r="AR208" s="634"/>
      <c r="AS208" s="634"/>
      <c r="AT208" s="634"/>
      <c r="AU208" s="634"/>
      <c r="AV208" s="634"/>
      <c r="AW208" s="634"/>
      <c r="AX208" s="634"/>
      <c r="AY208" s="634"/>
      <c r="AZ208" s="634"/>
    </row>
    <row r="209" spans="1:52" ht="12.75" customHeight="1">
      <c r="A209" s="626">
        <v>207</v>
      </c>
      <c r="B209" s="627"/>
      <c r="C209" s="690" t="s">
        <v>1122</v>
      </c>
      <c r="D209" s="700"/>
      <c r="E209" s="700"/>
      <c r="F209" s="700"/>
      <c r="G209" s="700"/>
      <c r="H209" s="700"/>
      <c r="I209" s="700"/>
      <c r="J209" s="700"/>
      <c r="K209" s="700"/>
      <c r="L209" s="700"/>
      <c r="M209" s="700"/>
      <c r="N209" s="700"/>
      <c r="O209" s="700"/>
      <c r="P209" s="700"/>
      <c r="Q209" s="700"/>
      <c r="R209" s="700"/>
      <c r="S209" s="700"/>
      <c r="T209" s="700"/>
      <c r="U209" s="700"/>
      <c r="V209" s="691" t="s">
        <v>1123</v>
      </c>
      <c r="W209" s="691"/>
      <c r="X209" s="691"/>
      <c r="Y209" s="634"/>
      <c r="Z209" s="634"/>
      <c r="AA209" s="634"/>
      <c r="AB209" s="634"/>
      <c r="AC209" s="634"/>
      <c r="AD209" s="634"/>
      <c r="AE209" s="634"/>
      <c r="AF209" s="634"/>
      <c r="AG209" s="634"/>
      <c r="AH209" s="634"/>
      <c r="AI209" s="634"/>
      <c r="AJ209" s="634"/>
      <c r="AK209" s="634"/>
      <c r="AL209" s="634"/>
      <c r="AM209" s="634"/>
      <c r="AN209" s="634"/>
      <c r="AO209" s="634"/>
      <c r="AP209" s="634"/>
      <c r="AQ209" s="634"/>
      <c r="AR209" s="634"/>
      <c r="AS209" s="634"/>
      <c r="AT209" s="634"/>
      <c r="AU209" s="634"/>
      <c r="AV209" s="634"/>
      <c r="AW209" s="634"/>
      <c r="AX209" s="634"/>
      <c r="AY209" s="634"/>
      <c r="AZ209" s="634"/>
    </row>
    <row r="210" spans="1:52" ht="12.75" customHeight="1">
      <c r="A210" s="626">
        <v>208</v>
      </c>
      <c r="B210" s="627"/>
      <c r="C210" s="690" t="s">
        <v>1124</v>
      </c>
      <c r="D210" s="690"/>
      <c r="E210" s="690"/>
      <c r="F210" s="690"/>
      <c r="G210" s="690"/>
      <c r="H210" s="690"/>
      <c r="I210" s="690"/>
      <c r="J210" s="690"/>
      <c r="K210" s="690"/>
      <c r="L210" s="690"/>
      <c r="M210" s="690"/>
      <c r="N210" s="690"/>
      <c r="O210" s="690"/>
      <c r="P210" s="690"/>
      <c r="Q210" s="690"/>
      <c r="R210" s="690"/>
      <c r="S210" s="690"/>
      <c r="T210" s="690"/>
      <c r="U210" s="690"/>
      <c r="V210" s="691" t="s">
        <v>1125</v>
      </c>
      <c r="W210" s="691"/>
      <c r="X210" s="691"/>
      <c r="Y210" s="634"/>
      <c r="Z210" s="634"/>
      <c r="AA210" s="634"/>
      <c r="AB210" s="634"/>
      <c r="AC210" s="634"/>
      <c r="AD210" s="634"/>
      <c r="AE210" s="634"/>
      <c r="AF210" s="634"/>
      <c r="AG210" s="634"/>
      <c r="AH210" s="634"/>
      <c r="AI210" s="634"/>
      <c r="AJ210" s="634"/>
      <c r="AK210" s="634"/>
      <c r="AL210" s="634"/>
      <c r="AM210" s="634"/>
      <c r="AN210" s="634"/>
      <c r="AO210" s="634"/>
      <c r="AP210" s="634"/>
      <c r="AQ210" s="634"/>
      <c r="AR210" s="634"/>
      <c r="AS210" s="634"/>
      <c r="AT210" s="634"/>
      <c r="AU210" s="634"/>
      <c r="AV210" s="634"/>
      <c r="AW210" s="634"/>
      <c r="AX210" s="634"/>
      <c r="AY210" s="634"/>
      <c r="AZ210" s="634"/>
    </row>
    <row r="211" spans="1:52" ht="25.5" customHeight="1">
      <c r="A211" s="626">
        <v>209</v>
      </c>
      <c r="B211" s="627"/>
      <c r="C211" s="690" t="s">
        <v>1126</v>
      </c>
      <c r="D211" s="690"/>
      <c r="E211" s="690"/>
      <c r="F211" s="690"/>
      <c r="G211" s="690"/>
      <c r="H211" s="690"/>
      <c r="I211" s="690"/>
      <c r="J211" s="690"/>
      <c r="K211" s="690"/>
      <c r="L211" s="690"/>
      <c r="M211" s="690"/>
      <c r="N211" s="690"/>
      <c r="O211" s="690"/>
      <c r="P211" s="690"/>
      <c r="Q211" s="690"/>
      <c r="R211" s="690"/>
      <c r="S211" s="690"/>
      <c r="T211" s="690"/>
      <c r="U211" s="690"/>
      <c r="V211" s="691" t="s">
        <v>1127</v>
      </c>
      <c r="W211" s="691"/>
      <c r="X211" s="691"/>
      <c r="Y211" s="634"/>
      <c r="Z211" s="634"/>
      <c r="AA211" s="634"/>
      <c r="AB211" s="634"/>
      <c r="AC211" s="634"/>
      <c r="AD211" s="634"/>
      <c r="AE211" s="634"/>
      <c r="AF211" s="634"/>
      <c r="AG211" s="634"/>
      <c r="AH211" s="634"/>
      <c r="AI211" s="634"/>
      <c r="AJ211" s="634"/>
      <c r="AK211" s="634"/>
      <c r="AL211" s="634"/>
      <c r="AM211" s="634"/>
      <c r="AN211" s="634"/>
      <c r="AO211" s="634"/>
      <c r="AP211" s="634"/>
      <c r="AQ211" s="634"/>
      <c r="AR211" s="634"/>
      <c r="AS211" s="634"/>
      <c r="AT211" s="634"/>
      <c r="AU211" s="634"/>
      <c r="AV211" s="634"/>
      <c r="AW211" s="634"/>
      <c r="AX211" s="634"/>
      <c r="AY211" s="634"/>
      <c r="AZ211" s="634"/>
    </row>
    <row r="212" spans="1:52" ht="12.75" customHeight="1">
      <c r="A212" s="638">
        <v>210</v>
      </c>
      <c r="B212" s="639"/>
      <c r="C212" s="688" t="s">
        <v>1128</v>
      </c>
      <c r="D212" s="688"/>
      <c r="E212" s="688"/>
      <c r="F212" s="688"/>
      <c r="G212" s="688"/>
      <c r="H212" s="688"/>
      <c r="I212" s="688"/>
      <c r="J212" s="688"/>
      <c r="K212" s="688"/>
      <c r="L212" s="688"/>
      <c r="M212" s="688"/>
      <c r="N212" s="688"/>
      <c r="O212" s="688"/>
      <c r="P212" s="688"/>
      <c r="Q212" s="688"/>
      <c r="R212" s="688"/>
      <c r="S212" s="688"/>
      <c r="T212" s="688"/>
      <c r="U212" s="688"/>
      <c r="V212" s="692" t="s">
        <v>1129</v>
      </c>
      <c r="W212" s="692"/>
      <c r="X212" s="692"/>
      <c r="Y212" s="646"/>
      <c r="Z212" s="693"/>
      <c r="AA212" s="693"/>
      <c r="AB212" s="693"/>
      <c r="AC212" s="646"/>
      <c r="AD212" s="693"/>
      <c r="AE212" s="693"/>
      <c r="AF212" s="693"/>
      <c r="AG212" s="646"/>
      <c r="AH212" s="693"/>
      <c r="AI212" s="693"/>
      <c r="AJ212" s="693"/>
      <c r="AK212" s="646"/>
      <c r="AL212" s="693"/>
      <c r="AM212" s="693"/>
      <c r="AN212" s="693"/>
      <c r="AO212" s="646"/>
      <c r="AP212" s="693"/>
      <c r="AQ212" s="693"/>
      <c r="AR212" s="693"/>
      <c r="AS212" s="646"/>
      <c r="AT212" s="693"/>
      <c r="AU212" s="693"/>
      <c r="AV212" s="693"/>
      <c r="AW212" s="646"/>
      <c r="AX212" s="693"/>
      <c r="AY212" s="693"/>
      <c r="AZ212" s="693"/>
    </row>
    <row r="213" spans="1:52" ht="12.75" customHeight="1">
      <c r="A213" s="626">
        <v>211</v>
      </c>
      <c r="B213" s="627"/>
      <c r="C213" s="690" t="s">
        <v>1130</v>
      </c>
      <c r="D213" s="690"/>
      <c r="E213" s="690"/>
      <c r="F213" s="690"/>
      <c r="G213" s="690"/>
      <c r="H213" s="690"/>
      <c r="I213" s="690"/>
      <c r="J213" s="690"/>
      <c r="K213" s="690"/>
      <c r="L213" s="690"/>
      <c r="M213" s="690"/>
      <c r="N213" s="690"/>
      <c r="O213" s="690"/>
      <c r="P213" s="690"/>
      <c r="Q213" s="690"/>
      <c r="R213" s="690"/>
      <c r="S213" s="690"/>
      <c r="T213" s="690"/>
      <c r="U213" s="690"/>
      <c r="V213" s="691" t="s">
        <v>1131</v>
      </c>
      <c r="W213" s="691"/>
      <c r="X213" s="691"/>
      <c r="Y213" s="634"/>
      <c r="Z213" s="634"/>
      <c r="AA213" s="634"/>
      <c r="AB213" s="634"/>
      <c r="AC213" s="634"/>
      <c r="AD213" s="634"/>
      <c r="AE213" s="634"/>
      <c r="AF213" s="634"/>
      <c r="AG213" s="634"/>
      <c r="AH213" s="634"/>
      <c r="AI213" s="634"/>
      <c r="AJ213" s="634"/>
      <c r="AK213" s="634"/>
      <c r="AL213" s="634"/>
      <c r="AM213" s="634"/>
      <c r="AN213" s="634"/>
      <c r="AO213" s="634"/>
      <c r="AP213" s="634"/>
      <c r="AQ213" s="634"/>
      <c r="AR213" s="634"/>
      <c r="AS213" s="634"/>
      <c r="AT213" s="634"/>
      <c r="AU213" s="634"/>
      <c r="AV213" s="634"/>
      <c r="AW213" s="634"/>
      <c r="AX213" s="634"/>
      <c r="AY213" s="634"/>
      <c r="AZ213" s="634"/>
    </row>
    <row r="214" spans="1:52" ht="12.75" customHeight="1">
      <c r="A214" s="626">
        <v>212</v>
      </c>
      <c r="B214" s="627"/>
      <c r="C214" s="690" t="s">
        <v>1132</v>
      </c>
      <c r="D214" s="690"/>
      <c r="E214" s="690"/>
      <c r="F214" s="690"/>
      <c r="G214" s="690"/>
      <c r="H214" s="690"/>
      <c r="I214" s="690"/>
      <c r="J214" s="690"/>
      <c r="K214" s="690"/>
      <c r="L214" s="690"/>
      <c r="M214" s="690"/>
      <c r="N214" s="690"/>
      <c r="O214" s="690"/>
      <c r="P214" s="690"/>
      <c r="Q214" s="690"/>
      <c r="R214" s="690"/>
      <c r="S214" s="690"/>
      <c r="T214" s="690"/>
      <c r="U214" s="690"/>
      <c r="V214" s="691" t="s">
        <v>1133</v>
      </c>
      <c r="W214" s="691"/>
      <c r="X214" s="691"/>
      <c r="Y214" s="634"/>
      <c r="Z214" s="634"/>
      <c r="AA214" s="634"/>
      <c r="AB214" s="634"/>
      <c r="AC214" s="634"/>
      <c r="AD214" s="634"/>
      <c r="AE214" s="634"/>
      <c r="AF214" s="634"/>
      <c r="AG214" s="634"/>
      <c r="AH214" s="634"/>
      <c r="AI214" s="634"/>
      <c r="AJ214" s="634"/>
      <c r="AK214" s="634"/>
      <c r="AL214" s="634"/>
      <c r="AM214" s="634"/>
      <c r="AN214" s="634"/>
      <c r="AO214" s="634"/>
      <c r="AP214" s="634"/>
      <c r="AQ214" s="634"/>
      <c r="AR214" s="634"/>
      <c r="AS214" s="634"/>
      <c r="AT214" s="634"/>
      <c r="AU214" s="634"/>
      <c r="AV214" s="634"/>
      <c r="AW214" s="634"/>
      <c r="AX214" s="634"/>
      <c r="AY214" s="634"/>
      <c r="AZ214" s="634"/>
    </row>
    <row r="215" spans="1:52" ht="12.75" customHeight="1">
      <c r="A215" s="626">
        <v>213</v>
      </c>
      <c r="B215" s="627"/>
      <c r="C215" s="690" t="s">
        <v>1134</v>
      </c>
      <c r="D215" s="690"/>
      <c r="E215" s="690"/>
      <c r="F215" s="690"/>
      <c r="G215" s="690"/>
      <c r="H215" s="690"/>
      <c r="I215" s="690"/>
      <c r="J215" s="690"/>
      <c r="K215" s="690"/>
      <c r="L215" s="690"/>
      <c r="M215" s="690"/>
      <c r="N215" s="690"/>
      <c r="O215" s="690"/>
      <c r="P215" s="690"/>
      <c r="Q215" s="690"/>
      <c r="R215" s="690"/>
      <c r="S215" s="690"/>
      <c r="T215" s="690"/>
      <c r="U215" s="690"/>
      <c r="V215" s="691" t="s">
        <v>1135</v>
      </c>
      <c r="W215" s="691"/>
      <c r="X215" s="691"/>
      <c r="Y215" s="634"/>
      <c r="Z215" s="634"/>
      <c r="AA215" s="634"/>
      <c r="AB215" s="634"/>
      <c r="AC215" s="634"/>
      <c r="AD215" s="634"/>
      <c r="AE215" s="634"/>
      <c r="AF215" s="634"/>
      <c r="AG215" s="634"/>
      <c r="AH215" s="634"/>
      <c r="AI215" s="634"/>
      <c r="AJ215" s="634"/>
      <c r="AK215" s="634"/>
      <c r="AL215" s="634"/>
      <c r="AM215" s="634"/>
      <c r="AN215" s="634"/>
      <c r="AO215" s="634"/>
      <c r="AP215" s="634"/>
      <c r="AQ215" s="634"/>
      <c r="AR215" s="634"/>
      <c r="AS215" s="634"/>
      <c r="AT215" s="634"/>
      <c r="AU215" s="634"/>
      <c r="AV215" s="634"/>
      <c r="AW215" s="634"/>
      <c r="AX215" s="634"/>
      <c r="AY215" s="634"/>
      <c r="AZ215" s="634"/>
    </row>
    <row r="216" spans="1:52" ht="12.75" customHeight="1">
      <c r="A216" s="626">
        <v>214</v>
      </c>
      <c r="B216" s="627"/>
      <c r="C216" s="690" t="s">
        <v>1136</v>
      </c>
      <c r="D216" s="690"/>
      <c r="E216" s="690"/>
      <c r="F216" s="690"/>
      <c r="G216" s="690"/>
      <c r="H216" s="690"/>
      <c r="I216" s="690"/>
      <c r="J216" s="690"/>
      <c r="K216" s="690"/>
      <c r="L216" s="690"/>
      <c r="M216" s="690"/>
      <c r="N216" s="690"/>
      <c r="O216" s="690"/>
      <c r="P216" s="690"/>
      <c r="Q216" s="690"/>
      <c r="R216" s="690"/>
      <c r="S216" s="690"/>
      <c r="T216" s="690"/>
      <c r="U216" s="690"/>
      <c r="V216" s="691" t="s">
        <v>1137</v>
      </c>
      <c r="W216" s="691"/>
      <c r="X216" s="691"/>
      <c r="Y216" s="634"/>
      <c r="Z216" s="634"/>
      <c r="AA216" s="634"/>
      <c r="AB216" s="634"/>
      <c r="AC216" s="634"/>
      <c r="AD216" s="634"/>
      <c r="AE216" s="634"/>
      <c r="AF216" s="634"/>
      <c r="AG216" s="634"/>
      <c r="AH216" s="634"/>
      <c r="AI216" s="634"/>
      <c r="AJ216" s="634"/>
      <c r="AK216" s="634"/>
      <c r="AL216" s="634"/>
      <c r="AM216" s="634"/>
      <c r="AN216" s="634"/>
      <c r="AO216" s="634"/>
      <c r="AP216" s="634"/>
      <c r="AQ216" s="634"/>
      <c r="AR216" s="634"/>
      <c r="AS216" s="634"/>
      <c r="AT216" s="634"/>
      <c r="AU216" s="634"/>
      <c r="AV216" s="634"/>
      <c r="AW216" s="634"/>
      <c r="AX216" s="634"/>
      <c r="AY216" s="634"/>
      <c r="AZ216" s="634"/>
    </row>
    <row r="217" spans="1:52" ht="12.75" customHeight="1">
      <c r="A217" s="638">
        <v>215</v>
      </c>
      <c r="B217" s="639"/>
      <c r="C217" s="688" t="s">
        <v>1138</v>
      </c>
      <c r="D217" s="688"/>
      <c r="E217" s="688"/>
      <c r="F217" s="688"/>
      <c r="G217" s="688"/>
      <c r="H217" s="688"/>
      <c r="I217" s="688"/>
      <c r="J217" s="688"/>
      <c r="K217" s="688"/>
      <c r="L217" s="688"/>
      <c r="M217" s="688"/>
      <c r="N217" s="688"/>
      <c r="O217" s="688"/>
      <c r="P217" s="688"/>
      <c r="Q217" s="688"/>
      <c r="R217" s="688"/>
      <c r="S217" s="688"/>
      <c r="T217" s="688"/>
      <c r="U217" s="688"/>
      <c r="V217" s="692" t="s">
        <v>1139</v>
      </c>
      <c r="W217" s="692"/>
      <c r="X217" s="692"/>
      <c r="Y217" s="646"/>
      <c r="Z217" s="693"/>
      <c r="AA217" s="693"/>
      <c r="AB217" s="693"/>
      <c r="AC217" s="646"/>
      <c r="AD217" s="693"/>
      <c r="AE217" s="693"/>
      <c r="AF217" s="693"/>
      <c r="AG217" s="646"/>
      <c r="AH217" s="693"/>
      <c r="AI217" s="693"/>
      <c r="AJ217" s="693"/>
      <c r="AK217" s="646"/>
      <c r="AL217" s="693"/>
      <c r="AM217" s="693"/>
      <c r="AN217" s="693"/>
      <c r="AO217" s="646"/>
      <c r="AP217" s="693"/>
      <c r="AQ217" s="693"/>
      <c r="AR217" s="693"/>
      <c r="AS217" s="646"/>
      <c r="AT217" s="693"/>
      <c r="AU217" s="693"/>
      <c r="AV217" s="693"/>
      <c r="AW217" s="646"/>
      <c r="AX217" s="693"/>
      <c r="AY217" s="693"/>
      <c r="AZ217" s="693"/>
    </row>
    <row r="218" spans="1:52" s="549" customFormat="1" ht="25.5" customHeight="1">
      <c r="A218" s="626">
        <v>216</v>
      </c>
      <c r="B218" s="627"/>
      <c r="C218" s="700" t="s">
        <v>1140</v>
      </c>
      <c r="D218" s="700"/>
      <c r="E218" s="700"/>
      <c r="F218" s="700"/>
      <c r="G218" s="700"/>
      <c r="H218" s="700"/>
      <c r="I218" s="700"/>
      <c r="J218" s="700"/>
      <c r="K218" s="700"/>
      <c r="L218" s="700"/>
      <c r="M218" s="700"/>
      <c r="N218" s="700"/>
      <c r="O218" s="700"/>
      <c r="P218" s="700"/>
      <c r="Q218" s="700"/>
      <c r="R218" s="700"/>
      <c r="S218" s="700"/>
      <c r="T218" s="700"/>
      <c r="U218" s="700"/>
      <c r="V218" s="691" t="s">
        <v>1141</v>
      </c>
      <c r="W218" s="691"/>
      <c r="X218" s="691"/>
      <c r="Y218" s="675"/>
      <c r="Z218" s="675"/>
      <c r="AA218" s="675"/>
      <c r="AB218" s="675"/>
      <c r="AC218" s="675"/>
      <c r="AD218" s="675"/>
      <c r="AE218" s="675"/>
      <c r="AF218" s="675"/>
      <c r="AG218" s="675"/>
      <c r="AH218" s="675"/>
      <c r="AI218" s="675"/>
      <c r="AJ218" s="675"/>
      <c r="AK218" s="675"/>
      <c r="AL218" s="675"/>
      <c r="AM218" s="675"/>
      <c r="AN218" s="675"/>
      <c r="AO218" s="675"/>
      <c r="AP218" s="675"/>
      <c r="AQ218" s="675"/>
      <c r="AR218" s="675"/>
      <c r="AS218" s="675"/>
      <c r="AT218" s="675"/>
      <c r="AU218" s="675"/>
      <c r="AV218" s="675"/>
      <c r="AW218" s="675"/>
      <c r="AX218" s="675"/>
      <c r="AY218" s="675"/>
      <c r="AZ218" s="675"/>
    </row>
    <row r="219" spans="1:52" ht="25.5" customHeight="1">
      <c r="A219" s="626">
        <v>217</v>
      </c>
      <c r="B219" s="627"/>
      <c r="C219" s="700" t="s">
        <v>1142</v>
      </c>
      <c r="D219" s="700"/>
      <c r="E219" s="700"/>
      <c r="F219" s="700"/>
      <c r="G219" s="700"/>
      <c r="H219" s="700"/>
      <c r="I219" s="700"/>
      <c r="J219" s="700"/>
      <c r="K219" s="700"/>
      <c r="L219" s="700"/>
      <c r="M219" s="700"/>
      <c r="N219" s="700"/>
      <c r="O219" s="700"/>
      <c r="P219" s="700"/>
      <c r="Q219" s="700"/>
      <c r="R219" s="700"/>
      <c r="S219" s="700"/>
      <c r="T219" s="700"/>
      <c r="U219" s="700"/>
      <c r="V219" s="691" t="s">
        <v>1143</v>
      </c>
      <c r="W219" s="691"/>
      <c r="X219" s="691"/>
      <c r="Y219" s="634"/>
      <c r="Z219" s="634"/>
      <c r="AA219" s="634"/>
      <c r="AB219" s="634"/>
      <c r="AC219" s="634"/>
      <c r="AD219" s="634"/>
      <c r="AE219" s="634"/>
      <c r="AF219" s="634"/>
      <c r="AG219" s="634"/>
      <c r="AH219" s="634"/>
      <c r="AI219" s="634"/>
      <c r="AJ219" s="634"/>
      <c r="AK219" s="634"/>
      <c r="AL219" s="634"/>
      <c r="AM219" s="634"/>
      <c r="AN219" s="634"/>
      <c r="AO219" s="671"/>
      <c r="AP219" s="671"/>
      <c r="AQ219" s="671"/>
      <c r="AR219" s="671"/>
      <c r="AS219" s="671"/>
      <c r="AT219" s="671"/>
      <c r="AU219" s="671"/>
      <c r="AV219" s="671"/>
      <c r="AW219" s="646"/>
      <c r="AX219" s="693"/>
      <c r="AY219" s="693"/>
      <c r="AZ219" s="693"/>
    </row>
    <row r="220" spans="1:52" ht="12.75" customHeight="1">
      <c r="A220" s="626">
        <v>218</v>
      </c>
      <c r="B220" s="627"/>
      <c r="C220" s="690" t="s">
        <v>1071</v>
      </c>
      <c r="D220" s="690"/>
      <c r="E220" s="690"/>
      <c r="F220" s="690"/>
      <c r="G220" s="690"/>
      <c r="H220" s="690"/>
      <c r="I220" s="690"/>
      <c r="J220" s="690"/>
      <c r="K220" s="690"/>
      <c r="L220" s="690"/>
      <c r="M220" s="690"/>
      <c r="N220" s="690"/>
      <c r="O220" s="690"/>
      <c r="P220" s="690"/>
      <c r="Q220" s="690"/>
      <c r="R220" s="690"/>
      <c r="S220" s="690"/>
      <c r="T220" s="690"/>
      <c r="U220" s="690"/>
      <c r="V220" s="691" t="s">
        <v>1143</v>
      </c>
      <c r="W220" s="691"/>
      <c r="X220" s="691"/>
      <c r="Y220" s="671"/>
      <c r="Z220" s="671"/>
      <c r="AA220" s="671"/>
      <c r="AB220" s="671"/>
      <c r="AC220" s="671"/>
      <c r="AD220" s="671"/>
      <c r="AE220" s="671"/>
      <c r="AF220" s="671"/>
      <c r="AG220" s="671"/>
      <c r="AH220" s="671"/>
      <c r="AI220" s="671"/>
      <c r="AJ220" s="671"/>
      <c r="AK220" s="671"/>
      <c r="AL220" s="671"/>
      <c r="AM220" s="671"/>
      <c r="AN220" s="671"/>
      <c r="AO220" s="671"/>
      <c r="AP220" s="671"/>
      <c r="AQ220" s="671"/>
      <c r="AR220" s="671"/>
      <c r="AS220" s="671"/>
      <c r="AT220" s="671"/>
      <c r="AU220" s="671"/>
      <c r="AV220" s="671"/>
      <c r="AW220" s="634"/>
      <c r="AX220" s="634"/>
      <c r="AY220" s="634"/>
      <c r="AZ220" s="634"/>
    </row>
    <row r="221" spans="1:52" ht="12.75" customHeight="1">
      <c r="A221" s="626">
        <v>219</v>
      </c>
      <c r="B221" s="627"/>
      <c r="C221" s="690" t="s">
        <v>1072</v>
      </c>
      <c r="D221" s="690"/>
      <c r="E221" s="690"/>
      <c r="F221" s="690"/>
      <c r="G221" s="690"/>
      <c r="H221" s="690"/>
      <c r="I221" s="690"/>
      <c r="J221" s="690"/>
      <c r="K221" s="690"/>
      <c r="L221" s="690"/>
      <c r="M221" s="690"/>
      <c r="N221" s="690"/>
      <c r="O221" s="690"/>
      <c r="P221" s="690"/>
      <c r="Q221" s="690"/>
      <c r="R221" s="690"/>
      <c r="S221" s="690"/>
      <c r="T221" s="690"/>
      <c r="U221" s="690"/>
      <c r="V221" s="691" t="s">
        <v>1143</v>
      </c>
      <c r="W221" s="691"/>
      <c r="X221" s="691"/>
      <c r="Y221" s="671"/>
      <c r="Z221" s="671"/>
      <c r="AA221" s="671"/>
      <c r="AB221" s="671"/>
      <c r="AC221" s="671"/>
      <c r="AD221" s="671"/>
      <c r="AE221" s="671"/>
      <c r="AF221" s="671"/>
      <c r="AG221" s="671"/>
      <c r="AH221" s="671"/>
      <c r="AI221" s="671"/>
      <c r="AJ221" s="671"/>
      <c r="AK221" s="671"/>
      <c r="AL221" s="671"/>
      <c r="AM221" s="671"/>
      <c r="AN221" s="671"/>
      <c r="AO221" s="671"/>
      <c r="AP221" s="671"/>
      <c r="AQ221" s="671"/>
      <c r="AR221" s="671"/>
      <c r="AS221" s="671"/>
      <c r="AT221" s="671"/>
      <c r="AU221" s="671"/>
      <c r="AV221" s="671"/>
      <c r="AW221" s="634"/>
      <c r="AX221" s="634"/>
      <c r="AY221" s="634"/>
      <c r="AZ221" s="634"/>
    </row>
    <row r="222" spans="1:52" ht="25.5" customHeight="1">
      <c r="A222" s="626">
        <v>220</v>
      </c>
      <c r="B222" s="627"/>
      <c r="C222" s="690" t="s">
        <v>1073</v>
      </c>
      <c r="D222" s="690"/>
      <c r="E222" s="690"/>
      <c r="F222" s="690"/>
      <c r="G222" s="690"/>
      <c r="H222" s="690"/>
      <c r="I222" s="690"/>
      <c r="J222" s="690"/>
      <c r="K222" s="690"/>
      <c r="L222" s="690"/>
      <c r="M222" s="690"/>
      <c r="N222" s="690"/>
      <c r="O222" s="690"/>
      <c r="P222" s="690"/>
      <c r="Q222" s="690"/>
      <c r="R222" s="690"/>
      <c r="S222" s="690"/>
      <c r="T222" s="690"/>
      <c r="U222" s="690"/>
      <c r="V222" s="691" t="s">
        <v>1143</v>
      </c>
      <c r="W222" s="691"/>
      <c r="X222" s="691"/>
      <c r="Y222" s="671"/>
      <c r="Z222" s="671"/>
      <c r="AA222" s="671"/>
      <c r="AB222" s="671"/>
      <c r="AC222" s="671"/>
      <c r="AD222" s="671"/>
      <c r="AE222" s="671"/>
      <c r="AF222" s="671"/>
      <c r="AG222" s="671"/>
      <c r="AH222" s="671"/>
      <c r="AI222" s="671"/>
      <c r="AJ222" s="671"/>
      <c r="AK222" s="671"/>
      <c r="AL222" s="671"/>
      <c r="AM222" s="671"/>
      <c r="AN222" s="671"/>
      <c r="AO222" s="671"/>
      <c r="AP222" s="671"/>
      <c r="AQ222" s="671"/>
      <c r="AR222" s="671"/>
      <c r="AS222" s="671"/>
      <c r="AT222" s="671"/>
      <c r="AU222" s="671"/>
      <c r="AV222" s="671"/>
      <c r="AW222" s="634"/>
      <c r="AX222" s="634"/>
      <c r="AY222" s="634"/>
      <c r="AZ222" s="634"/>
    </row>
    <row r="223" spans="1:52" ht="12.75" customHeight="1">
      <c r="A223" s="626">
        <v>221</v>
      </c>
      <c r="B223" s="627"/>
      <c r="C223" s="690" t="s">
        <v>1074</v>
      </c>
      <c r="D223" s="690"/>
      <c r="E223" s="690"/>
      <c r="F223" s="690"/>
      <c r="G223" s="690"/>
      <c r="H223" s="690"/>
      <c r="I223" s="690"/>
      <c r="J223" s="690"/>
      <c r="K223" s="690"/>
      <c r="L223" s="690"/>
      <c r="M223" s="690"/>
      <c r="N223" s="690"/>
      <c r="O223" s="690"/>
      <c r="P223" s="690"/>
      <c r="Q223" s="690"/>
      <c r="R223" s="690"/>
      <c r="S223" s="690"/>
      <c r="T223" s="690"/>
      <c r="U223" s="690"/>
      <c r="V223" s="691" t="s">
        <v>1143</v>
      </c>
      <c r="W223" s="691"/>
      <c r="X223" s="691"/>
      <c r="Y223" s="671"/>
      <c r="Z223" s="671"/>
      <c r="AA223" s="671"/>
      <c r="AB223" s="671"/>
      <c r="AC223" s="671"/>
      <c r="AD223" s="671"/>
      <c r="AE223" s="671"/>
      <c r="AF223" s="671"/>
      <c r="AG223" s="671"/>
      <c r="AH223" s="671"/>
      <c r="AI223" s="671"/>
      <c r="AJ223" s="671"/>
      <c r="AK223" s="671"/>
      <c r="AL223" s="671"/>
      <c r="AM223" s="671"/>
      <c r="AN223" s="671"/>
      <c r="AO223" s="671"/>
      <c r="AP223" s="671"/>
      <c r="AQ223" s="671"/>
      <c r="AR223" s="671"/>
      <c r="AS223" s="671"/>
      <c r="AT223" s="671"/>
      <c r="AU223" s="671"/>
      <c r="AV223" s="671"/>
      <c r="AW223" s="634"/>
      <c r="AX223" s="634"/>
      <c r="AY223" s="634"/>
      <c r="AZ223" s="634"/>
    </row>
    <row r="224" spans="1:52" ht="12.75" customHeight="1">
      <c r="A224" s="626">
        <v>222</v>
      </c>
      <c r="B224" s="627"/>
      <c r="C224" s="690" t="s">
        <v>1075</v>
      </c>
      <c r="D224" s="690"/>
      <c r="E224" s="690"/>
      <c r="F224" s="690"/>
      <c r="G224" s="690"/>
      <c r="H224" s="690"/>
      <c r="I224" s="690"/>
      <c r="J224" s="690"/>
      <c r="K224" s="690"/>
      <c r="L224" s="690"/>
      <c r="M224" s="690"/>
      <c r="N224" s="690"/>
      <c r="O224" s="690"/>
      <c r="P224" s="690"/>
      <c r="Q224" s="690"/>
      <c r="R224" s="690"/>
      <c r="S224" s="690"/>
      <c r="T224" s="690"/>
      <c r="U224" s="690"/>
      <c r="V224" s="691" t="s">
        <v>1143</v>
      </c>
      <c r="W224" s="691"/>
      <c r="X224" s="691"/>
      <c r="Y224" s="671"/>
      <c r="Z224" s="671"/>
      <c r="AA224" s="671"/>
      <c r="AB224" s="671"/>
      <c r="AC224" s="671"/>
      <c r="AD224" s="671"/>
      <c r="AE224" s="671"/>
      <c r="AF224" s="671"/>
      <c r="AG224" s="671"/>
      <c r="AH224" s="671"/>
      <c r="AI224" s="671"/>
      <c r="AJ224" s="671"/>
      <c r="AK224" s="671"/>
      <c r="AL224" s="671"/>
      <c r="AM224" s="671"/>
      <c r="AN224" s="671"/>
      <c r="AO224" s="671"/>
      <c r="AP224" s="671"/>
      <c r="AQ224" s="671"/>
      <c r="AR224" s="671"/>
      <c r="AS224" s="671"/>
      <c r="AT224" s="671"/>
      <c r="AU224" s="671"/>
      <c r="AV224" s="671"/>
      <c r="AW224" s="634"/>
      <c r="AX224" s="634"/>
      <c r="AY224" s="634"/>
      <c r="AZ224" s="634"/>
    </row>
    <row r="225" spans="1:52" ht="12.75" customHeight="1">
      <c r="A225" s="626">
        <v>223</v>
      </c>
      <c r="B225" s="627"/>
      <c r="C225" s="690" t="s">
        <v>1076</v>
      </c>
      <c r="D225" s="690"/>
      <c r="E225" s="690"/>
      <c r="F225" s="690"/>
      <c r="G225" s="690"/>
      <c r="H225" s="690"/>
      <c r="I225" s="690"/>
      <c r="J225" s="690"/>
      <c r="K225" s="690"/>
      <c r="L225" s="690"/>
      <c r="M225" s="690"/>
      <c r="N225" s="690"/>
      <c r="O225" s="690"/>
      <c r="P225" s="690"/>
      <c r="Q225" s="690"/>
      <c r="R225" s="690"/>
      <c r="S225" s="690"/>
      <c r="T225" s="690"/>
      <c r="U225" s="690"/>
      <c r="V225" s="691" t="s">
        <v>1143</v>
      </c>
      <c r="W225" s="691"/>
      <c r="X225" s="691"/>
      <c r="Y225" s="671"/>
      <c r="Z225" s="671"/>
      <c r="AA225" s="671"/>
      <c r="AB225" s="671"/>
      <c r="AC225" s="671"/>
      <c r="AD225" s="671"/>
      <c r="AE225" s="671"/>
      <c r="AF225" s="671"/>
      <c r="AG225" s="671"/>
      <c r="AH225" s="671"/>
      <c r="AI225" s="671"/>
      <c r="AJ225" s="671"/>
      <c r="AK225" s="671"/>
      <c r="AL225" s="671"/>
      <c r="AM225" s="671"/>
      <c r="AN225" s="671"/>
      <c r="AO225" s="671"/>
      <c r="AP225" s="671"/>
      <c r="AQ225" s="671"/>
      <c r="AR225" s="671"/>
      <c r="AS225" s="671"/>
      <c r="AT225" s="671"/>
      <c r="AU225" s="671"/>
      <c r="AV225" s="671"/>
      <c r="AW225" s="634"/>
      <c r="AX225" s="634"/>
      <c r="AY225" s="634"/>
      <c r="AZ225" s="634"/>
    </row>
    <row r="226" spans="1:52" ht="12.75" customHeight="1">
      <c r="A226" s="626">
        <v>224</v>
      </c>
      <c r="B226" s="627"/>
      <c r="C226" s="690" t="s">
        <v>1077</v>
      </c>
      <c r="D226" s="690"/>
      <c r="E226" s="690"/>
      <c r="F226" s="690"/>
      <c r="G226" s="690"/>
      <c r="H226" s="690"/>
      <c r="I226" s="690"/>
      <c r="J226" s="690"/>
      <c r="K226" s="690"/>
      <c r="L226" s="690"/>
      <c r="M226" s="690"/>
      <c r="N226" s="690"/>
      <c r="O226" s="690"/>
      <c r="P226" s="690"/>
      <c r="Q226" s="690"/>
      <c r="R226" s="690"/>
      <c r="S226" s="690"/>
      <c r="T226" s="690"/>
      <c r="U226" s="690"/>
      <c r="V226" s="691" t="s">
        <v>1143</v>
      </c>
      <c r="W226" s="691"/>
      <c r="X226" s="691"/>
      <c r="Y226" s="671"/>
      <c r="Z226" s="671"/>
      <c r="AA226" s="671"/>
      <c r="AB226" s="671"/>
      <c r="AC226" s="671"/>
      <c r="AD226" s="671"/>
      <c r="AE226" s="671"/>
      <c r="AF226" s="671"/>
      <c r="AG226" s="671"/>
      <c r="AH226" s="671"/>
      <c r="AI226" s="671"/>
      <c r="AJ226" s="671"/>
      <c r="AK226" s="671"/>
      <c r="AL226" s="671"/>
      <c r="AM226" s="671"/>
      <c r="AN226" s="671"/>
      <c r="AO226" s="671"/>
      <c r="AP226" s="671"/>
      <c r="AQ226" s="671"/>
      <c r="AR226" s="671"/>
      <c r="AS226" s="671"/>
      <c r="AT226" s="671"/>
      <c r="AU226" s="671"/>
      <c r="AV226" s="671"/>
      <c r="AW226" s="634"/>
      <c r="AX226" s="634"/>
      <c r="AY226" s="634"/>
      <c r="AZ226" s="634"/>
    </row>
    <row r="227" spans="1:52" ht="12.75" customHeight="1">
      <c r="A227" s="626">
        <v>225</v>
      </c>
      <c r="B227" s="627"/>
      <c r="C227" s="690" t="s">
        <v>1078</v>
      </c>
      <c r="D227" s="690"/>
      <c r="E227" s="690"/>
      <c r="F227" s="690"/>
      <c r="G227" s="690"/>
      <c r="H227" s="690"/>
      <c r="I227" s="690"/>
      <c r="J227" s="690"/>
      <c r="K227" s="690"/>
      <c r="L227" s="690"/>
      <c r="M227" s="690"/>
      <c r="N227" s="690"/>
      <c r="O227" s="690"/>
      <c r="P227" s="690"/>
      <c r="Q227" s="690"/>
      <c r="R227" s="690"/>
      <c r="S227" s="690"/>
      <c r="T227" s="690"/>
      <c r="U227" s="690"/>
      <c r="V227" s="691" t="s">
        <v>1143</v>
      </c>
      <c r="W227" s="691"/>
      <c r="X227" s="691"/>
      <c r="Y227" s="671"/>
      <c r="Z227" s="671"/>
      <c r="AA227" s="671"/>
      <c r="AB227" s="671"/>
      <c r="AC227" s="671"/>
      <c r="AD227" s="671"/>
      <c r="AE227" s="671"/>
      <c r="AF227" s="671"/>
      <c r="AG227" s="671"/>
      <c r="AH227" s="671"/>
      <c r="AI227" s="671"/>
      <c r="AJ227" s="671"/>
      <c r="AK227" s="671"/>
      <c r="AL227" s="671"/>
      <c r="AM227" s="671"/>
      <c r="AN227" s="671"/>
      <c r="AO227" s="671"/>
      <c r="AP227" s="671"/>
      <c r="AQ227" s="671"/>
      <c r="AR227" s="671"/>
      <c r="AS227" s="671"/>
      <c r="AT227" s="671"/>
      <c r="AU227" s="671"/>
      <c r="AV227" s="671"/>
      <c r="AW227" s="634"/>
      <c r="AX227" s="634"/>
      <c r="AY227" s="634"/>
      <c r="AZ227" s="634"/>
    </row>
    <row r="228" spans="1:52" ht="25.5" customHeight="1">
      <c r="A228" s="626">
        <v>226</v>
      </c>
      <c r="B228" s="627"/>
      <c r="C228" s="690" t="s">
        <v>1079</v>
      </c>
      <c r="D228" s="690"/>
      <c r="E228" s="690"/>
      <c r="F228" s="690"/>
      <c r="G228" s="690"/>
      <c r="H228" s="690"/>
      <c r="I228" s="690"/>
      <c r="J228" s="690"/>
      <c r="K228" s="690"/>
      <c r="L228" s="690"/>
      <c r="M228" s="690"/>
      <c r="N228" s="690"/>
      <c r="O228" s="690"/>
      <c r="P228" s="690"/>
      <c r="Q228" s="690"/>
      <c r="R228" s="690"/>
      <c r="S228" s="690"/>
      <c r="T228" s="690"/>
      <c r="U228" s="690"/>
      <c r="V228" s="691" t="s">
        <v>1143</v>
      </c>
      <c r="W228" s="691"/>
      <c r="X228" s="691"/>
      <c r="Y228" s="671"/>
      <c r="Z228" s="671"/>
      <c r="AA228" s="671"/>
      <c r="AB228" s="671"/>
      <c r="AC228" s="671"/>
      <c r="AD228" s="671"/>
      <c r="AE228" s="671"/>
      <c r="AF228" s="671"/>
      <c r="AG228" s="671"/>
      <c r="AH228" s="671"/>
      <c r="AI228" s="671"/>
      <c r="AJ228" s="671"/>
      <c r="AK228" s="671"/>
      <c r="AL228" s="671"/>
      <c r="AM228" s="671"/>
      <c r="AN228" s="671"/>
      <c r="AO228" s="671"/>
      <c r="AP228" s="671"/>
      <c r="AQ228" s="671"/>
      <c r="AR228" s="671"/>
      <c r="AS228" s="671"/>
      <c r="AT228" s="671"/>
      <c r="AU228" s="671"/>
      <c r="AV228" s="671"/>
      <c r="AW228" s="634"/>
      <c r="AX228" s="634"/>
      <c r="AY228" s="634"/>
      <c r="AZ228" s="634"/>
    </row>
    <row r="229" spans="1:52" ht="12.75" customHeight="1">
      <c r="A229" s="626">
        <v>227</v>
      </c>
      <c r="B229" s="627"/>
      <c r="C229" s="690" t="s">
        <v>1080</v>
      </c>
      <c r="D229" s="690"/>
      <c r="E229" s="690"/>
      <c r="F229" s="690"/>
      <c r="G229" s="690"/>
      <c r="H229" s="690"/>
      <c r="I229" s="690"/>
      <c r="J229" s="690"/>
      <c r="K229" s="690"/>
      <c r="L229" s="690"/>
      <c r="M229" s="690"/>
      <c r="N229" s="690"/>
      <c r="O229" s="690"/>
      <c r="P229" s="690"/>
      <c r="Q229" s="690"/>
      <c r="R229" s="690"/>
      <c r="S229" s="690"/>
      <c r="T229" s="690"/>
      <c r="U229" s="690"/>
      <c r="V229" s="691" t="s">
        <v>1143</v>
      </c>
      <c r="W229" s="691"/>
      <c r="X229" s="691"/>
      <c r="Y229" s="671"/>
      <c r="Z229" s="671"/>
      <c r="AA229" s="671"/>
      <c r="AB229" s="671"/>
      <c r="AC229" s="671"/>
      <c r="AD229" s="671"/>
      <c r="AE229" s="671"/>
      <c r="AF229" s="671"/>
      <c r="AG229" s="671"/>
      <c r="AH229" s="671"/>
      <c r="AI229" s="671"/>
      <c r="AJ229" s="671"/>
      <c r="AK229" s="671"/>
      <c r="AL229" s="671"/>
      <c r="AM229" s="671"/>
      <c r="AN229" s="671"/>
      <c r="AO229" s="671"/>
      <c r="AP229" s="671"/>
      <c r="AQ229" s="671"/>
      <c r="AR229" s="671"/>
      <c r="AS229" s="671"/>
      <c r="AT229" s="671"/>
      <c r="AU229" s="671"/>
      <c r="AV229" s="671"/>
      <c r="AW229" s="634"/>
      <c r="AX229" s="634"/>
      <c r="AY229" s="634"/>
      <c r="AZ229" s="634"/>
    </row>
    <row r="230" spans="1:52" ht="25.5" customHeight="1">
      <c r="A230" s="626">
        <v>228</v>
      </c>
      <c r="B230" s="627"/>
      <c r="C230" s="700" t="s">
        <v>1144</v>
      </c>
      <c r="D230" s="700"/>
      <c r="E230" s="700"/>
      <c r="F230" s="700"/>
      <c r="G230" s="700"/>
      <c r="H230" s="700"/>
      <c r="I230" s="700"/>
      <c r="J230" s="700"/>
      <c r="K230" s="700"/>
      <c r="L230" s="700"/>
      <c r="M230" s="700"/>
      <c r="N230" s="700"/>
      <c r="O230" s="700"/>
      <c r="P230" s="700"/>
      <c r="Q230" s="700"/>
      <c r="R230" s="700"/>
      <c r="S230" s="700"/>
      <c r="T230" s="700"/>
      <c r="U230" s="700"/>
      <c r="V230" s="691" t="s">
        <v>1145</v>
      </c>
      <c r="W230" s="691"/>
      <c r="X230" s="691"/>
      <c r="Y230" s="634"/>
      <c r="Z230" s="634"/>
      <c r="AA230" s="634"/>
      <c r="AB230" s="634"/>
      <c r="AC230" s="634"/>
      <c r="AD230" s="634"/>
      <c r="AE230" s="634"/>
      <c r="AF230" s="634"/>
      <c r="AG230" s="634"/>
      <c r="AH230" s="634"/>
      <c r="AI230" s="634"/>
      <c r="AJ230" s="634"/>
      <c r="AK230" s="634"/>
      <c r="AL230" s="634"/>
      <c r="AM230" s="634"/>
      <c r="AN230" s="634"/>
      <c r="AO230" s="634"/>
      <c r="AP230" s="634"/>
      <c r="AQ230" s="634"/>
      <c r="AR230" s="634"/>
      <c r="AS230" s="634"/>
      <c r="AT230" s="634"/>
      <c r="AU230" s="634"/>
      <c r="AV230" s="634"/>
      <c r="AW230" s="646"/>
      <c r="AX230" s="693"/>
      <c r="AY230" s="693"/>
      <c r="AZ230" s="693"/>
    </row>
    <row r="231" spans="1:52" ht="12.75" customHeight="1">
      <c r="A231" s="626">
        <v>229</v>
      </c>
      <c r="B231" s="627"/>
      <c r="C231" s="690" t="s">
        <v>1071</v>
      </c>
      <c r="D231" s="690"/>
      <c r="E231" s="690"/>
      <c r="F231" s="690"/>
      <c r="G231" s="690"/>
      <c r="H231" s="690"/>
      <c r="I231" s="690"/>
      <c r="J231" s="690"/>
      <c r="K231" s="690"/>
      <c r="L231" s="690"/>
      <c r="M231" s="690"/>
      <c r="N231" s="690"/>
      <c r="O231" s="690"/>
      <c r="P231" s="690"/>
      <c r="Q231" s="690"/>
      <c r="R231" s="690"/>
      <c r="S231" s="690"/>
      <c r="T231" s="690"/>
      <c r="U231" s="690"/>
      <c r="V231" s="691" t="s">
        <v>1145</v>
      </c>
      <c r="W231" s="691"/>
      <c r="X231" s="691"/>
      <c r="Y231" s="671"/>
      <c r="Z231" s="671"/>
      <c r="AA231" s="671"/>
      <c r="AB231" s="671"/>
      <c r="AC231" s="671"/>
      <c r="AD231" s="671"/>
      <c r="AE231" s="671"/>
      <c r="AF231" s="671"/>
      <c r="AG231" s="671"/>
      <c r="AH231" s="671"/>
      <c r="AI231" s="671"/>
      <c r="AJ231" s="671"/>
      <c r="AK231" s="671"/>
      <c r="AL231" s="671"/>
      <c r="AM231" s="671"/>
      <c r="AN231" s="671"/>
      <c r="AO231" s="671"/>
      <c r="AP231" s="671"/>
      <c r="AQ231" s="671"/>
      <c r="AR231" s="671"/>
      <c r="AS231" s="671"/>
      <c r="AT231" s="671"/>
      <c r="AU231" s="671"/>
      <c r="AV231" s="671"/>
      <c r="AW231" s="634"/>
      <c r="AX231" s="634"/>
      <c r="AY231" s="634"/>
      <c r="AZ231" s="634"/>
    </row>
    <row r="232" spans="1:52" ht="12.75" customHeight="1">
      <c r="A232" s="626">
        <v>230</v>
      </c>
      <c r="B232" s="627"/>
      <c r="C232" s="690" t="s">
        <v>1072</v>
      </c>
      <c r="D232" s="690"/>
      <c r="E232" s="690"/>
      <c r="F232" s="690"/>
      <c r="G232" s="690"/>
      <c r="H232" s="690"/>
      <c r="I232" s="690"/>
      <c r="J232" s="690"/>
      <c r="K232" s="690"/>
      <c r="L232" s="690"/>
      <c r="M232" s="690"/>
      <c r="N232" s="690"/>
      <c r="O232" s="690"/>
      <c r="P232" s="690"/>
      <c r="Q232" s="690"/>
      <c r="R232" s="690"/>
      <c r="S232" s="690"/>
      <c r="T232" s="690"/>
      <c r="U232" s="690"/>
      <c r="V232" s="691" t="s">
        <v>1145</v>
      </c>
      <c r="W232" s="691"/>
      <c r="X232" s="691"/>
      <c r="Y232" s="671"/>
      <c r="Z232" s="671"/>
      <c r="AA232" s="671"/>
      <c r="AB232" s="671"/>
      <c r="AC232" s="671"/>
      <c r="AD232" s="671"/>
      <c r="AE232" s="671"/>
      <c r="AF232" s="671"/>
      <c r="AG232" s="671"/>
      <c r="AH232" s="671"/>
      <c r="AI232" s="671"/>
      <c r="AJ232" s="671"/>
      <c r="AK232" s="671"/>
      <c r="AL232" s="671"/>
      <c r="AM232" s="671"/>
      <c r="AN232" s="671"/>
      <c r="AO232" s="671"/>
      <c r="AP232" s="671"/>
      <c r="AQ232" s="671"/>
      <c r="AR232" s="671"/>
      <c r="AS232" s="671"/>
      <c r="AT232" s="671"/>
      <c r="AU232" s="671"/>
      <c r="AV232" s="671"/>
      <c r="AW232" s="634"/>
      <c r="AX232" s="634"/>
      <c r="AY232" s="634"/>
      <c r="AZ232" s="634"/>
    </row>
    <row r="233" spans="1:52" ht="25.5" customHeight="1">
      <c r="A233" s="626">
        <v>231</v>
      </c>
      <c r="B233" s="627"/>
      <c r="C233" s="690" t="s">
        <v>1073</v>
      </c>
      <c r="D233" s="690"/>
      <c r="E233" s="690"/>
      <c r="F233" s="690"/>
      <c r="G233" s="690"/>
      <c r="H233" s="690"/>
      <c r="I233" s="690"/>
      <c r="J233" s="690"/>
      <c r="K233" s="690"/>
      <c r="L233" s="690"/>
      <c r="M233" s="690"/>
      <c r="N233" s="690"/>
      <c r="O233" s="690"/>
      <c r="P233" s="690"/>
      <c r="Q233" s="690"/>
      <c r="R233" s="690"/>
      <c r="S233" s="690"/>
      <c r="T233" s="690"/>
      <c r="U233" s="690"/>
      <c r="V233" s="691" t="s">
        <v>1145</v>
      </c>
      <c r="W233" s="691"/>
      <c r="X233" s="691"/>
      <c r="Y233" s="671"/>
      <c r="Z233" s="671"/>
      <c r="AA233" s="671"/>
      <c r="AB233" s="671"/>
      <c r="AC233" s="671"/>
      <c r="AD233" s="671"/>
      <c r="AE233" s="671"/>
      <c r="AF233" s="671"/>
      <c r="AG233" s="671"/>
      <c r="AH233" s="671"/>
      <c r="AI233" s="671"/>
      <c r="AJ233" s="671"/>
      <c r="AK233" s="671"/>
      <c r="AL233" s="671"/>
      <c r="AM233" s="671"/>
      <c r="AN233" s="671"/>
      <c r="AO233" s="671"/>
      <c r="AP233" s="671"/>
      <c r="AQ233" s="671"/>
      <c r="AR233" s="671"/>
      <c r="AS233" s="671"/>
      <c r="AT233" s="671"/>
      <c r="AU233" s="671"/>
      <c r="AV233" s="671"/>
      <c r="AW233" s="634"/>
      <c r="AX233" s="634"/>
      <c r="AY233" s="634"/>
      <c r="AZ233" s="634"/>
    </row>
    <row r="234" spans="1:52" ht="12.75" customHeight="1">
      <c r="A234" s="626">
        <v>232</v>
      </c>
      <c r="B234" s="627"/>
      <c r="C234" s="690" t="s">
        <v>1074</v>
      </c>
      <c r="D234" s="690"/>
      <c r="E234" s="690"/>
      <c r="F234" s="690"/>
      <c r="G234" s="690"/>
      <c r="H234" s="690"/>
      <c r="I234" s="690"/>
      <c r="J234" s="690"/>
      <c r="K234" s="690"/>
      <c r="L234" s="690"/>
      <c r="M234" s="690"/>
      <c r="N234" s="690"/>
      <c r="O234" s="690"/>
      <c r="P234" s="690"/>
      <c r="Q234" s="690"/>
      <c r="R234" s="690"/>
      <c r="S234" s="690"/>
      <c r="T234" s="690"/>
      <c r="U234" s="690"/>
      <c r="V234" s="691" t="s">
        <v>1145</v>
      </c>
      <c r="W234" s="691"/>
      <c r="X234" s="691"/>
      <c r="Y234" s="671"/>
      <c r="Z234" s="671"/>
      <c r="AA234" s="671"/>
      <c r="AB234" s="671"/>
      <c r="AC234" s="671"/>
      <c r="AD234" s="671"/>
      <c r="AE234" s="671"/>
      <c r="AF234" s="671"/>
      <c r="AG234" s="671"/>
      <c r="AH234" s="671"/>
      <c r="AI234" s="671"/>
      <c r="AJ234" s="671"/>
      <c r="AK234" s="671"/>
      <c r="AL234" s="671"/>
      <c r="AM234" s="671"/>
      <c r="AN234" s="671"/>
      <c r="AO234" s="671"/>
      <c r="AP234" s="671"/>
      <c r="AQ234" s="671"/>
      <c r="AR234" s="671"/>
      <c r="AS234" s="671"/>
      <c r="AT234" s="671"/>
      <c r="AU234" s="671"/>
      <c r="AV234" s="671"/>
      <c r="AW234" s="634"/>
      <c r="AX234" s="634"/>
      <c r="AY234" s="634"/>
      <c r="AZ234" s="634"/>
    </row>
    <row r="235" spans="1:52" ht="12.75" customHeight="1">
      <c r="A235" s="626">
        <v>233</v>
      </c>
      <c r="B235" s="627"/>
      <c r="C235" s="690" t="s">
        <v>1075</v>
      </c>
      <c r="D235" s="690"/>
      <c r="E235" s="690"/>
      <c r="F235" s="690"/>
      <c r="G235" s="690"/>
      <c r="H235" s="690"/>
      <c r="I235" s="690"/>
      <c r="J235" s="690"/>
      <c r="K235" s="690"/>
      <c r="L235" s="690"/>
      <c r="M235" s="690"/>
      <c r="N235" s="690"/>
      <c r="O235" s="690"/>
      <c r="P235" s="690"/>
      <c r="Q235" s="690"/>
      <c r="R235" s="690"/>
      <c r="S235" s="690"/>
      <c r="T235" s="690"/>
      <c r="U235" s="690"/>
      <c r="V235" s="691" t="s">
        <v>1145</v>
      </c>
      <c r="W235" s="691"/>
      <c r="X235" s="691"/>
      <c r="Y235" s="671"/>
      <c r="Z235" s="671"/>
      <c r="AA235" s="671"/>
      <c r="AB235" s="671"/>
      <c r="AC235" s="671"/>
      <c r="AD235" s="671"/>
      <c r="AE235" s="671"/>
      <c r="AF235" s="671"/>
      <c r="AG235" s="671"/>
      <c r="AH235" s="671"/>
      <c r="AI235" s="671"/>
      <c r="AJ235" s="671"/>
      <c r="AK235" s="671"/>
      <c r="AL235" s="671"/>
      <c r="AM235" s="671"/>
      <c r="AN235" s="671"/>
      <c r="AO235" s="671"/>
      <c r="AP235" s="671"/>
      <c r="AQ235" s="671"/>
      <c r="AR235" s="671"/>
      <c r="AS235" s="671"/>
      <c r="AT235" s="671"/>
      <c r="AU235" s="671"/>
      <c r="AV235" s="671"/>
      <c r="AW235" s="634"/>
      <c r="AX235" s="634"/>
      <c r="AY235" s="634"/>
      <c r="AZ235" s="634"/>
    </row>
    <row r="236" spans="1:52" ht="12.75" customHeight="1">
      <c r="A236" s="626">
        <v>234</v>
      </c>
      <c r="B236" s="627"/>
      <c r="C236" s="690" t="s">
        <v>1076</v>
      </c>
      <c r="D236" s="690"/>
      <c r="E236" s="690"/>
      <c r="F236" s="690"/>
      <c r="G236" s="690"/>
      <c r="H236" s="690"/>
      <c r="I236" s="690"/>
      <c r="J236" s="690"/>
      <c r="K236" s="690"/>
      <c r="L236" s="690"/>
      <c r="M236" s="690"/>
      <c r="N236" s="690"/>
      <c r="O236" s="690"/>
      <c r="P236" s="690"/>
      <c r="Q236" s="690"/>
      <c r="R236" s="690"/>
      <c r="S236" s="690"/>
      <c r="T236" s="690"/>
      <c r="U236" s="690"/>
      <c r="V236" s="691" t="s">
        <v>1145</v>
      </c>
      <c r="W236" s="691"/>
      <c r="X236" s="691"/>
      <c r="Y236" s="671"/>
      <c r="Z236" s="671"/>
      <c r="AA236" s="671"/>
      <c r="AB236" s="671"/>
      <c r="AC236" s="671"/>
      <c r="AD236" s="671"/>
      <c r="AE236" s="671"/>
      <c r="AF236" s="671"/>
      <c r="AG236" s="671"/>
      <c r="AH236" s="671"/>
      <c r="AI236" s="671"/>
      <c r="AJ236" s="671"/>
      <c r="AK236" s="671"/>
      <c r="AL236" s="671"/>
      <c r="AM236" s="671"/>
      <c r="AN236" s="671"/>
      <c r="AO236" s="671"/>
      <c r="AP236" s="671"/>
      <c r="AQ236" s="671"/>
      <c r="AR236" s="671"/>
      <c r="AS236" s="671"/>
      <c r="AT236" s="671"/>
      <c r="AU236" s="671"/>
      <c r="AV236" s="671"/>
      <c r="AW236" s="634"/>
      <c r="AX236" s="634"/>
      <c r="AY236" s="634"/>
      <c r="AZ236" s="634"/>
    </row>
    <row r="237" spans="1:52" ht="12.75" customHeight="1">
      <c r="A237" s="626">
        <v>235</v>
      </c>
      <c r="B237" s="627"/>
      <c r="C237" s="690" t="s">
        <v>1077</v>
      </c>
      <c r="D237" s="690"/>
      <c r="E237" s="690"/>
      <c r="F237" s="690"/>
      <c r="G237" s="690"/>
      <c r="H237" s="690"/>
      <c r="I237" s="690"/>
      <c r="J237" s="690"/>
      <c r="K237" s="690"/>
      <c r="L237" s="690"/>
      <c r="M237" s="690"/>
      <c r="N237" s="690"/>
      <c r="O237" s="690"/>
      <c r="P237" s="690"/>
      <c r="Q237" s="690"/>
      <c r="R237" s="690"/>
      <c r="S237" s="690"/>
      <c r="T237" s="690"/>
      <c r="U237" s="690"/>
      <c r="V237" s="691" t="s">
        <v>1145</v>
      </c>
      <c r="W237" s="691"/>
      <c r="X237" s="691"/>
      <c r="Y237" s="671"/>
      <c r="Z237" s="671"/>
      <c r="AA237" s="671"/>
      <c r="AB237" s="671"/>
      <c r="AC237" s="671"/>
      <c r="AD237" s="671"/>
      <c r="AE237" s="671"/>
      <c r="AF237" s="671"/>
      <c r="AG237" s="671"/>
      <c r="AH237" s="671"/>
      <c r="AI237" s="671"/>
      <c r="AJ237" s="671"/>
      <c r="AK237" s="671"/>
      <c r="AL237" s="671"/>
      <c r="AM237" s="671"/>
      <c r="AN237" s="671"/>
      <c r="AO237" s="671"/>
      <c r="AP237" s="671"/>
      <c r="AQ237" s="671"/>
      <c r="AR237" s="671"/>
      <c r="AS237" s="671"/>
      <c r="AT237" s="671"/>
      <c r="AU237" s="671"/>
      <c r="AV237" s="671"/>
      <c r="AW237" s="634"/>
      <c r="AX237" s="634"/>
      <c r="AY237" s="634"/>
      <c r="AZ237" s="634"/>
    </row>
    <row r="238" spans="1:52" ht="12.75" customHeight="1">
      <c r="A238" s="626">
        <v>236</v>
      </c>
      <c r="B238" s="627"/>
      <c r="C238" s="690" t="s">
        <v>1078</v>
      </c>
      <c r="D238" s="690"/>
      <c r="E238" s="690"/>
      <c r="F238" s="690"/>
      <c r="G238" s="690"/>
      <c r="H238" s="690"/>
      <c r="I238" s="690"/>
      <c r="J238" s="690"/>
      <c r="K238" s="690"/>
      <c r="L238" s="690"/>
      <c r="M238" s="690"/>
      <c r="N238" s="690"/>
      <c r="O238" s="690"/>
      <c r="P238" s="690"/>
      <c r="Q238" s="690"/>
      <c r="R238" s="690"/>
      <c r="S238" s="690"/>
      <c r="T238" s="690"/>
      <c r="U238" s="690"/>
      <c r="V238" s="691" t="s">
        <v>1145</v>
      </c>
      <c r="W238" s="691"/>
      <c r="X238" s="691"/>
      <c r="Y238" s="671"/>
      <c r="Z238" s="671"/>
      <c r="AA238" s="671"/>
      <c r="AB238" s="671"/>
      <c r="AC238" s="671"/>
      <c r="AD238" s="671"/>
      <c r="AE238" s="671"/>
      <c r="AF238" s="671"/>
      <c r="AG238" s="671"/>
      <c r="AH238" s="671"/>
      <c r="AI238" s="671"/>
      <c r="AJ238" s="671"/>
      <c r="AK238" s="671"/>
      <c r="AL238" s="671"/>
      <c r="AM238" s="671"/>
      <c r="AN238" s="671"/>
      <c r="AO238" s="671"/>
      <c r="AP238" s="671"/>
      <c r="AQ238" s="671"/>
      <c r="AR238" s="671"/>
      <c r="AS238" s="671"/>
      <c r="AT238" s="671"/>
      <c r="AU238" s="671"/>
      <c r="AV238" s="671"/>
      <c r="AW238" s="634"/>
      <c r="AX238" s="634"/>
      <c r="AY238" s="634"/>
      <c r="AZ238" s="634"/>
    </row>
    <row r="239" spans="1:52" ht="25.5" customHeight="1">
      <c r="A239" s="626">
        <v>237</v>
      </c>
      <c r="B239" s="627"/>
      <c r="C239" s="690" t="s">
        <v>1079</v>
      </c>
      <c r="D239" s="690"/>
      <c r="E239" s="690"/>
      <c r="F239" s="690"/>
      <c r="G239" s="690"/>
      <c r="H239" s="690"/>
      <c r="I239" s="690"/>
      <c r="J239" s="690"/>
      <c r="K239" s="690"/>
      <c r="L239" s="690"/>
      <c r="M239" s="690"/>
      <c r="N239" s="690"/>
      <c r="O239" s="690"/>
      <c r="P239" s="690"/>
      <c r="Q239" s="690"/>
      <c r="R239" s="690"/>
      <c r="S239" s="690"/>
      <c r="T239" s="690"/>
      <c r="U239" s="690"/>
      <c r="V239" s="691" t="s">
        <v>1145</v>
      </c>
      <c r="W239" s="691"/>
      <c r="X239" s="691"/>
      <c r="Y239" s="671"/>
      <c r="Z239" s="671"/>
      <c r="AA239" s="671"/>
      <c r="AB239" s="671"/>
      <c r="AC239" s="671"/>
      <c r="AD239" s="671"/>
      <c r="AE239" s="671"/>
      <c r="AF239" s="671"/>
      <c r="AG239" s="671"/>
      <c r="AH239" s="671"/>
      <c r="AI239" s="671"/>
      <c r="AJ239" s="671"/>
      <c r="AK239" s="671"/>
      <c r="AL239" s="671"/>
      <c r="AM239" s="671"/>
      <c r="AN239" s="671"/>
      <c r="AO239" s="671"/>
      <c r="AP239" s="671"/>
      <c r="AQ239" s="671"/>
      <c r="AR239" s="671"/>
      <c r="AS239" s="671"/>
      <c r="AT239" s="671"/>
      <c r="AU239" s="671"/>
      <c r="AV239" s="671"/>
      <c r="AW239" s="634"/>
      <c r="AX239" s="634"/>
      <c r="AY239" s="634"/>
      <c r="AZ239" s="634"/>
    </row>
    <row r="240" spans="1:52" ht="12.75" customHeight="1">
      <c r="A240" s="626">
        <v>238</v>
      </c>
      <c r="B240" s="627"/>
      <c r="C240" s="690" t="s">
        <v>1080</v>
      </c>
      <c r="D240" s="690"/>
      <c r="E240" s="690"/>
      <c r="F240" s="690"/>
      <c r="G240" s="690"/>
      <c r="H240" s="690"/>
      <c r="I240" s="690"/>
      <c r="J240" s="690"/>
      <c r="K240" s="690"/>
      <c r="L240" s="690"/>
      <c r="M240" s="690"/>
      <c r="N240" s="690"/>
      <c r="O240" s="690"/>
      <c r="P240" s="690"/>
      <c r="Q240" s="690"/>
      <c r="R240" s="690"/>
      <c r="S240" s="690"/>
      <c r="T240" s="690"/>
      <c r="U240" s="690"/>
      <c r="V240" s="691" t="s">
        <v>1145</v>
      </c>
      <c r="W240" s="691"/>
      <c r="X240" s="691"/>
      <c r="Y240" s="671"/>
      <c r="Z240" s="671"/>
      <c r="AA240" s="671"/>
      <c r="AB240" s="671"/>
      <c r="AC240" s="671"/>
      <c r="AD240" s="671"/>
      <c r="AE240" s="671"/>
      <c r="AF240" s="671"/>
      <c r="AG240" s="671"/>
      <c r="AH240" s="671"/>
      <c r="AI240" s="671"/>
      <c r="AJ240" s="671"/>
      <c r="AK240" s="671"/>
      <c r="AL240" s="671"/>
      <c r="AM240" s="671"/>
      <c r="AN240" s="671"/>
      <c r="AO240" s="671"/>
      <c r="AP240" s="671"/>
      <c r="AQ240" s="671"/>
      <c r="AR240" s="671"/>
      <c r="AS240" s="671"/>
      <c r="AT240" s="671"/>
      <c r="AU240" s="671"/>
      <c r="AV240" s="671"/>
      <c r="AW240" s="634"/>
      <c r="AX240" s="634"/>
      <c r="AY240" s="634"/>
      <c r="AZ240" s="634"/>
    </row>
    <row r="241" spans="1:52" ht="25.5" customHeight="1">
      <c r="A241" s="626">
        <v>239</v>
      </c>
      <c r="B241" s="627"/>
      <c r="C241" s="700" t="s">
        <v>1146</v>
      </c>
      <c r="D241" s="700"/>
      <c r="E241" s="700"/>
      <c r="F241" s="700"/>
      <c r="G241" s="700"/>
      <c r="H241" s="700"/>
      <c r="I241" s="700"/>
      <c r="J241" s="700"/>
      <c r="K241" s="700"/>
      <c r="L241" s="700"/>
      <c r="M241" s="700"/>
      <c r="N241" s="700"/>
      <c r="O241" s="700"/>
      <c r="P241" s="700"/>
      <c r="Q241" s="700"/>
      <c r="R241" s="700"/>
      <c r="S241" s="700"/>
      <c r="T241" s="700"/>
      <c r="U241" s="700"/>
      <c r="V241" s="691" t="s">
        <v>1147</v>
      </c>
      <c r="W241" s="691"/>
      <c r="X241" s="691"/>
      <c r="Y241" s="634"/>
      <c r="Z241" s="634"/>
      <c r="AA241" s="634"/>
      <c r="AB241" s="634"/>
      <c r="AC241" s="634"/>
      <c r="AD241" s="634"/>
      <c r="AE241" s="634"/>
      <c r="AF241" s="634"/>
      <c r="AG241" s="634"/>
      <c r="AH241" s="634"/>
      <c r="AI241" s="634"/>
      <c r="AJ241" s="634"/>
      <c r="AK241" s="634"/>
      <c r="AL241" s="634"/>
      <c r="AM241" s="634"/>
      <c r="AN241" s="634"/>
      <c r="AO241" s="634"/>
      <c r="AP241" s="634"/>
      <c r="AQ241" s="634"/>
      <c r="AR241" s="634"/>
      <c r="AS241" s="634"/>
      <c r="AT241" s="634"/>
      <c r="AU241" s="634"/>
      <c r="AV241" s="634"/>
      <c r="AW241" s="646"/>
      <c r="AX241" s="693"/>
      <c r="AY241" s="693"/>
      <c r="AZ241" s="693"/>
    </row>
    <row r="242" spans="1:52" ht="12.75" customHeight="1">
      <c r="A242" s="626">
        <v>240</v>
      </c>
      <c r="B242" s="627"/>
      <c r="C242" s="690" t="s">
        <v>1071</v>
      </c>
      <c r="D242" s="690"/>
      <c r="E242" s="690"/>
      <c r="F242" s="690"/>
      <c r="G242" s="690"/>
      <c r="H242" s="690"/>
      <c r="I242" s="690"/>
      <c r="J242" s="690"/>
      <c r="K242" s="690"/>
      <c r="L242" s="690"/>
      <c r="M242" s="690"/>
      <c r="N242" s="690"/>
      <c r="O242" s="690"/>
      <c r="P242" s="690"/>
      <c r="Q242" s="690"/>
      <c r="R242" s="690"/>
      <c r="S242" s="690"/>
      <c r="T242" s="690"/>
      <c r="U242" s="690"/>
      <c r="V242" s="691" t="s">
        <v>1147</v>
      </c>
      <c r="W242" s="691"/>
      <c r="X242" s="691"/>
      <c r="Y242" s="671"/>
      <c r="Z242" s="671"/>
      <c r="AA242" s="671"/>
      <c r="AB242" s="671"/>
      <c r="AC242" s="671"/>
      <c r="AD242" s="671"/>
      <c r="AE242" s="671"/>
      <c r="AF242" s="671"/>
      <c r="AG242" s="671"/>
      <c r="AH242" s="671"/>
      <c r="AI242" s="671"/>
      <c r="AJ242" s="671"/>
      <c r="AK242" s="671"/>
      <c r="AL242" s="671"/>
      <c r="AM242" s="671"/>
      <c r="AN242" s="671"/>
      <c r="AO242" s="671"/>
      <c r="AP242" s="671"/>
      <c r="AQ242" s="671"/>
      <c r="AR242" s="671"/>
      <c r="AS242" s="671"/>
      <c r="AT242" s="671"/>
      <c r="AU242" s="671"/>
      <c r="AV242" s="671"/>
      <c r="AW242" s="634"/>
      <c r="AX242" s="634"/>
      <c r="AY242" s="634"/>
      <c r="AZ242" s="634"/>
    </row>
    <row r="243" spans="1:52" ht="12.75" customHeight="1">
      <c r="A243" s="626">
        <v>241</v>
      </c>
      <c r="B243" s="627"/>
      <c r="C243" s="690" t="s">
        <v>1072</v>
      </c>
      <c r="D243" s="690"/>
      <c r="E243" s="690"/>
      <c r="F243" s="690"/>
      <c r="G243" s="690"/>
      <c r="H243" s="690"/>
      <c r="I243" s="690"/>
      <c r="J243" s="690"/>
      <c r="K243" s="690"/>
      <c r="L243" s="690"/>
      <c r="M243" s="690"/>
      <c r="N243" s="690"/>
      <c r="O243" s="690"/>
      <c r="P243" s="690"/>
      <c r="Q243" s="690"/>
      <c r="R243" s="690"/>
      <c r="S243" s="690"/>
      <c r="T243" s="690"/>
      <c r="U243" s="690"/>
      <c r="V243" s="691" t="s">
        <v>1147</v>
      </c>
      <c r="W243" s="691"/>
      <c r="X243" s="691"/>
      <c r="Y243" s="671"/>
      <c r="Z243" s="671"/>
      <c r="AA243" s="671"/>
      <c r="AB243" s="671"/>
      <c r="AC243" s="671"/>
      <c r="AD243" s="671"/>
      <c r="AE243" s="671"/>
      <c r="AF243" s="671"/>
      <c r="AG243" s="671"/>
      <c r="AH243" s="671"/>
      <c r="AI243" s="671"/>
      <c r="AJ243" s="671"/>
      <c r="AK243" s="671"/>
      <c r="AL243" s="671"/>
      <c r="AM243" s="671"/>
      <c r="AN243" s="671"/>
      <c r="AO243" s="671"/>
      <c r="AP243" s="671"/>
      <c r="AQ243" s="671"/>
      <c r="AR243" s="671"/>
      <c r="AS243" s="671"/>
      <c r="AT243" s="671"/>
      <c r="AU243" s="671"/>
      <c r="AV243" s="671"/>
      <c r="AW243" s="634"/>
      <c r="AX243" s="634"/>
      <c r="AY243" s="634"/>
      <c r="AZ243" s="634"/>
    </row>
    <row r="244" spans="1:52" ht="25.5" customHeight="1">
      <c r="A244" s="626">
        <v>242</v>
      </c>
      <c r="B244" s="627"/>
      <c r="C244" s="690" t="s">
        <v>1073</v>
      </c>
      <c r="D244" s="690"/>
      <c r="E244" s="690"/>
      <c r="F244" s="690"/>
      <c r="G244" s="690"/>
      <c r="H244" s="690"/>
      <c r="I244" s="690"/>
      <c r="J244" s="690"/>
      <c r="K244" s="690"/>
      <c r="L244" s="690"/>
      <c r="M244" s="690"/>
      <c r="N244" s="690"/>
      <c r="O244" s="690"/>
      <c r="P244" s="690"/>
      <c r="Q244" s="690"/>
      <c r="R244" s="690"/>
      <c r="S244" s="690"/>
      <c r="T244" s="690"/>
      <c r="U244" s="690"/>
      <c r="V244" s="691" t="s">
        <v>1147</v>
      </c>
      <c r="W244" s="691"/>
      <c r="X244" s="691"/>
      <c r="Y244" s="671"/>
      <c r="Z244" s="671"/>
      <c r="AA244" s="671"/>
      <c r="AB244" s="671"/>
      <c r="AC244" s="671"/>
      <c r="AD244" s="671"/>
      <c r="AE244" s="671"/>
      <c r="AF244" s="671"/>
      <c r="AG244" s="671"/>
      <c r="AH244" s="671"/>
      <c r="AI244" s="671"/>
      <c r="AJ244" s="671"/>
      <c r="AK244" s="671"/>
      <c r="AL244" s="671"/>
      <c r="AM244" s="671"/>
      <c r="AN244" s="671"/>
      <c r="AO244" s="671"/>
      <c r="AP244" s="671"/>
      <c r="AQ244" s="671"/>
      <c r="AR244" s="671"/>
      <c r="AS244" s="671"/>
      <c r="AT244" s="671"/>
      <c r="AU244" s="671"/>
      <c r="AV244" s="671"/>
      <c r="AW244" s="634"/>
      <c r="AX244" s="634"/>
      <c r="AY244" s="634"/>
      <c r="AZ244" s="634"/>
    </row>
    <row r="245" spans="1:52" ht="12.75" customHeight="1">
      <c r="A245" s="626">
        <v>243</v>
      </c>
      <c r="B245" s="627"/>
      <c r="C245" s="690" t="s">
        <v>1074</v>
      </c>
      <c r="D245" s="690"/>
      <c r="E245" s="690"/>
      <c r="F245" s="690"/>
      <c r="G245" s="690"/>
      <c r="H245" s="690"/>
      <c r="I245" s="690"/>
      <c r="J245" s="690"/>
      <c r="K245" s="690"/>
      <c r="L245" s="690"/>
      <c r="M245" s="690"/>
      <c r="N245" s="690"/>
      <c r="O245" s="690"/>
      <c r="P245" s="690"/>
      <c r="Q245" s="690"/>
      <c r="R245" s="690"/>
      <c r="S245" s="690"/>
      <c r="T245" s="690"/>
      <c r="U245" s="690"/>
      <c r="V245" s="691" t="s">
        <v>1147</v>
      </c>
      <c r="W245" s="691"/>
      <c r="X245" s="691"/>
      <c r="Y245" s="671"/>
      <c r="Z245" s="671"/>
      <c r="AA245" s="671"/>
      <c r="AB245" s="671"/>
      <c r="AC245" s="671"/>
      <c r="AD245" s="671"/>
      <c r="AE245" s="671"/>
      <c r="AF245" s="671"/>
      <c r="AG245" s="671"/>
      <c r="AH245" s="671"/>
      <c r="AI245" s="671"/>
      <c r="AJ245" s="671"/>
      <c r="AK245" s="671"/>
      <c r="AL245" s="671"/>
      <c r="AM245" s="671"/>
      <c r="AN245" s="671"/>
      <c r="AO245" s="671"/>
      <c r="AP245" s="671"/>
      <c r="AQ245" s="671"/>
      <c r="AR245" s="671"/>
      <c r="AS245" s="671"/>
      <c r="AT245" s="671"/>
      <c r="AU245" s="671"/>
      <c r="AV245" s="671"/>
      <c r="AW245" s="634"/>
      <c r="AX245" s="634"/>
      <c r="AY245" s="634"/>
      <c r="AZ245" s="634"/>
    </row>
    <row r="246" spans="1:52" ht="12.75" customHeight="1">
      <c r="A246" s="626">
        <v>244</v>
      </c>
      <c r="B246" s="627"/>
      <c r="C246" s="690" t="s">
        <v>1075</v>
      </c>
      <c r="D246" s="690"/>
      <c r="E246" s="690"/>
      <c r="F246" s="690"/>
      <c r="G246" s="690"/>
      <c r="H246" s="690"/>
      <c r="I246" s="690"/>
      <c r="J246" s="690"/>
      <c r="K246" s="690"/>
      <c r="L246" s="690"/>
      <c r="M246" s="690"/>
      <c r="N246" s="690"/>
      <c r="O246" s="690"/>
      <c r="P246" s="690"/>
      <c r="Q246" s="690"/>
      <c r="R246" s="690"/>
      <c r="S246" s="690"/>
      <c r="T246" s="690"/>
      <c r="U246" s="690"/>
      <c r="V246" s="691" t="s">
        <v>1147</v>
      </c>
      <c r="W246" s="691"/>
      <c r="X246" s="691"/>
      <c r="Y246" s="671"/>
      <c r="Z246" s="671"/>
      <c r="AA246" s="671"/>
      <c r="AB246" s="671"/>
      <c r="AC246" s="671"/>
      <c r="AD246" s="671"/>
      <c r="AE246" s="671"/>
      <c r="AF246" s="671"/>
      <c r="AG246" s="671"/>
      <c r="AH246" s="671"/>
      <c r="AI246" s="671"/>
      <c r="AJ246" s="671"/>
      <c r="AK246" s="671"/>
      <c r="AL246" s="671"/>
      <c r="AM246" s="671"/>
      <c r="AN246" s="671"/>
      <c r="AO246" s="671"/>
      <c r="AP246" s="671"/>
      <c r="AQ246" s="671"/>
      <c r="AR246" s="671"/>
      <c r="AS246" s="671"/>
      <c r="AT246" s="671"/>
      <c r="AU246" s="671"/>
      <c r="AV246" s="671"/>
      <c r="AW246" s="634"/>
      <c r="AX246" s="634"/>
      <c r="AY246" s="634"/>
      <c r="AZ246" s="634"/>
    </row>
    <row r="247" spans="1:52" ht="12.75" customHeight="1">
      <c r="A247" s="626">
        <v>245</v>
      </c>
      <c r="B247" s="627"/>
      <c r="C247" s="690" t="s">
        <v>1076</v>
      </c>
      <c r="D247" s="690"/>
      <c r="E247" s="690"/>
      <c r="F247" s="690"/>
      <c r="G247" s="690"/>
      <c r="H247" s="690"/>
      <c r="I247" s="690"/>
      <c r="J247" s="690"/>
      <c r="K247" s="690"/>
      <c r="L247" s="690"/>
      <c r="M247" s="690"/>
      <c r="N247" s="690"/>
      <c r="O247" s="690"/>
      <c r="P247" s="690"/>
      <c r="Q247" s="690"/>
      <c r="R247" s="690"/>
      <c r="S247" s="690"/>
      <c r="T247" s="690"/>
      <c r="U247" s="690"/>
      <c r="V247" s="691" t="s">
        <v>1147</v>
      </c>
      <c r="W247" s="691"/>
      <c r="X247" s="691"/>
      <c r="Y247" s="671"/>
      <c r="Z247" s="671"/>
      <c r="AA247" s="671"/>
      <c r="AB247" s="671"/>
      <c r="AC247" s="671"/>
      <c r="AD247" s="671"/>
      <c r="AE247" s="671"/>
      <c r="AF247" s="671"/>
      <c r="AG247" s="671"/>
      <c r="AH247" s="671"/>
      <c r="AI247" s="671"/>
      <c r="AJ247" s="671"/>
      <c r="AK247" s="671"/>
      <c r="AL247" s="671"/>
      <c r="AM247" s="671"/>
      <c r="AN247" s="671"/>
      <c r="AO247" s="671"/>
      <c r="AP247" s="671"/>
      <c r="AQ247" s="671"/>
      <c r="AR247" s="671"/>
      <c r="AS247" s="671"/>
      <c r="AT247" s="671"/>
      <c r="AU247" s="671"/>
      <c r="AV247" s="671"/>
      <c r="AW247" s="634"/>
      <c r="AX247" s="634"/>
      <c r="AY247" s="634"/>
      <c r="AZ247" s="634"/>
    </row>
    <row r="248" spans="1:52" ht="12.75" customHeight="1">
      <c r="A248" s="626">
        <v>246</v>
      </c>
      <c r="B248" s="627"/>
      <c r="C248" s="690" t="s">
        <v>1077</v>
      </c>
      <c r="D248" s="690"/>
      <c r="E248" s="690"/>
      <c r="F248" s="690"/>
      <c r="G248" s="690"/>
      <c r="H248" s="690"/>
      <c r="I248" s="690"/>
      <c r="J248" s="690"/>
      <c r="K248" s="690"/>
      <c r="L248" s="690"/>
      <c r="M248" s="690"/>
      <c r="N248" s="690"/>
      <c r="O248" s="690"/>
      <c r="P248" s="690"/>
      <c r="Q248" s="690"/>
      <c r="R248" s="690"/>
      <c r="S248" s="690"/>
      <c r="T248" s="690"/>
      <c r="U248" s="690"/>
      <c r="V248" s="691" t="s">
        <v>1147</v>
      </c>
      <c r="W248" s="691"/>
      <c r="X248" s="691"/>
      <c r="Y248" s="671"/>
      <c r="Z248" s="671"/>
      <c r="AA248" s="671"/>
      <c r="AB248" s="671"/>
      <c r="AC248" s="671"/>
      <c r="AD248" s="671"/>
      <c r="AE248" s="671"/>
      <c r="AF248" s="671"/>
      <c r="AG248" s="671"/>
      <c r="AH248" s="671"/>
      <c r="AI248" s="671"/>
      <c r="AJ248" s="671"/>
      <c r="AK248" s="671"/>
      <c r="AL248" s="671"/>
      <c r="AM248" s="671"/>
      <c r="AN248" s="671"/>
      <c r="AO248" s="671"/>
      <c r="AP248" s="671"/>
      <c r="AQ248" s="671"/>
      <c r="AR248" s="671"/>
      <c r="AS248" s="671"/>
      <c r="AT248" s="671"/>
      <c r="AU248" s="671"/>
      <c r="AV248" s="671"/>
      <c r="AW248" s="634"/>
      <c r="AX248" s="634"/>
      <c r="AY248" s="634"/>
      <c r="AZ248" s="634"/>
    </row>
    <row r="249" spans="1:52" ht="12.75" customHeight="1">
      <c r="A249" s="626">
        <v>247</v>
      </c>
      <c r="B249" s="627"/>
      <c r="C249" s="690" t="s">
        <v>1078</v>
      </c>
      <c r="D249" s="690"/>
      <c r="E249" s="690"/>
      <c r="F249" s="690"/>
      <c r="G249" s="690"/>
      <c r="H249" s="690"/>
      <c r="I249" s="690"/>
      <c r="J249" s="690"/>
      <c r="K249" s="690"/>
      <c r="L249" s="690"/>
      <c r="M249" s="690"/>
      <c r="N249" s="690"/>
      <c r="O249" s="690"/>
      <c r="P249" s="690"/>
      <c r="Q249" s="690"/>
      <c r="R249" s="690"/>
      <c r="S249" s="690"/>
      <c r="T249" s="690"/>
      <c r="U249" s="690"/>
      <c r="V249" s="691" t="s">
        <v>1147</v>
      </c>
      <c r="W249" s="691"/>
      <c r="X249" s="691"/>
      <c r="Y249" s="671"/>
      <c r="Z249" s="671"/>
      <c r="AA249" s="671"/>
      <c r="AB249" s="671"/>
      <c r="AC249" s="671"/>
      <c r="AD249" s="671"/>
      <c r="AE249" s="671"/>
      <c r="AF249" s="671"/>
      <c r="AG249" s="671"/>
      <c r="AH249" s="671"/>
      <c r="AI249" s="671"/>
      <c r="AJ249" s="671"/>
      <c r="AK249" s="671"/>
      <c r="AL249" s="671"/>
      <c r="AM249" s="671"/>
      <c r="AN249" s="671"/>
      <c r="AO249" s="671"/>
      <c r="AP249" s="671"/>
      <c r="AQ249" s="671"/>
      <c r="AR249" s="671"/>
      <c r="AS249" s="671"/>
      <c r="AT249" s="671"/>
      <c r="AU249" s="671"/>
      <c r="AV249" s="671"/>
      <c r="AW249" s="634"/>
      <c r="AX249" s="634"/>
      <c r="AY249" s="634"/>
      <c r="AZ249" s="634"/>
    </row>
    <row r="250" spans="1:52" ht="25.5" customHeight="1">
      <c r="A250" s="626">
        <v>248</v>
      </c>
      <c r="B250" s="627"/>
      <c r="C250" s="690" t="s">
        <v>1079</v>
      </c>
      <c r="D250" s="690"/>
      <c r="E250" s="690"/>
      <c r="F250" s="690"/>
      <c r="G250" s="690"/>
      <c r="H250" s="690"/>
      <c r="I250" s="690"/>
      <c r="J250" s="690"/>
      <c r="K250" s="690"/>
      <c r="L250" s="690"/>
      <c r="M250" s="690"/>
      <c r="N250" s="690"/>
      <c r="O250" s="690"/>
      <c r="P250" s="690"/>
      <c r="Q250" s="690"/>
      <c r="R250" s="690"/>
      <c r="S250" s="690"/>
      <c r="T250" s="690"/>
      <c r="U250" s="690"/>
      <c r="V250" s="691" t="s">
        <v>1147</v>
      </c>
      <c r="W250" s="691"/>
      <c r="X250" s="691"/>
      <c r="Y250" s="671"/>
      <c r="Z250" s="671"/>
      <c r="AA250" s="671"/>
      <c r="AB250" s="671"/>
      <c r="AC250" s="671"/>
      <c r="AD250" s="671"/>
      <c r="AE250" s="671"/>
      <c r="AF250" s="671"/>
      <c r="AG250" s="671"/>
      <c r="AH250" s="671"/>
      <c r="AI250" s="671"/>
      <c r="AJ250" s="671"/>
      <c r="AK250" s="671"/>
      <c r="AL250" s="671"/>
      <c r="AM250" s="671"/>
      <c r="AN250" s="671"/>
      <c r="AO250" s="671"/>
      <c r="AP250" s="671"/>
      <c r="AQ250" s="671"/>
      <c r="AR250" s="671"/>
      <c r="AS250" s="671"/>
      <c r="AT250" s="671"/>
      <c r="AU250" s="671"/>
      <c r="AV250" s="671"/>
      <c r="AW250" s="634"/>
      <c r="AX250" s="634"/>
      <c r="AY250" s="634"/>
      <c r="AZ250" s="634"/>
    </row>
    <row r="251" spans="1:52" ht="12.75" customHeight="1">
      <c r="A251" s="626">
        <v>249</v>
      </c>
      <c r="B251" s="627"/>
      <c r="C251" s="690" t="s">
        <v>1080</v>
      </c>
      <c r="D251" s="690"/>
      <c r="E251" s="690"/>
      <c r="F251" s="690"/>
      <c r="G251" s="690"/>
      <c r="H251" s="690"/>
      <c r="I251" s="690"/>
      <c r="J251" s="690"/>
      <c r="K251" s="690"/>
      <c r="L251" s="690"/>
      <c r="M251" s="690"/>
      <c r="N251" s="690"/>
      <c r="O251" s="690"/>
      <c r="P251" s="690"/>
      <c r="Q251" s="690"/>
      <c r="R251" s="690"/>
      <c r="S251" s="690"/>
      <c r="T251" s="690"/>
      <c r="U251" s="690"/>
      <c r="V251" s="691" t="s">
        <v>1147</v>
      </c>
      <c r="W251" s="691"/>
      <c r="X251" s="691"/>
      <c r="Y251" s="671"/>
      <c r="Z251" s="671"/>
      <c r="AA251" s="671"/>
      <c r="AB251" s="671"/>
      <c r="AC251" s="671"/>
      <c r="AD251" s="671"/>
      <c r="AE251" s="671"/>
      <c r="AF251" s="671"/>
      <c r="AG251" s="671"/>
      <c r="AH251" s="671"/>
      <c r="AI251" s="671"/>
      <c r="AJ251" s="671"/>
      <c r="AK251" s="671"/>
      <c r="AL251" s="671"/>
      <c r="AM251" s="671"/>
      <c r="AN251" s="671"/>
      <c r="AO251" s="671"/>
      <c r="AP251" s="671"/>
      <c r="AQ251" s="671"/>
      <c r="AR251" s="671"/>
      <c r="AS251" s="671"/>
      <c r="AT251" s="671"/>
      <c r="AU251" s="671"/>
      <c r="AV251" s="671"/>
      <c r="AW251" s="634"/>
      <c r="AX251" s="634"/>
      <c r="AY251" s="634"/>
      <c r="AZ251" s="634"/>
    </row>
    <row r="252" spans="1:52" ht="25.5" customHeight="1">
      <c r="A252" s="626">
        <v>250</v>
      </c>
      <c r="B252" s="627"/>
      <c r="C252" s="700" t="s">
        <v>1148</v>
      </c>
      <c r="D252" s="700"/>
      <c r="E252" s="700"/>
      <c r="F252" s="700"/>
      <c r="G252" s="700"/>
      <c r="H252" s="700"/>
      <c r="I252" s="700"/>
      <c r="J252" s="700"/>
      <c r="K252" s="700"/>
      <c r="L252" s="700"/>
      <c r="M252" s="700"/>
      <c r="N252" s="700"/>
      <c r="O252" s="700"/>
      <c r="P252" s="700"/>
      <c r="Q252" s="700"/>
      <c r="R252" s="700"/>
      <c r="S252" s="700"/>
      <c r="T252" s="700"/>
      <c r="U252" s="700"/>
      <c r="V252" s="691" t="s">
        <v>1149</v>
      </c>
      <c r="W252" s="691"/>
      <c r="X252" s="691"/>
      <c r="Y252" s="634"/>
      <c r="Z252" s="634"/>
      <c r="AA252" s="634"/>
      <c r="AB252" s="634"/>
      <c r="AC252" s="634"/>
      <c r="AD252" s="634"/>
      <c r="AE252" s="634"/>
      <c r="AF252" s="634"/>
      <c r="AG252" s="634"/>
      <c r="AH252" s="634"/>
      <c r="AI252" s="634"/>
      <c r="AJ252" s="634"/>
      <c r="AK252" s="634"/>
      <c r="AL252" s="634"/>
      <c r="AM252" s="634"/>
      <c r="AN252" s="634"/>
      <c r="AO252" s="634"/>
      <c r="AP252" s="634"/>
      <c r="AQ252" s="634"/>
      <c r="AR252" s="634"/>
      <c r="AS252" s="634"/>
      <c r="AT252" s="634"/>
      <c r="AU252" s="634"/>
      <c r="AV252" s="634"/>
      <c r="AW252" s="634"/>
      <c r="AX252" s="634"/>
      <c r="AY252" s="634"/>
      <c r="AZ252" s="634"/>
    </row>
    <row r="253" spans="1:52" ht="25.5" customHeight="1">
      <c r="A253" s="626">
        <v>251</v>
      </c>
      <c r="B253" s="627"/>
      <c r="C253" s="690" t="s">
        <v>1087</v>
      </c>
      <c r="D253" s="690"/>
      <c r="E253" s="690"/>
      <c r="F253" s="690"/>
      <c r="G253" s="690"/>
      <c r="H253" s="690"/>
      <c r="I253" s="690"/>
      <c r="J253" s="690"/>
      <c r="K253" s="690"/>
      <c r="L253" s="690"/>
      <c r="M253" s="690"/>
      <c r="N253" s="690"/>
      <c r="O253" s="690"/>
      <c r="P253" s="690"/>
      <c r="Q253" s="690"/>
      <c r="R253" s="690"/>
      <c r="S253" s="690"/>
      <c r="T253" s="690"/>
      <c r="U253" s="690"/>
      <c r="V253" s="691" t="s">
        <v>1149</v>
      </c>
      <c r="W253" s="691"/>
      <c r="X253" s="691"/>
      <c r="Y253" s="671"/>
      <c r="Z253" s="671"/>
      <c r="AA253" s="671"/>
      <c r="AB253" s="671"/>
      <c r="AC253" s="671"/>
      <c r="AD253" s="671"/>
      <c r="AE253" s="671"/>
      <c r="AF253" s="671"/>
      <c r="AG253" s="671"/>
      <c r="AH253" s="671"/>
      <c r="AI253" s="671"/>
      <c r="AJ253" s="671"/>
      <c r="AK253" s="671"/>
      <c r="AL253" s="671"/>
      <c r="AM253" s="671"/>
      <c r="AN253" s="671"/>
      <c r="AO253" s="671"/>
      <c r="AP253" s="671"/>
      <c r="AQ253" s="671"/>
      <c r="AR253" s="671"/>
      <c r="AS253" s="671"/>
      <c r="AT253" s="671"/>
      <c r="AU253" s="671"/>
      <c r="AV253" s="671"/>
      <c r="AW253" s="634"/>
      <c r="AX253" s="634"/>
      <c r="AY253" s="634"/>
      <c r="AZ253" s="634"/>
    </row>
    <row r="254" spans="1:52" ht="25.5" customHeight="1">
      <c r="A254" s="626">
        <v>252</v>
      </c>
      <c r="B254" s="627"/>
      <c r="C254" s="700" t="s">
        <v>1150</v>
      </c>
      <c r="D254" s="700"/>
      <c r="E254" s="700"/>
      <c r="F254" s="700"/>
      <c r="G254" s="700"/>
      <c r="H254" s="700"/>
      <c r="I254" s="700"/>
      <c r="J254" s="700"/>
      <c r="K254" s="700"/>
      <c r="L254" s="700"/>
      <c r="M254" s="700"/>
      <c r="N254" s="700"/>
      <c r="O254" s="700"/>
      <c r="P254" s="700"/>
      <c r="Q254" s="700"/>
      <c r="R254" s="700"/>
      <c r="S254" s="700"/>
      <c r="T254" s="700"/>
      <c r="U254" s="700"/>
      <c r="V254" s="691" t="s">
        <v>1151</v>
      </c>
      <c r="W254" s="691"/>
      <c r="X254" s="691"/>
      <c r="Y254" s="634"/>
      <c r="Z254" s="634"/>
      <c r="AA254" s="634"/>
      <c r="AB254" s="634"/>
      <c r="AC254" s="634"/>
      <c r="AD254" s="634"/>
      <c r="AE254" s="634"/>
      <c r="AF254" s="634"/>
      <c r="AG254" s="634"/>
      <c r="AH254" s="634"/>
      <c r="AI254" s="634"/>
      <c r="AJ254" s="634"/>
      <c r="AK254" s="634"/>
      <c r="AL254" s="634"/>
      <c r="AM254" s="634"/>
      <c r="AN254" s="634"/>
      <c r="AO254" s="671"/>
      <c r="AP254" s="671"/>
      <c r="AQ254" s="671"/>
      <c r="AR254" s="671"/>
      <c r="AS254" s="671"/>
      <c r="AT254" s="671"/>
      <c r="AU254" s="671"/>
      <c r="AV254" s="671"/>
      <c r="AW254" s="646"/>
      <c r="AX254" s="693"/>
      <c r="AY254" s="693"/>
      <c r="AZ254" s="693"/>
    </row>
    <row r="255" spans="1:52" ht="12.75" customHeight="1">
      <c r="A255" s="626">
        <v>253</v>
      </c>
      <c r="B255" s="627"/>
      <c r="C255" s="690" t="s">
        <v>1090</v>
      </c>
      <c r="D255" s="690"/>
      <c r="E255" s="690"/>
      <c r="F255" s="690"/>
      <c r="G255" s="690"/>
      <c r="H255" s="690"/>
      <c r="I255" s="690"/>
      <c r="J255" s="690"/>
      <c r="K255" s="690"/>
      <c r="L255" s="690"/>
      <c r="M255" s="690"/>
      <c r="N255" s="690"/>
      <c r="O255" s="690"/>
      <c r="P255" s="690"/>
      <c r="Q255" s="690"/>
      <c r="R255" s="690"/>
      <c r="S255" s="690"/>
      <c r="T255" s="690"/>
      <c r="U255" s="690"/>
      <c r="V255" s="690" t="s">
        <v>1151</v>
      </c>
      <c r="W255" s="690"/>
      <c r="X255" s="690"/>
      <c r="Y255" s="671"/>
      <c r="Z255" s="671"/>
      <c r="AA255" s="671"/>
      <c r="AB255" s="671"/>
      <c r="AC255" s="671"/>
      <c r="AD255" s="671"/>
      <c r="AE255" s="671"/>
      <c r="AF255" s="671"/>
      <c r="AG255" s="671"/>
      <c r="AH255" s="671"/>
      <c r="AI255" s="671"/>
      <c r="AJ255" s="671"/>
      <c r="AK255" s="671"/>
      <c r="AL255" s="671"/>
      <c r="AM255" s="671"/>
      <c r="AN255" s="671"/>
      <c r="AO255" s="671"/>
      <c r="AP255" s="671"/>
      <c r="AQ255" s="671"/>
      <c r="AR255" s="671"/>
      <c r="AS255" s="671"/>
      <c r="AT255" s="671"/>
      <c r="AU255" s="671"/>
      <c r="AV255" s="671"/>
      <c r="AW255" s="625"/>
      <c r="AX255" s="625"/>
      <c r="AY255" s="625"/>
      <c r="AZ255" s="625"/>
    </row>
    <row r="256" spans="1:52" ht="12.75" customHeight="1">
      <c r="A256" s="626">
        <v>254</v>
      </c>
      <c r="B256" s="627"/>
      <c r="C256" s="690" t="s">
        <v>1091</v>
      </c>
      <c r="D256" s="690"/>
      <c r="E256" s="690"/>
      <c r="F256" s="690"/>
      <c r="G256" s="690"/>
      <c r="H256" s="690"/>
      <c r="I256" s="690"/>
      <c r="J256" s="690"/>
      <c r="K256" s="690"/>
      <c r="L256" s="690"/>
      <c r="M256" s="690"/>
      <c r="N256" s="690"/>
      <c r="O256" s="690"/>
      <c r="P256" s="690"/>
      <c r="Q256" s="690"/>
      <c r="R256" s="690"/>
      <c r="S256" s="690"/>
      <c r="T256" s="690"/>
      <c r="U256" s="690"/>
      <c r="V256" s="690" t="s">
        <v>1151</v>
      </c>
      <c r="W256" s="690"/>
      <c r="X256" s="690"/>
      <c r="Y256" s="671"/>
      <c r="Z256" s="671"/>
      <c r="AA256" s="671"/>
      <c r="AB256" s="671"/>
      <c r="AC256" s="671"/>
      <c r="AD256" s="671"/>
      <c r="AE256" s="671"/>
      <c r="AF256" s="671"/>
      <c r="AG256" s="671"/>
      <c r="AH256" s="671"/>
      <c r="AI256" s="671"/>
      <c r="AJ256" s="671"/>
      <c r="AK256" s="671"/>
      <c r="AL256" s="671"/>
      <c r="AM256" s="671"/>
      <c r="AN256" s="671"/>
      <c r="AO256" s="671"/>
      <c r="AP256" s="671"/>
      <c r="AQ256" s="671"/>
      <c r="AR256" s="671"/>
      <c r="AS256" s="671"/>
      <c r="AT256" s="671"/>
      <c r="AU256" s="671"/>
      <c r="AV256" s="671"/>
      <c r="AW256" s="625"/>
      <c r="AX256" s="625"/>
      <c r="AY256" s="625"/>
      <c r="AZ256" s="625"/>
    </row>
    <row r="257" spans="1:52" ht="12.75" customHeight="1">
      <c r="A257" s="626">
        <v>255</v>
      </c>
      <c r="B257" s="627"/>
      <c r="C257" s="690" t="s">
        <v>1092</v>
      </c>
      <c r="D257" s="690"/>
      <c r="E257" s="690"/>
      <c r="F257" s="690"/>
      <c r="G257" s="690"/>
      <c r="H257" s="690"/>
      <c r="I257" s="690"/>
      <c r="J257" s="690"/>
      <c r="K257" s="690"/>
      <c r="L257" s="690"/>
      <c r="M257" s="690"/>
      <c r="N257" s="690"/>
      <c r="O257" s="690"/>
      <c r="P257" s="690"/>
      <c r="Q257" s="690"/>
      <c r="R257" s="690"/>
      <c r="S257" s="690"/>
      <c r="T257" s="690"/>
      <c r="U257" s="690"/>
      <c r="V257" s="691" t="s">
        <v>1151</v>
      </c>
      <c r="W257" s="691"/>
      <c r="X257" s="691"/>
      <c r="Y257" s="671"/>
      <c r="Z257" s="671"/>
      <c r="AA257" s="671"/>
      <c r="AB257" s="671"/>
      <c r="AC257" s="671"/>
      <c r="AD257" s="671"/>
      <c r="AE257" s="671"/>
      <c r="AF257" s="671"/>
      <c r="AG257" s="671"/>
      <c r="AH257" s="671"/>
      <c r="AI257" s="671"/>
      <c r="AJ257" s="671"/>
      <c r="AK257" s="671"/>
      <c r="AL257" s="671"/>
      <c r="AM257" s="671"/>
      <c r="AN257" s="671"/>
      <c r="AO257" s="671"/>
      <c r="AP257" s="671"/>
      <c r="AQ257" s="671"/>
      <c r="AR257" s="671"/>
      <c r="AS257" s="671"/>
      <c r="AT257" s="671"/>
      <c r="AU257" s="671"/>
      <c r="AV257" s="671"/>
      <c r="AW257" s="625"/>
      <c r="AX257" s="625"/>
      <c r="AY257" s="625"/>
      <c r="AZ257" s="625"/>
    </row>
    <row r="258" spans="1:52" ht="12.75" customHeight="1">
      <c r="A258" s="626">
        <v>256</v>
      </c>
      <c r="B258" s="627"/>
      <c r="C258" s="690" t="s">
        <v>1093</v>
      </c>
      <c r="D258" s="690"/>
      <c r="E258" s="690"/>
      <c r="F258" s="690"/>
      <c r="G258" s="690"/>
      <c r="H258" s="690"/>
      <c r="I258" s="690"/>
      <c r="J258" s="690"/>
      <c r="K258" s="690"/>
      <c r="L258" s="690"/>
      <c r="M258" s="690"/>
      <c r="N258" s="690"/>
      <c r="O258" s="690"/>
      <c r="P258" s="690"/>
      <c r="Q258" s="690"/>
      <c r="R258" s="690"/>
      <c r="S258" s="690"/>
      <c r="T258" s="690"/>
      <c r="U258" s="690"/>
      <c r="V258" s="690" t="s">
        <v>1151</v>
      </c>
      <c r="W258" s="690"/>
      <c r="X258" s="690"/>
      <c r="Y258" s="671"/>
      <c r="Z258" s="671"/>
      <c r="AA258" s="671"/>
      <c r="AB258" s="671"/>
      <c r="AC258" s="671"/>
      <c r="AD258" s="671"/>
      <c r="AE258" s="671"/>
      <c r="AF258" s="671"/>
      <c r="AG258" s="671"/>
      <c r="AH258" s="671"/>
      <c r="AI258" s="671"/>
      <c r="AJ258" s="671"/>
      <c r="AK258" s="671"/>
      <c r="AL258" s="671"/>
      <c r="AM258" s="671"/>
      <c r="AN258" s="671"/>
      <c r="AO258" s="671"/>
      <c r="AP258" s="671"/>
      <c r="AQ258" s="671"/>
      <c r="AR258" s="671"/>
      <c r="AS258" s="671"/>
      <c r="AT258" s="671"/>
      <c r="AU258" s="671"/>
      <c r="AV258" s="671"/>
      <c r="AW258" s="625"/>
      <c r="AX258" s="625"/>
      <c r="AY258" s="625"/>
      <c r="AZ258" s="625"/>
    </row>
    <row r="259" spans="1:52" ht="12.75" customHeight="1">
      <c r="A259" s="626">
        <v>257</v>
      </c>
      <c r="B259" s="627"/>
      <c r="C259" s="690" t="s">
        <v>1094</v>
      </c>
      <c r="D259" s="690"/>
      <c r="E259" s="690"/>
      <c r="F259" s="690"/>
      <c r="G259" s="690"/>
      <c r="H259" s="690"/>
      <c r="I259" s="690"/>
      <c r="J259" s="690"/>
      <c r="K259" s="690"/>
      <c r="L259" s="690"/>
      <c r="M259" s="690"/>
      <c r="N259" s="690"/>
      <c r="O259" s="690"/>
      <c r="P259" s="690"/>
      <c r="Q259" s="690"/>
      <c r="R259" s="690"/>
      <c r="S259" s="690"/>
      <c r="T259" s="690"/>
      <c r="U259" s="690"/>
      <c r="V259" s="691" t="s">
        <v>1151</v>
      </c>
      <c r="W259" s="691"/>
      <c r="X259" s="691"/>
      <c r="Y259" s="671"/>
      <c r="Z259" s="671"/>
      <c r="AA259" s="671"/>
      <c r="AB259" s="671"/>
      <c r="AC259" s="671"/>
      <c r="AD259" s="671"/>
      <c r="AE259" s="671"/>
      <c r="AF259" s="671"/>
      <c r="AG259" s="671"/>
      <c r="AH259" s="671"/>
      <c r="AI259" s="671"/>
      <c r="AJ259" s="671"/>
      <c r="AK259" s="671"/>
      <c r="AL259" s="671"/>
      <c r="AM259" s="671"/>
      <c r="AN259" s="671"/>
      <c r="AO259" s="671"/>
      <c r="AP259" s="671"/>
      <c r="AQ259" s="671"/>
      <c r="AR259" s="671"/>
      <c r="AS259" s="671"/>
      <c r="AT259" s="671"/>
      <c r="AU259" s="671"/>
      <c r="AV259" s="671"/>
      <c r="AW259" s="625"/>
      <c r="AX259" s="625"/>
      <c r="AY259" s="625"/>
      <c r="AZ259" s="625"/>
    </row>
    <row r="260" spans="1:52" ht="12.75" customHeight="1">
      <c r="A260" s="626">
        <v>258</v>
      </c>
      <c r="B260" s="627"/>
      <c r="C260" s="690" t="s">
        <v>1095</v>
      </c>
      <c r="D260" s="690"/>
      <c r="E260" s="690"/>
      <c r="F260" s="690"/>
      <c r="G260" s="690"/>
      <c r="H260" s="690"/>
      <c r="I260" s="690"/>
      <c r="J260" s="690"/>
      <c r="K260" s="690"/>
      <c r="L260" s="690"/>
      <c r="M260" s="690"/>
      <c r="N260" s="690"/>
      <c r="O260" s="690"/>
      <c r="P260" s="690"/>
      <c r="Q260" s="690"/>
      <c r="R260" s="690"/>
      <c r="S260" s="690"/>
      <c r="T260" s="690"/>
      <c r="U260" s="690"/>
      <c r="V260" s="690" t="s">
        <v>1151</v>
      </c>
      <c r="W260" s="690"/>
      <c r="X260" s="690"/>
      <c r="Y260" s="671"/>
      <c r="Z260" s="671"/>
      <c r="AA260" s="671"/>
      <c r="AB260" s="671"/>
      <c r="AC260" s="671"/>
      <c r="AD260" s="671"/>
      <c r="AE260" s="671"/>
      <c r="AF260" s="671"/>
      <c r="AG260" s="671"/>
      <c r="AH260" s="671"/>
      <c r="AI260" s="671"/>
      <c r="AJ260" s="671"/>
      <c r="AK260" s="671"/>
      <c r="AL260" s="671"/>
      <c r="AM260" s="671"/>
      <c r="AN260" s="671"/>
      <c r="AO260" s="671"/>
      <c r="AP260" s="671"/>
      <c r="AQ260" s="671"/>
      <c r="AR260" s="671"/>
      <c r="AS260" s="671"/>
      <c r="AT260" s="671"/>
      <c r="AU260" s="671"/>
      <c r="AV260" s="671"/>
      <c r="AW260" s="625"/>
      <c r="AX260" s="625"/>
      <c r="AY260" s="625"/>
      <c r="AZ260" s="625"/>
    </row>
    <row r="261" spans="1:52" ht="25.5" customHeight="1">
      <c r="A261" s="626">
        <v>259</v>
      </c>
      <c r="B261" s="627"/>
      <c r="C261" s="690" t="s">
        <v>1096</v>
      </c>
      <c r="D261" s="690"/>
      <c r="E261" s="690"/>
      <c r="F261" s="690"/>
      <c r="G261" s="690"/>
      <c r="H261" s="690"/>
      <c r="I261" s="690"/>
      <c r="J261" s="690"/>
      <c r="K261" s="690"/>
      <c r="L261" s="690"/>
      <c r="M261" s="690"/>
      <c r="N261" s="690"/>
      <c r="O261" s="690"/>
      <c r="P261" s="690"/>
      <c r="Q261" s="690"/>
      <c r="R261" s="690"/>
      <c r="S261" s="690"/>
      <c r="T261" s="690"/>
      <c r="U261" s="690"/>
      <c r="V261" s="691" t="s">
        <v>1151</v>
      </c>
      <c r="W261" s="691"/>
      <c r="X261" s="691"/>
      <c r="Y261" s="671"/>
      <c r="Z261" s="671"/>
      <c r="AA261" s="671"/>
      <c r="AB261" s="671"/>
      <c r="AC261" s="671"/>
      <c r="AD261" s="671"/>
      <c r="AE261" s="671"/>
      <c r="AF261" s="671"/>
      <c r="AG261" s="671"/>
      <c r="AH261" s="671"/>
      <c r="AI261" s="671"/>
      <c r="AJ261" s="671"/>
      <c r="AK261" s="671"/>
      <c r="AL261" s="671"/>
      <c r="AM261" s="671"/>
      <c r="AN261" s="671"/>
      <c r="AO261" s="671"/>
      <c r="AP261" s="671"/>
      <c r="AQ261" s="671"/>
      <c r="AR261" s="671"/>
      <c r="AS261" s="671"/>
      <c r="AT261" s="671"/>
      <c r="AU261" s="671"/>
      <c r="AV261" s="671"/>
      <c r="AW261" s="625"/>
      <c r="AX261" s="625"/>
      <c r="AY261" s="625"/>
      <c r="AZ261" s="625"/>
    </row>
    <row r="262" spans="1:52" ht="12.75" customHeight="1">
      <c r="A262" s="626">
        <v>260</v>
      </c>
      <c r="B262" s="627"/>
      <c r="C262" s="690" t="s">
        <v>1097</v>
      </c>
      <c r="D262" s="690"/>
      <c r="E262" s="690"/>
      <c r="F262" s="690"/>
      <c r="G262" s="690"/>
      <c r="H262" s="690"/>
      <c r="I262" s="690"/>
      <c r="J262" s="690"/>
      <c r="K262" s="690"/>
      <c r="L262" s="690"/>
      <c r="M262" s="690"/>
      <c r="N262" s="690"/>
      <c r="O262" s="690"/>
      <c r="P262" s="690"/>
      <c r="Q262" s="690"/>
      <c r="R262" s="690"/>
      <c r="S262" s="690"/>
      <c r="T262" s="690"/>
      <c r="U262" s="690"/>
      <c r="V262" s="690" t="s">
        <v>1151</v>
      </c>
      <c r="W262" s="690"/>
      <c r="X262" s="690"/>
      <c r="Y262" s="671"/>
      <c r="Z262" s="671"/>
      <c r="AA262" s="671"/>
      <c r="AB262" s="671"/>
      <c r="AC262" s="671"/>
      <c r="AD262" s="671"/>
      <c r="AE262" s="671"/>
      <c r="AF262" s="671"/>
      <c r="AG262" s="671"/>
      <c r="AH262" s="671"/>
      <c r="AI262" s="671"/>
      <c r="AJ262" s="671"/>
      <c r="AK262" s="671"/>
      <c r="AL262" s="671"/>
      <c r="AM262" s="671"/>
      <c r="AN262" s="671"/>
      <c r="AO262" s="671"/>
      <c r="AP262" s="671"/>
      <c r="AQ262" s="671"/>
      <c r="AR262" s="671"/>
      <c r="AS262" s="671"/>
      <c r="AT262" s="671"/>
      <c r="AU262" s="671"/>
      <c r="AV262" s="671"/>
      <c r="AW262" s="625"/>
      <c r="AX262" s="625"/>
      <c r="AY262" s="625"/>
      <c r="AZ262" s="625"/>
    </row>
    <row r="263" spans="1:52" ht="12.75" customHeight="1">
      <c r="A263" s="626">
        <v>261</v>
      </c>
      <c r="B263" s="627"/>
      <c r="C263" s="690" t="s">
        <v>1098</v>
      </c>
      <c r="D263" s="690"/>
      <c r="E263" s="690"/>
      <c r="F263" s="690"/>
      <c r="G263" s="690"/>
      <c r="H263" s="690"/>
      <c r="I263" s="690"/>
      <c r="J263" s="690"/>
      <c r="K263" s="690"/>
      <c r="L263" s="690"/>
      <c r="M263" s="690"/>
      <c r="N263" s="690"/>
      <c r="O263" s="690"/>
      <c r="P263" s="690"/>
      <c r="Q263" s="690"/>
      <c r="R263" s="690"/>
      <c r="S263" s="690"/>
      <c r="T263" s="690"/>
      <c r="U263" s="690"/>
      <c r="V263" s="691" t="s">
        <v>1151</v>
      </c>
      <c r="W263" s="691"/>
      <c r="X263" s="691"/>
      <c r="Y263" s="671"/>
      <c r="Z263" s="671"/>
      <c r="AA263" s="671"/>
      <c r="AB263" s="671"/>
      <c r="AC263" s="671"/>
      <c r="AD263" s="671"/>
      <c r="AE263" s="671"/>
      <c r="AF263" s="671"/>
      <c r="AG263" s="671"/>
      <c r="AH263" s="671"/>
      <c r="AI263" s="671"/>
      <c r="AJ263" s="671"/>
      <c r="AK263" s="671"/>
      <c r="AL263" s="671"/>
      <c r="AM263" s="671"/>
      <c r="AN263" s="671"/>
      <c r="AO263" s="671"/>
      <c r="AP263" s="671"/>
      <c r="AQ263" s="671"/>
      <c r="AR263" s="671"/>
      <c r="AS263" s="671"/>
      <c r="AT263" s="671"/>
      <c r="AU263" s="671"/>
      <c r="AV263" s="671"/>
      <c r="AW263" s="625"/>
      <c r="AX263" s="625"/>
      <c r="AY263" s="625"/>
      <c r="AZ263" s="625"/>
    </row>
    <row r="264" spans="1:52" ht="12.75" customHeight="1">
      <c r="A264" s="626">
        <v>262</v>
      </c>
      <c r="B264" s="627"/>
      <c r="C264" s="690" t="s">
        <v>1099</v>
      </c>
      <c r="D264" s="690"/>
      <c r="E264" s="690"/>
      <c r="F264" s="690"/>
      <c r="G264" s="690"/>
      <c r="H264" s="690"/>
      <c r="I264" s="690"/>
      <c r="J264" s="690"/>
      <c r="K264" s="690"/>
      <c r="L264" s="690"/>
      <c r="M264" s="690"/>
      <c r="N264" s="690"/>
      <c r="O264" s="690"/>
      <c r="P264" s="690"/>
      <c r="Q264" s="690"/>
      <c r="R264" s="690"/>
      <c r="S264" s="690"/>
      <c r="T264" s="690"/>
      <c r="U264" s="690"/>
      <c r="V264" s="690" t="s">
        <v>1151</v>
      </c>
      <c r="W264" s="690"/>
      <c r="X264" s="690"/>
      <c r="Y264" s="671"/>
      <c r="Z264" s="671"/>
      <c r="AA264" s="671"/>
      <c r="AB264" s="671"/>
      <c r="AC264" s="671"/>
      <c r="AD264" s="671"/>
      <c r="AE264" s="671"/>
      <c r="AF264" s="671"/>
      <c r="AG264" s="671"/>
      <c r="AH264" s="671"/>
      <c r="AI264" s="671"/>
      <c r="AJ264" s="671"/>
      <c r="AK264" s="671"/>
      <c r="AL264" s="671"/>
      <c r="AM264" s="671"/>
      <c r="AN264" s="671"/>
      <c r="AO264" s="671"/>
      <c r="AP264" s="671"/>
      <c r="AQ264" s="671"/>
      <c r="AR264" s="671"/>
      <c r="AS264" s="671"/>
      <c r="AT264" s="671"/>
      <c r="AU264" s="671"/>
      <c r="AV264" s="671"/>
      <c r="AW264" s="625"/>
      <c r="AX264" s="625"/>
      <c r="AY264" s="625"/>
      <c r="AZ264" s="625"/>
    </row>
    <row r="265" spans="1:52" ht="12.75" customHeight="1">
      <c r="A265" s="626">
        <v>263</v>
      </c>
      <c r="B265" s="627"/>
      <c r="C265" s="690" t="s">
        <v>1100</v>
      </c>
      <c r="D265" s="690"/>
      <c r="E265" s="690"/>
      <c r="F265" s="690"/>
      <c r="G265" s="690"/>
      <c r="H265" s="690"/>
      <c r="I265" s="690"/>
      <c r="J265" s="690"/>
      <c r="K265" s="690"/>
      <c r="L265" s="690"/>
      <c r="M265" s="690"/>
      <c r="N265" s="690"/>
      <c r="O265" s="690"/>
      <c r="P265" s="690"/>
      <c r="Q265" s="690"/>
      <c r="R265" s="690"/>
      <c r="S265" s="690"/>
      <c r="T265" s="690"/>
      <c r="U265" s="690"/>
      <c r="V265" s="691" t="s">
        <v>1151</v>
      </c>
      <c r="W265" s="691"/>
      <c r="X265" s="691"/>
      <c r="Y265" s="671"/>
      <c r="Z265" s="671"/>
      <c r="AA265" s="671"/>
      <c r="AB265" s="671"/>
      <c r="AC265" s="671"/>
      <c r="AD265" s="671"/>
      <c r="AE265" s="671"/>
      <c r="AF265" s="671"/>
      <c r="AG265" s="671"/>
      <c r="AH265" s="671"/>
      <c r="AI265" s="671"/>
      <c r="AJ265" s="671"/>
      <c r="AK265" s="671"/>
      <c r="AL265" s="671"/>
      <c r="AM265" s="671"/>
      <c r="AN265" s="671"/>
      <c r="AO265" s="671"/>
      <c r="AP265" s="671"/>
      <c r="AQ265" s="671"/>
      <c r="AR265" s="671"/>
      <c r="AS265" s="671"/>
      <c r="AT265" s="671"/>
      <c r="AU265" s="671"/>
      <c r="AV265" s="671"/>
      <c r="AW265" s="625"/>
      <c r="AX265" s="625"/>
      <c r="AY265" s="625"/>
      <c r="AZ265" s="625"/>
    </row>
    <row r="266" spans="1:52" ht="12.75" customHeight="1">
      <c r="A266" s="626">
        <v>264</v>
      </c>
      <c r="B266" s="627"/>
      <c r="C266" s="700" t="s">
        <v>1152</v>
      </c>
      <c r="D266" s="700"/>
      <c r="E266" s="700"/>
      <c r="F266" s="700"/>
      <c r="G266" s="700"/>
      <c r="H266" s="700"/>
      <c r="I266" s="700"/>
      <c r="J266" s="700"/>
      <c r="K266" s="700"/>
      <c r="L266" s="700"/>
      <c r="M266" s="700"/>
      <c r="N266" s="700"/>
      <c r="O266" s="700"/>
      <c r="P266" s="700"/>
      <c r="Q266" s="700"/>
      <c r="R266" s="700"/>
      <c r="S266" s="700"/>
      <c r="T266" s="700"/>
      <c r="U266" s="700"/>
      <c r="V266" s="691" t="s">
        <v>1153</v>
      </c>
      <c r="W266" s="691"/>
      <c r="X266" s="691"/>
      <c r="Y266" s="634"/>
      <c r="Z266" s="634"/>
      <c r="AA266" s="634"/>
      <c r="AB266" s="634"/>
      <c r="AC266" s="634"/>
      <c r="AD266" s="634"/>
      <c r="AE266" s="634"/>
      <c r="AF266" s="634"/>
      <c r="AG266" s="634"/>
      <c r="AH266" s="634"/>
      <c r="AI266" s="634"/>
      <c r="AJ266" s="634"/>
      <c r="AK266" s="634"/>
      <c r="AL266" s="634"/>
      <c r="AM266" s="634"/>
      <c r="AN266" s="634"/>
      <c r="AO266" s="634"/>
      <c r="AP266" s="634"/>
      <c r="AQ266" s="634"/>
      <c r="AR266" s="634"/>
      <c r="AS266" s="634"/>
      <c r="AT266" s="634"/>
      <c r="AU266" s="634"/>
      <c r="AV266" s="634"/>
      <c r="AW266" s="634"/>
      <c r="AX266" s="634"/>
      <c r="AY266" s="634"/>
      <c r="AZ266" s="634"/>
    </row>
    <row r="267" spans="1:52" ht="12.75" customHeight="1">
      <c r="A267" s="626">
        <v>265</v>
      </c>
      <c r="B267" s="627"/>
      <c r="C267" s="700" t="s">
        <v>1154</v>
      </c>
      <c r="D267" s="700"/>
      <c r="E267" s="700"/>
      <c r="F267" s="700"/>
      <c r="G267" s="700"/>
      <c r="H267" s="700"/>
      <c r="I267" s="700"/>
      <c r="J267" s="700"/>
      <c r="K267" s="700"/>
      <c r="L267" s="700"/>
      <c r="M267" s="700"/>
      <c r="N267" s="700"/>
      <c r="O267" s="700"/>
      <c r="P267" s="700"/>
      <c r="Q267" s="700"/>
      <c r="R267" s="700"/>
      <c r="S267" s="700"/>
      <c r="T267" s="700"/>
      <c r="U267" s="700"/>
      <c r="V267" s="691" t="s">
        <v>1155</v>
      </c>
      <c r="W267" s="691"/>
      <c r="X267" s="691"/>
      <c r="Y267" s="634"/>
      <c r="Z267" s="634"/>
      <c r="AA267" s="634"/>
      <c r="AB267" s="634"/>
      <c r="AC267" s="634"/>
      <c r="AD267" s="634"/>
      <c r="AE267" s="634"/>
      <c r="AF267" s="634"/>
      <c r="AG267" s="634"/>
      <c r="AH267" s="634"/>
      <c r="AI267" s="634"/>
      <c r="AJ267" s="634"/>
      <c r="AK267" s="634"/>
      <c r="AL267" s="634"/>
      <c r="AM267" s="634"/>
      <c r="AN267" s="634"/>
      <c r="AO267" s="634"/>
      <c r="AP267" s="634"/>
      <c r="AQ267" s="634"/>
      <c r="AR267" s="634"/>
      <c r="AS267" s="634"/>
      <c r="AT267" s="634"/>
      <c r="AU267" s="634"/>
      <c r="AV267" s="634"/>
      <c r="AW267" s="634"/>
      <c r="AX267" s="634"/>
      <c r="AY267" s="634"/>
      <c r="AZ267" s="634"/>
    </row>
    <row r="268" spans="1:52" ht="25.5" customHeight="1">
      <c r="A268" s="626">
        <v>266</v>
      </c>
      <c r="B268" s="627"/>
      <c r="C268" s="690" t="s">
        <v>1156</v>
      </c>
      <c r="D268" s="690"/>
      <c r="E268" s="690"/>
      <c r="F268" s="690"/>
      <c r="G268" s="690"/>
      <c r="H268" s="690"/>
      <c r="I268" s="690"/>
      <c r="J268" s="690"/>
      <c r="K268" s="690"/>
      <c r="L268" s="690"/>
      <c r="M268" s="690"/>
      <c r="N268" s="690"/>
      <c r="O268" s="690"/>
      <c r="P268" s="690"/>
      <c r="Q268" s="690"/>
      <c r="R268" s="690"/>
      <c r="S268" s="690"/>
      <c r="T268" s="690"/>
      <c r="U268" s="690"/>
      <c r="V268" s="691" t="s">
        <v>1157</v>
      </c>
      <c r="W268" s="691"/>
      <c r="X268" s="691"/>
      <c r="Y268" s="634"/>
      <c r="Z268" s="634"/>
      <c r="AA268" s="634"/>
      <c r="AB268" s="634"/>
      <c r="AC268" s="634"/>
      <c r="AD268" s="634"/>
      <c r="AE268" s="634"/>
      <c r="AF268" s="634"/>
      <c r="AG268" s="634"/>
      <c r="AH268" s="634"/>
      <c r="AI268" s="634"/>
      <c r="AJ268" s="634"/>
      <c r="AK268" s="634"/>
      <c r="AL268" s="634"/>
      <c r="AM268" s="634"/>
      <c r="AN268" s="634"/>
      <c r="AO268" s="634"/>
      <c r="AP268" s="634"/>
      <c r="AQ268" s="634"/>
      <c r="AR268" s="634"/>
      <c r="AS268" s="634"/>
      <c r="AT268" s="634"/>
      <c r="AU268" s="634"/>
      <c r="AV268" s="634"/>
      <c r="AW268" s="646"/>
      <c r="AX268" s="693"/>
      <c r="AY268" s="693"/>
      <c r="AZ268" s="693"/>
    </row>
    <row r="269" spans="1:52" ht="12.75" customHeight="1">
      <c r="A269" s="626">
        <v>267</v>
      </c>
      <c r="B269" s="627"/>
      <c r="C269" s="690" t="s">
        <v>1090</v>
      </c>
      <c r="D269" s="690"/>
      <c r="E269" s="690"/>
      <c r="F269" s="690"/>
      <c r="G269" s="690"/>
      <c r="H269" s="690"/>
      <c r="I269" s="690"/>
      <c r="J269" s="690"/>
      <c r="K269" s="690"/>
      <c r="L269" s="690"/>
      <c r="M269" s="690"/>
      <c r="N269" s="690"/>
      <c r="O269" s="690"/>
      <c r="P269" s="690"/>
      <c r="Q269" s="690"/>
      <c r="R269" s="690"/>
      <c r="S269" s="690"/>
      <c r="T269" s="690"/>
      <c r="U269" s="690"/>
      <c r="V269" s="691" t="s">
        <v>1157</v>
      </c>
      <c r="W269" s="691"/>
      <c r="X269" s="691"/>
      <c r="Y269" s="671"/>
      <c r="Z269" s="671"/>
      <c r="AA269" s="671"/>
      <c r="AB269" s="671"/>
      <c r="AC269" s="671"/>
      <c r="AD269" s="671"/>
      <c r="AE269" s="671"/>
      <c r="AF269" s="671"/>
      <c r="AG269" s="671"/>
      <c r="AH269" s="671"/>
      <c r="AI269" s="671"/>
      <c r="AJ269" s="671"/>
      <c r="AK269" s="671"/>
      <c r="AL269" s="671"/>
      <c r="AM269" s="671"/>
      <c r="AN269" s="671"/>
      <c r="AO269" s="671"/>
      <c r="AP269" s="671"/>
      <c r="AQ269" s="671"/>
      <c r="AR269" s="671"/>
      <c r="AS269" s="671"/>
      <c r="AT269" s="671"/>
      <c r="AU269" s="671"/>
      <c r="AV269" s="671"/>
      <c r="AW269" s="625"/>
      <c r="AX269" s="625"/>
      <c r="AY269" s="625"/>
      <c r="AZ269" s="625"/>
    </row>
    <row r="270" spans="1:52" ht="12.75" customHeight="1">
      <c r="A270" s="626">
        <v>268</v>
      </c>
      <c r="B270" s="627"/>
      <c r="C270" s="690" t="s">
        <v>1091</v>
      </c>
      <c r="D270" s="690"/>
      <c r="E270" s="690"/>
      <c r="F270" s="690"/>
      <c r="G270" s="690"/>
      <c r="H270" s="690"/>
      <c r="I270" s="690"/>
      <c r="J270" s="690"/>
      <c r="K270" s="690"/>
      <c r="L270" s="690"/>
      <c r="M270" s="690"/>
      <c r="N270" s="690"/>
      <c r="O270" s="690"/>
      <c r="P270" s="690"/>
      <c r="Q270" s="690"/>
      <c r="R270" s="690"/>
      <c r="S270" s="690"/>
      <c r="T270" s="690"/>
      <c r="U270" s="690"/>
      <c r="V270" s="691" t="s">
        <v>1157</v>
      </c>
      <c r="W270" s="691"/>
      <c r="X270" s="691"/>
      <c r="Y270" s="671"/>
      <c r="Z270" s="671"/>
      <c r="AA270" s="671"/>
      <c r="AB270" s="671"/>
      <c r="AC270" s="671"/>
      <c r="AD270" s="671"/>
      <c r="AE270" s="671"/>
      <c r="AF270" s="671"/>
      <c r="AG270" s="671"/>
      <c r="AH270" s="671"/>
      <c r="AI270" s="671"/>
      <c r="AJ270" s="671"/>
      <c r="AK270" s="671"/>
      <c r="AL270" s="671"/>
      <c r="AM270" s="671"/>
      <c r="AN270" s="671"/>
      <c r="AO270" s="671"/>
      <c r="AP270" s="671"/>
      <c r="AQ270" s="671"/>
      <c r="AR270" s="671"/>
      <c r="AS270" s="671"/>
      <c r="AT270" s="671"/>
      <c r="AU270" s="671"/>
      <c r="AV270" s="671"/>
      <c r="AW270" s="625"/>
      <c r="AX270" s="625"/>
      <c r="AY270" s="625"/>
      <c r="AZ270" s="625"/>
    </row>
    <row r="271" spans="1:52" ht="12.75" customHeight="1">
      <c r="A271" s="626">
        <v>269</v>
      </c>
      <c r="B271" s="627"/>
      <c r="C271" s="690" t="s">
        <v>1092</v>
      </c>
      <c r="D271" s="690"/>
      <c r="E271" s="690"/>
      <c r="F271" s="690"/>
      <c r="G271" s="690"/>
      <c r="H271" s="690"/>
      <c r="I271" s="690"/>
      <c r="J271" s="690"/>
      <c r="K271" s="690"/>
      <c r="L271" s="690"/>
      <c r="M271" s="690"/>
      <c r="N271" s="690"/>
      <c r="O271" s="690"/>
      <c r="P271" s="690"/>
      <c r="Q271" s="690"/>
      <c r="R271" s="690"/>
      <c r="S271" s="690"/>
      <c r="T271" s="690"/>
      <c r="U271" s="690"/>
      <c r="V271" s="691" t="s">
        <v>1157</v>
      </c>
      <c r="W271" s="691"/>
      <c r="X271" s="691"/>
      <c r="Y271" s="671"/>
      <c r="Z271" s="671"/>
      <c r="AA271" s="671"/>
      <c r="AB271" s="671"/>
      <c r="AC271" s="671"/>
      <c r="AD271" s="671"/>
      <c r="AE271" s="671"/>
      <c r="AF271" s="671"/>
      <c r="AG271" s="671"/>
      <c r="AH271" s="671"/>
      <c r="AI271" s="671"/>
      <c r="AJ271" s="671"/>
      <c r="AK271" s="671"/>
      <c r="AL271" s="671"/>
      <c r="AM271" s="671"/>
      <c r="AN271" s="671"/>
      <c r="AO271" s="671"/>
      <c r="AP271" s="671"/>
      <c r="AQ271" s="671"/>
      <c r="AR271" s="671"/>
      <c r="AS271" s="671"/>
      <c r="AT271" s="671"/>
      <c r="AU271" s="671"/>
      <c r="AV271" s="671"/>
      <c r="AW271" s="625"/>
      <c r="AX271" s="625"/>
      <c r="AY271" s="625"/>
      <c r="AZ271" s="625"/>
    </row>
    <row r="272" spans="1:52" ht="12.75" customHeight="1">
      <c r="A272" s="626">
        <v>270</v>
      </c>
      <c r="B272" s="627"/>
      <c r="C272" s="690" t="s">
        <v>1093</v>
      </c>
      <c r="D272" s="690"/>
      <c r="E272" s="690"/>
      <c r="F272" s="690"/>
      <c r="G272" s="690"/>
      <c r="H272" s="690"/>
      <c r="I272" s="690"/>
      <c r="J272" s="690"/>
      <c r="K272" s="690"/>
      <c r="L272" s="690"/>
      <c r="M272" s="690"/>
      <c r="N272" s="690"/>
      <c r="O272" s="690"/>
      <c r="P272" s="690"/>
      <c r="Q272" s="690"/>
      <c r="R272" s="690"/>
      <c r="S272" s="690"/>
      <c r="T272" s="690"/>
      <c r="U272" s="690"/>
      <c r="V272" s="691" t="s">
        <v>1157</v>
      </c>
      <c r="W272" s="691"/>
      <c r="X272" s="691"/>
      <c r="Y272" s="671"/>
      <c r="Z272" s="671"/>
      <c r="AA272" s="671"/>
      <c r="AB272" s="671"/>
      <c r="AC272" s="671"/>
      <c r="AD272" s="671"/>
      <c r="AE272" s="671"/>
      <c r="AF272" s="671"/>
      <c r="AG272" s="671"/>
      <c r="AH272" s="671"/>
      <c r="AI272" s="671"/>
      <c r="AJ272" s="671"/>
      <c r="AK272" s="671"/>
      <c r="AL272" s="671"/>
      <c r="AM272" s="671"/>
      <c r="AN272" s="671"/>
      <c r="AO272" s="671"/>
      <c r="AP272" s="671"/>
      <c r="AQ272" s="671"/>
      <c r="AR272" s="671"/>
      <c r="AS272" s="671"/>
      <c r="AT272" s="671"/>
      <c r="AU272" s="671"/>
      <c r="AV272" s="671"/>
      <c r="AW272" s="625"/>
      <c r="AX272" s="625"/>
      <c r="AY272" s="625"/>
      <c r="AZ272" s="625"/>
    </row>
    <row r="273" spans="1:52" ht="12.75" customHeight="1">
      <c r="A273" s="626">
        <v>271</v>
      </c>
      <c r="B273" s="627"/>
      <c r="C273" s="690" t="s">
        <v>1094</v>
      </c>
      <c r="D273" s="690"/>
      <c r="E273" s="690"/>
      <c r="F273" s="690"/>
      <c r="G273" s="690"/>
      <c r="H273" s="690"/>
      <c r="I273" s="690"/>
      <c r="J273" s="690"/>
      <c r="K273" s="690"/>
      <c r="L273" s="690"/>
      <c r="M273" s="690"/>
      <c r="N273" s="690"/>
      <c r="O273" s="690"/>
      <c r="P273" s="690"/>
      <c r="Q273" s="690"/>
      <c r="R273" s="690"/>
      <c r="S273" s="690"/>
      <c r="T273" s="690"/>
      <c r="U273" s="690"/>
      <c r="V273" s="691" t="s">
        <v>1157</v>
      </c>
      <c r="W273" s="691"/>
      <c r="X273" s="691"/>
      <c r="Y273" s="671"/>
      <c r="Z273" s="671"/>
      <c r="AA273" s="671"/>
      <c r="AB273" s="671"/>
      <c r="AC273" s="671"/>
      <c r="AD273" s="671"/>
      <c r="AE273" s="671"/>
      <c r="AF273" s="671"/>
      <c r="AG273" s="671"/>
      <c r="AH273" s="671"/>
      <c r="AI273" s="671"/>
      <c r="AJ273" s="671"/>
      <c r="AK273" s="671"/>
      <c r="AL273" s="671"/>
      <c r="AM273" s="671"/>
      <c r="AN273" s="671"/>
      <c r="AO273" s="671"/>
      <c r="AP273" s="671"/>
      <c r="AQ273" s="671"/>
      <c r="AR273" s="671"/>
      <c r="AS273" s="671"/>
      <c r="AT273" s="671"/>
      <c r="AU273" s="671"/>
      <c r="AV273" s="671"/>
      <c r="AW273" s="625"/>
      <c r="AX273" s="625"/>
      <c r="AY273" s="625"/>
      <c r="AZ273" s="625"/>
    </row>
    <row r="274" spans="1:52" ht="12.75" customHeight="1">
      <c r="A274" s="626">
        <v>272</v>
      </c>
      <c r="B274" s="627"/>
      <c r="C274" s="690" t="s">
        <v>1095</v>
      </c>
      <c r="D274" s="690"/>
      <c r="E274" s="690"/>
      <c r="F274" s="690"/>
      <c r="G274" s="690"/>
      <c r="H274" s="690"/>
      <c r="I274" s="690"/>
      <c r="J274" s="690"/>
      <c r="K274" s="690"/>
      <c r="L274" s="690"/>
      <c r="M274" s="690"/>
      <c r="N274" s="690"/>
      <c r="O274" s="690"/>
      <c r="P274" s="690"/>
      <c r="Q274" s="690"/>
      <c r="R274" s="690"/>
      <c r="S274" s="690"/>
      <c r="T274" s="690"/>
      <c r="U274" s="690"/>
      <c r="V274" s="691" t="s">
        <v>1157</v>
      </c>
      <c r="W274" s="691"/>
      <c r="X274" s="691"/>
      <c r="Y274" s="671"/>
      <c r="Z274" s="671"/>
      <c r="AA274" s="671"/>
      <c r="AB274" s="671"/>
      <c r="AC274" s="671"/>
      <c r="AD274" s="671"/>
      <c r="AE274" s="671"/>
      <c r="AF274" s="671"/>
      <c r="AG274" s="671"/>
      <c r="AH274" s="671"/>
      <c r="AI274" s="671"/>
      <c r="AJ274" s="671"/>
      <c r="AK274" s="671"/>
      <c r="AL274" s="671"/>
      <c r="AM274" s="671"/>
      <c r="AN274" s="671"/>
      <c r="AO274" s="671"/>
      <c r="AP274" s="671"/>
      <c r="AQ274" s="671"/>
      <c r="AR274" s="671"/>
      <c r="AS274" s="671"/>
      <c r="AT274" s="671"/>
      <c r="AU274" s="671"/>
      <c r="AV274" s="671"/>
      <c r="AW274" s="625"/>
      <c r="AX274" s="625"/>
      <c r="AY274" s="625"/>
      <c r="AZ274" s="625"/>
    </row>
    <row r="275" spans="1:52" ht="25.5" customHeight="1">
      <c r="A275" s="626">
        <v>273</v>
      </c>
      <c r="B275" s="627"/>
      <c r="C275" s="690" t="s">
        <v>1096</v>
      </c>
      <c r="D275" s="690"/>
      <c r="E275" s="690"/>
      <c r="F275" s="690"/>
      <c r="G275" s="690"/>
      <c r="H275" s="690"/>
      <c r="I275" s="690"/>
      <c r="J275" s="690"/>
      <c r="K275" s="690"/>
      <c r="L275" s="690"/>
      <c r="M275" s="690"/>
      <c r="N275" s="690"/>
      <c r="O275" s="690"/>
      <c r="P275" s="690"/>
      <c r="Q275" s="690"/>
      <c r="R275" s="690"/>
      <c r="S275" s="690"/>
      <c r="T275" s="690"/>
      <c r="U275" s="690"/>
      <c r="V275" s="691" t="s">
        <v>1157</v>
      </c>
      <c r="W275" s="691"/>
      <c r="X275" s="691"/>
      <c r="Y275" s="671"/>
      <c r="Z275" s="671"/>
      <c r="AA275" s="671"/>
      <c r="AB275" s="671"/>
      <c r="AC275" s="671"/>
      <c r="AD275" s="671"/>
      <c r="AE275" s="671"/>
      <c r="AF275" s="671"/>
      <c r="AG275" s="671"/>
      <c r="AH275" s="671"/>
      <c r="AI275" s="671"/>
      <c r="AJ275" s="671"/>
      <c r="AK275" s="671"/>
      <c r="AL275" s="671"/>
      <c r="AM275" s="671"/>
      <c r="AN275" s="671"/>
      <c r="AO275" s="671"/>
      <c r="AP275" s="671"/>
      <c r="AQ275" s="671"/>
      <c r="AR275" s="671"/>
      <c r="AS275" s="671"/>
      <c r="AT275" s="671"/>
      <c r="AU275" s="671"/>
      <c r="AV275" s="671"/>
      <c r="AW275" s="625"/>
      <c r="AX275" s="625"/>
      <c r="AY275" s="625"/>
      <c r="AZ275" s="625"/>
    </row>
    <row r="276" spans="1:52" ht="12.75" customHeight="1">
      <c r="A276" s="626">
        <v>274</v>
      </c>
      <c r="B276" s="627"/>
      <c r="C276" s="690" t="s">
        <v>1097</v>
      </c>
      <c r="D276" s="690"/>
      <c r="E276" s="690"/>
      <c r="F276" s="690"/>
      <c r="G276" s="690"/>
      <c r="H276" s="690"/>
      <c r="I276" s="690"/>
      <c r="J276" s="690"/>
      <c r="K276" s="690"/>
      <c r="L276" s="690"/>
      <c r="M276" s="690"/>
      <c r="N276" s="690"/>
      <c r="O276" s="690"/>
      <c r="P276" s="690"/>
      <c r="Q276" s="690"/>
      <c r="R276" s="690"/>
      <c r="S276" s="690"/>
      <c r="T276" s="690"/>
      <c r="U276" s="690"/>
      <c r="V276" s="691" t="s">
        <v>1157</v>
      </c>
      <c r="W276" s="691"/>
      <c r="X276" s="691"/>
      <c r="Y276" s="671"/>
      <c r="Z276" s="671"/>
      <c r="AA276" s="671"/>
      <c r="AB276" s="671"/>
      <c r="AC276" s="671"/>
      <c r="AD276" s="671"/>
      <c r="AE276" s="671"/>
      <c r="AF276" s="671"/>
      <c r="AG276" s="671"/>
      <c r="AH276" s="671"/>
      <c r="AI276" s="671"/>
      <c r="AJ276" s="671"/>
      <c r="AK276" s="671"/>
      <c r="AL276" s="671"/>
      <c r="AM276" s="671"/>
      <c r="AN276" s="671"/>
      <c r="AO276" s="671"/>
      <c r="AP276" s="671"/>
      <c r="AQ276" s="671"/>
      <c r="AR276" s="671"/>
      <c r="AS276" s="671"/>
      <c r="AT276" s="671"/>
      <c r="AU276" s="671"/>
      <c r="AV276" s="671"/>
      <c r="AW276" s="625"/>
      <c r="AX276" s="625"/>
      <c r="AY276" s="625"/>
      <c r="AZ276" s="625"/>
    </row>
    <row r="277" spans="1:52" ht="12.75" customHeight="1">
      <c r="A277" s="626">
        <v>275</v>
      </c>
      <c r="B277" s="627"/>
      <c r="C277" s="690" t="s">
        <v>1099</v>
      </c>
      <c r="D277" s="690"/>
      <c r="E277" s="690"/>
      <c r="F277" s="690"/>
      <c r="G277" s="690"/>
      <c r="H277" s="690"/>
      <c r="I277" s="690"/>
      <c r="J277" s="690"/>
      <c r="K277" s="690"/>
      <c r="L277" s="690"/>
      <c r="M277" s="690"/>
      <c r="N277" s="690"/>
      <c r="O277" s="690"/>
      <c r="P277" s="690"/>
      <c r="Q277" s="690"/>
      <c r="R277" s="690"/>
      <c r="S277" s="690"/>
      <c r="T277" s="690"/>
      <c r="U277" s="690"/>
      <c r="V277" s="691" t="s">
        <v>1157</v>
      </c>
      <c r="W277" s="691"/>
      <c r="X277" s="691"/>
      <c r="Y277" s="671"/>
      <c r="Z277" s="671"/>
      <c r="AA277" s="671"/>
      <c r="AB277" s="671"/>
      <c r="AC277" s="671"/>
      <c r="AD277" s="671"/>
      <c r="AE277" s="671"/>
      <c r="AF277" s="671"/>
      <c r="AG277" s="671"/>
      <c r="AH277" s="671"/>
      <c r="AI277" s="671"/>
      <c r="AJ277" s="671"/>
      <c r="AK277" s="671"/>
      <c r="AL277" s="671"/>
      <c r="AM277" s="671"/>
      <c r="AN277" s="671"/>
      <c r="AO277" s="671"/>
      <c r="AP277" s="671"/>
      <c r="AQ277" s="671"/>
      <c r="AR277" s="671"/>
      <c r="AS277" s="671"/>
      <c r="AT277" s="671"/>
      <c r="AU277" s="671"/>
      <c r="AV277" s="671"/>
      <c r="AW277" s="625"/>
      <c r="AX277" s="625"/>
      <c r="AY277" s="625"/>
      <c r="AZ277" s="625"/>
    </row>
    <row r="278" spans="1:52" ht="12.75" customHeight="1">
      <c r="A278" s="626">
        <v>276</v>
      </c>
      <c r="B278" s="627"/>
      <c r="C278" s="690" t="s">
        <v>1100</v>
      </c>
      <c r="D278" s="690"/>
      <c r="E278" s="690"/>
      <c r="F278" s="690"/>
      <c r="G278" s="690"/>
      <c r="H278" s="690"/>
      <c r="I278" s="690"/>
      <c r="J278" s="690"/>
      <c r="K278" s="690"/>
      <c r="L278" s="690"/>
      <c r="M278" s="690"/>
      <c r="N278" s="690"/>
      <c r="O278" s="690"/>
      <c r="P278" s="690"/>
      <c r="Q278" s="690"/>
      <c r="R278" s="690"/>
      <c r="S278" s="690"/>
      <c r="T278" s="690"/>
      <c r="U278" s="690"/>
      <c r="V278" s="691" t="s">
        <v>1157</v>
      </c>
      <c r="W278" s="691"/>
      <c r="X278" s="691"/>
      <c r="Y278" s="671"/>
      <c r="Z278" s="671"/>
      <c r="AA278" s="671"/>
      <c r="AB278" s="671"/>
      <c r="AC278" s="671"/>
      <c r="AD278" s="671"/>
      <c r="AE278" s="671"/>
      <c r="AF278" s="671"/>
      <c r="AG278" s="671"/>
      <c r="AH278" s="671"/>
      <c r="AI278" s="671"/>
      <c r="AJ278" s="671"/>
      <c r="AK278" s="671"/>
      <c r="AL278" s="671"/>
      <c r="AM278" s="671"/>
      <c r="AN278" s="671"/>
      <c r="AO278" s="671"/>
      <c r="AP278" s="671"/>
      <c r="AQ278" s="671"/>
      <c r="AR278" s="671"/>
      <c r="AS278" s="671"/>
      <c r="AT278" s="671"/>
      <c r="AU278" s="671"/>
      <c r="AV278" s="671"/>
      <c r="AW278" s="625"/>
      <c r="AX278" s="625"/>
      <c r="AY278" s="625"/>
      <c r="AZ278" s="625"/>
    </row>
    <row r="279" spans="1:52" ht="25.5" customHeight="1">
      <c r="A279" s="638">
        <v>277</v>
      </c>
      <c r="B279" s="639"/>
      <c r="C279" s="701" t="s">
        <v>1158</v>
      </c>
      <c r="D279" s="701"/>
      <c r="E279" s="701"/>
      <c r="F279" s="701"/>
      <c r="G279" s="701"/>
      <c r="H279" s="701"/>
      <c r="I279" s="701"/>
      <c r="J279" s="701"/>
      <c r="K279" s="701"/>
      <c r="L279" s="701"/>
      <c r="M279" s="701"/>
      <c r="N279" s="701"/>
      <c r="O279" s="701"/>
      <c r="P279" s="701"/>
      <c r="Q279" s="701"/>
      <c r="R279" s="701"/>
      <c r="S279" s="701"/>
      <c r="T279" s="701"/>
      <c r="U279" s="701"/>
      <c r="V279" s="692" t="s">
        <v>1159</v>
      </c>
      <c r="W279" s="692"/>
      <c r="X279" s="692"/>
      <c r="Y279" s="646"/>
      <c r="Z279" s="693"/>
      <c r="AA279" s="693"/>
      <c r="AB279" s="693"/>
      <c r="AC279" s="646"/>
      <c r="AD279" s="693"/>
      <c r="AE279" s="693"/>
      <c r="AF279" s="693"/>
      <c r="AG279" s="646"/>
      <c r="AH279" s="693"/>
      <c r="AI279" s="693"/>
      <c r="AJ279" s="693"/>
      <c r="AK279" s="646"/>
      <c r="AL279" s="693"/>
      <c r="AM279" s="693"/>
      <c r="AN279" s="693"/>
      <c r="AO279" s="646"/>
      <c r="AP279" s="693"/>
      <c r="AQ279" s="693"/>
      <c r="AR279" s="693"/>
      <c r="AS279" s="646"/>
      <c r="AT279" s="693"/>
      <c r="AU279" s="693"/>
      <c r="AV279" s="693"/>
      <c r="AW279" s="646"/>
      <c r="AX279" s="693"/>
      <c r="AY279" s="693"/>
      <c r="AZ279" s="693"/>
    </row>
    <row r="280" spans="1:52" s="549" customFormat="1" ht="25.5" customHeight="1">
      <c r="A280" s="638">
        <v>278</v>
      </c>
      <c r="B280" s="639"/>
      <c r="C280" s="688" t="s">
        <v>1160</v>
      </c>
      <c r="D280" s="688"/>
      <c r="E280" s="688"/>
      <c r="F280" s="688"/>
      <c r="G280" s="688"/>
      <c r="H280" s="688"/>
      <c r="I280" s="688"/>
      <c r="J280" s="688"/>
      <c r="K280" s="688"/>
      <c r="L280" s="688"/>
      <c r="M280" s="688"/>
      <c r="N280" s="688"/>
      <c r="O280" s="688"/>
      <c r="P280" s="688"/>
      <c r="Q280" s="688"/>
      <c r="R280" s="688"/>
      <c r="S280" s="688"/>
      <c r="T280" s="688"/>
      <c r="U280" s="688"/>
      <c r="V280" s="640" t="s">
        <v>1161</v>
      </c>
      <c r="W280" s="641"/>
      <c r="X280" s="642"/>
      <c r="Y280" s="646"/>
      <c r="Z280" s="693"/>
      <c r="AA280" s="693"/>
      <c r="AB280" s="693"/>
      <c r="AC280" s="646"/>
      <c r="AD280" s="693"/>
      <c r="AE280" s="693"/>
      <c r="AF280" s="693"/>
      <c r="AG280" s="646"/>
      <c r="AH280" s="693"/>
      <c r="AI280" s="693"/>
      <c r="AJ280" s="693"/>
      <c r="AK280" s="646"/>
      <c r="AL280" s="693"/>
      <c r="AM280" s="693"/>
      <c r="AN280" s="693"/>
      <c r="AO280" s="646"/>
      <c r="AP280" s="693"/>
      <c r="AQ280" s="693"/>
      <c r="AR280" s="693"/>
      <c r="AS280" s="646"/>
      <c r="AT280" s="693"/>
      <c r="AU280" s="693"/>
      <c r="AV280" s="693"/>
      <c r="AW280" s="646"/>
      <c r="AX280" s="693"/>
      <c r="AY280" s="693"/>
      <c r="AZ280" s="693"/>
    </row>
  </sheetData>
  <sheetProtection/>
  <mergeCells count="2791">
    <mergeCell ref="AK280:AN280"/>
    <mergeCell ref="AO280:AR280"/>
    <mergeCell ref="AS280:AV280"/>
    <mergeCell ref="AW280:AZ280"/>
    <mergeCell ref="C1:U1"/>
    <mergeCell ref="AK279:AN279"/>
    <mergeCell ref="AO279:AR279"/>
    <mergeCell ref="AS279:AV279"/>
    <mergeCell ref="AW279:AZ279"/>
    <mergeCell ref="AK278:AN278"/>
    <mergeCell ref="A280:B280"/>
    <mergeCell ref="C280:U280"/>
    <mergeCell ref="V280:X280"/>
    <mergeCell ref="Y280:AB280"/>
    <mergeCell ref="AC280:AF280"/>
    <mergeCell ref="AG280:AJ280"/>
    <mergeCell ref="AO278:AR278"/>
    <mergeCell ref="AS278:AV278"/>
    <mergeCell ref="AW278:AZ278"/>
    <mergeCell ref="A279:B279"/>
    <mergeCell ref="C279:U279"/>
    <mergeCell ref="V279:X279"/>
    <mergeCell ref="Y279:AB279"/>
    <mergeCell ref="AC279:AF279"/>
    <mergeCell ref="AG279:AJ279"/>
    <mergeCell ref="AK277:AN277"/>
    <mergeCell ref="AO277:AR277"/>
    <mergeCell ref="AS277:AV277"/>
    <mergeCell ref="AW277:AZ277"/>
    <mergeCell ref="A278:B278"/>
    <mergeCell ref="C278:U278"/>
    <mergeCell ref="V278:X278"/>
    <mergeCell ref="Y278:AB278"/>
    <mergeCell ref="AC278:AF278"/>
    <mergeCell ref="AG278:AJ278"/>
    <mergeCell ref="AK276:AN276"/>
    <mergeCell ref="AO276:AR276"/>
    <mergeCell ref="AS276:AV276"/>
    <mergeCell ref="AW276:AZ276"/>
    <mergeCell ref="A277:B277"/>
    <mergeCell ref="C277:U277"/>
    <mergeCell ref="V277:X277"/>
    <mergeCell ref="Y277:AB277"/>
    <mergeCell ref="AC277:AF277"/>
    <mergeCell ref="AG277:AJ277"/>
    <mergeCell ref="AK275:AN275"/>
    <mergeCell ref="AO275:AR275"/>
    <mergeCell ref="AS275:AV275"/>
    <mergeCell ref="AW275:AZ275"/>
    <mergeCell ref="A276:B276"/>
    <mergeCell ref="C276:U276"/>
    <mergeCell ref="V276:X276"/>
    <mergeCell ref="Y276:AB276"/>
    <mergeCell ref="AC276:AF276"/>
    <mergeCell ref="AG276:AJ276"/>
    <mergeCell ref="AK274:AN274"/>
    <mergeCell ref="AO274:AR274"/>
    <mergeCell ref="AS274:AV274"/>
    <mergeCell ref="AW274:AZ274"/>
    <mergeCell ref="A275:B275"/>
    <mergeCell ref="C275:U275"/>
    <mergeCell ref="V275:X275"/>
    <mergeCell ref="Y275:AB275"/>
    <mergeCell ref="AC275:AF275"/>
    <mergeCell ref="AG275:AJ275"/>
    <mergeCell ref="AK273:AN273"/>
    <mergeCell ref="AO273:AR273"/>
    <mergeCell ref="AS273:AV273"/>
    <mergeCell ref="AW273:AZ273"/>
    <mergeCell ref="A274:B274"/>
    <mergeCell ref="C274:U274"/>
    <mergeCell ref="V274:X274"/>
    <mergeCell ref="Y274:AB274"/>
    <mergeCell ref="AC274:AF274"/>
    <mergeCell ref="AG274:AJ274"/>
    <mergeCell ref="AK272:AN272"/>
    <mergeCell ref="AO272:AR272"/>
    <mergeCell ref="AS272:AV272"/>
    <mergeCell ref="AW272:AZ272"/>
    <mergeCell ref="A273:B273"/>
    <mergeCell ref="C273:U273"/>
    <mergeCell ref="V273:X273"/>
    <mergeCell ref="Y273:AB273"/>
    <mergeCell ref="AC273:AF273"/>
    <mergeCell ref="AG273:AJ273"/>
    <mergeCell ref="AK271:AN271"/>
    <mergeCell ref="AO271:AR271"/>
    <mergeCell ref="AS271:AV271"/>
    <mergeCell ref="AW271:AZ271"/>
    <mergeCell ref="A272:B272"/>
    <mergeCell ref="C272:U272"/>
    <mergeCell ref="V272:X272"/>
    <mergeCell ref="Y272:AB272"/>
    <mergeCell ref="AC272:AF272"/>
    <mergeCell ref="AG272:AJ272"/>
    <mergeCell ref="AK270:AN270"/>
    <mergeCell ref="AO270:AR270"/>
    <mergeCell ref="AS270:AV270"/>
    <mergeCell ref="AW270:AZ270"/>
    <mergeCell ref="A271:B271"/>
    <mergeCell ref="C271:U271"/>
    <mergeCell ref="V271:X271"/>
    <mergeCell ref="Y271:AB271"/>
    <mergeCell ref="AC271:AF271"/>
    <mergeCell ref="AG271:AJ271"/>
    <mergeCell ref="AK269:AN269"/>
    <mergeCell ref="AO269:AR269"/>
    <mergeCell ref="AS269:AV269"/>
    <mergeCell ref="AW269:AZ269"/>
    <mergeCell ref="A270:B270"/>
    <mergeCell ref="C270:U270"/>
    <mergeCell ref="V270:X270"/>
    <mergeCell ref="Y270:AB270"/>
    <mergeCell ref="AC270:AF270"/>
    <mergeCell ref="AG270:AJ270"/>
    <mergeCell ref="AK268:AN268"/>
    <mergeCell ref="AO268:AR268"/>
    <mergeCell ref="AS268:AV268"/>
    <mergeCell ref="AW268:AZ268"/>
    <mergeCell ref="A269:B269"/>
    <mergeCell ref="C269:U269"/>
    <mergeCell ref="V269:X269"/>
    <mergeCell ref="Y269:AB269"/>
    <mergeCell ref="AC269:AF269"/>
    <mergeCell ref="AG269:AJ269"/>
    <mergeCell ref="AK267:AN267"/>
    <mergeCell ref="AO267:AR267"/>
    <mergeCell ref="AS267:AV267"/>
    <mergeCell ref="AW267:AZ267"/>
    <mergeCell ref="A268:B268"/>
    <mergeCell ref="C268:U268"/>
    <mergeCell ref="V268:X268"/>
    <mergeCell ref="Y268:AB268"/>
    <mergeCell ref="AC268:AF268"/>
    <mergeCell ref="AG268:AJ268"/>
    <mergeCell ref="AK266:AN266"/>
    <mergeCell ref="AO266:AR266"/>
    <mergeCell ref="AS266:AV266"/>
    <mergeCell ref="AW266:AZ266"/>
    <mergeCell ref="A267:B267"/>
    <mergeCell ref="C267:U267"/>
    <mergeCell ref="V267:X267"/>
    <mergeCell ref="Y267:AB267"/>
    <mergeCell ref="AC267:AF267"/>
    <mergeCell ref="AG267:AJ267"/>
    <mergeCell ref="AK265:AN265"/>
    <mergeCell ref="AO265:AR265"/>
    <mergeCell ref="AS265:AV265"/>
    <mergeCell ref="AW265:AZ265"/>
    <mergeCell ref="A266:B266"/>
    <mergeCell ref="C266:U266"/>
    <mergeCell ref="V266:X266"/>
    <mergeCell ref="Y266:AB266"/>
    <mergeCell ref="AC266:AF266"/>
    <mergeCell ref="AG266:AJ266"/>
    <mergeCell ref="AK264:AN264"/>
    <mergeCell ref="AO264:AR264"/>
    <mergeCell ref="AS264:AV264"/>
    <mergeCell ref="AW264:AZ264"/>
    <mergeCell ref="A265:B265"/>
    <mergeCell ref="C265:U265"/>
    <mergeCell ref="V265:X265"/>
    <mergeCell ref="Y265:AB265"/>
    <mergeCell ref="AC265:AF265"/>
    <mergeCell ref="AG265:AJ265"/>
    <mergeCell ref="AK263:AN263"/>
    <mergeCell ref="AO263:AR263"/>
    <mergeCell ref="AS263:AV263"/>
    <mergeCell ref="AW263:AZ263"/>
    <mergeCell ref="A264:B264"/>
    <mergeCell ref="C264:U264"/>
    <mergeCell ref="V264:X264"/>
    <mergeCell ref="Y264:AB264"/>
    <mergeCell ref="AC264:AF264"/>
    <mergeCell ref="AG264:AJ264"/>
    <mergeCell ref="AK262:AN262"/>
    <mergeCell ref="AO262:AR262"/>
    <mergeCell ref="AS262:AV262"/>
    <mergeCell ref="AW262:AZ262"/>
    <mergeCell ref="A263:B263"/>
    <mergeCell ref="C263:U263"/>
    <mergeCell ref="V263:X263"/>
    <mergeCell ref="Y263:AB263"/>
    <mergeCell ref="AC263:AF263"/>
    <mergeCell ref="AG263:AJ263"/>
    <mergeCell ref="AK261:AN261"/>
    <mergeCell ref="AO261:AR261"/>
    <mergeCell ref="AS261:AV261"/>
    <mergeCell ref="AW261:AZ261"/>
    <mergeCell ref="A262:B262"/>
    <mergeCell ref="C262:U262"/>
    <mergeCell ref="V262:X262"/>
    <mergeCell ref="Y262:AB262"/>
    <mergeCell ref="AC262:AF262"/>
    <mergeCell ref="AG262:AJ262"/>
    <mergeCell ref="AK260:AN260"/>
    <mergeCell ref="AO260:AR260"/>
    <mergeCell ref="AS260:AV260"/>
    <mergeCell ref="AW260:AZ260"/>
    <mergeCell ref="A261:B261"/>
    <mergeCell ref="C261:U261"/>
    <mergeCell ref="V261:X261"/>
    <mergeCell ref="Y261:AB261"/>
    <mergeCell ref="AC261:AF261"/>
    <mergeCell ref="AG261:AJ261"/>
    <mergeCell ref="AK259:AN259"/>
    <mergeCell ref="AO259:AR259"/>
    <mergeCell ref="AS259:AV259"/>
    <mergeCell ref="AW259:AZ259"/>
    <mergeCell ref="A260:B260"/>
    <mergeCell ref="C260:U260"/>
    <mergeCell ref="V260:X260"/>
    <mergeCell ref="Y260:AB260"/>
    <mergeCell ref="AC260:AF260"/>
    <mergeCell ref="AG260:AJ260"/>
    <mergeCell ref="AK258:AN258"/>
    <mergeCell ref="AO258:AR258"/>
    <mergeCell ref="AS258:AV258"/>
    <mergeCell ref="AW258:AZ258"/>
    <mergeCell ref="A259:B259"/>
    <mergeCell ref="C259:U259"/>
    <mergeCell ref="V259:X259"/>
    <mergeCell ref="Y259:AB259"/>
    <mergeCell ref="AC259:AF259"/>
    <mergeCell ref="AG259:AJ259"/>
    <mergeCell ref="AK257:AN257"/>
    <mergeCell ref="AO257:AR257"/>
    <mergeCell ref="AS257:AV257"/>
    <mergeCell ref="AW257:AZ257"/>
    <mergeCell ref="A258:B258"/>
    <mergeCell ref="C258:U258"/>
    <mergeCell ref="V258:X258"/>
    <mergeCell ref="Y258:AB258"/>
    <mergeCell ref="AC258:AF258"/>
    <mergeCell ref="AG258:AJ258"/>
    <mergeCell ref="AK256:AN256"/>
    <mergeCell ref="AO256:AR256"/>
    <mergeCell ref="AS256:AV256"/>
    <mergeCell ref="AW256:AZ256"/>
    <mergeCell ref="A257:B257"/>
    <mergeCell ref="C257:U257"/>
    <mergeCell ref="V257:X257"/>
    <mergeCell ref="Y257:AB257"/>
    <mergeCell ref="AC257:AF257"/>
    <mergeCell ref="AG257:AJ257"/>
    <mergeCell ref="AK255:AN255"/>
    <mergeCell ref="AO255:AR255"/>
    <mergeCell ref="AS255:AV255"/>
    <mergeCell ref="AW255:AZ255"/>
    <mergeCell ref="A256:B256"/>
    <mergeCell ref="C256:U256"/>
    <mergeCell ref="V256:X256"/>
    <mergeCell ref="Y256:AB256"/>
    <mergeCell ref="AC256:AF256"/>
    <mergeCell ref="AG256:AJ256"/>
    <mergeCell ref="AK254:AN254"/>
    <mergeCell ref="AO254:AR254"/>
    <mergeCell ref="AS254:AV254"/>
    <mergeCell ref="AW254:AZ254"/>
    <mergeCell ref="A255:B255"/>
    <mergeCell ref="C255:U255"/>
    <mergeCell ref="V255:X255"/>
    <mergeCell ref="Y255:AB255"/>
    <mergeCell ref="AC255:AF255"/>
    <mergeCell ref="AG255:AJ255"/>
    <mergeCell ref="AK253:AN253"/>
    <mergeCell ref="AO253:AR253"/>
    <mergeCell ref="AS253:AV253"/>
    <mergeCell ref="AW253:AZ253"/>
    <mergeCell ref="A254:B254"/>
    <mergeCell ref="C254:U254"/>
    <mergeCell ref="V254:X254"/>
    <mergeCell ref="Y254:AB254"/>
    <mergeCell ref="AC254:AF254"/>
    <mergeCell ref="AG254:AJ254"/>
    <mergeCell ref="AK252:AN252"/>
    <mergeCell ref="AO252:AR252"/>
    <mergeCell ref="AS252:AV252"/>
    <mergeCell ref="AW252:AZ252"/>
    <mergeCell ref="A253:B253"/>
    <mergeCell ref="C253:U253"/>
    <mergeCell ref="V253:X253"/>
    <mergeCell ref="Y253:AB253"/>
    <mergeCell ref="AC253:AF253"/>
    <mergeCell ref="AG253:AJ253"/>
    <mergeCell ref="AK251:AN251"/>
    <mergeCell ref="AO251:AR251"/>
    <mergeCell ref="AS251:AV251"/>
    <mergeCell ref="AW251:AZ251"/>
    <mergeCell ref="A252:B252"/>
    <mergeCell ref="C252:U252"/>
    <mergeCell ref="V252:X252"/>
    <mergeCell ref="Y252:AB252"/>
    <mergeCell ref="AC252:AF252"/>
    <mergeCell ref="AG252:AJ252"/>
    <mergeCell ref="AK250:AN250"/>
    <mergeCell ref="AO250:AR250"/>
    <mergeCell ref="AS250:AV250"/>
    <mergeCell ref="AW250:AZ250"/>
    <mergeCell ref="A251:B251"/>
    <mergeCell ref="C251:U251"/>
    <mergeCell ref="V251:X251"/>
    <mergeCell ref="Y251:AB251"/>
    <mergeCell ref="AC251:AF251"/>
    <mergeCell ref="AG251:AJ251"/>
    <mergeCell ref="AK249:AN249"/>
    <mergeCell ref="AO249:AR249"/>
    <mergeCell ref="AS249:AV249"/>
    <mergeCell ref="AW249:AZ249"/>
    <mergeCell ref="A250:B250"/>
    <mergeCell ref="C250:U250"/>
    <mergeCell ref="V250:X250"/>
    <mergeCell ref="Y250:AB250"/>
    <mergeCell ref="AC250:AF250"/>
    <mergeCell ref="AG250:AJ250"/>
    <mergeCell ref="AK248:AN248"/>
    <mergeCell ref="AO248:AR248"/>
    <mergeCell ref="AS248:AV248"/>
    <mergeCell ref="AW248:AZ248"/>
    <mergeCell ref="A249:B249"/>
    <mergeCell ref="C249:U249"/>
    <mergeCell ref="V249:X249"/>
    <mergeCell ref="Y249:AB249"/>
    <mergeCell ref="AC249:AF249"/>
    <mergeCell ref="AG249:AJ249"/>
    <mergeCell ref="AK247:AN247"/>
    <mergeCell ref="AO247:AR247"/>
    <mergeCell ref="AS247:AV247"/>
    <mergeCell ref="AW247:AZ247"/>
    <mergeCell ref="A248:B248"/>
    <mergeCell ref="C248:U248"/>
    <mergeCell ref="V248:X248"/>
    <mergeCell ref="Y248:AB248"/>
    <mergeCell ref="AC248:AF248"/>
    <mergeCell ref="AG248:AJ248"/>
    <mergeCell ref="AK246:AN246"/>
    <mergeCell ref="AO246:AR246"/>
    <mergeCell ref="AS246:AV246"/>
    <mergeCell ref="AW246:AZ246"/>
    <mergeCell ref="A247:B247"/>
    <mergeCell ref="C247:U247"/>
    <mergeCell ref="V247:X247"/>
    <mergeCell ref="Y247:AB247"/>
    <mergeCell ref="AC247:AF247"/>
    <mergeCell ref="AG247:AJ247"/>
    <mergeCell ref="AK245:AN245"/>
    <mergeCell ref="AO245:AR245"/>
    <mergeCell ref="AS245:AV245"/>
    <mergeCell ref="AW245:AZ245"/>
    <mergeCell ref="A246:B246"/>
    <mergeCell ref="C246:U246"/>
    <mergeCell ref="V246:X246"/>
    <mergeCell ref="Y246:AB246"/>
    <mergeCell ref="AC246:AF246"/>
    <mergeCell ref="AG246:AJ246"/>
    <mergeCell ref="AK244:AN244"/>
    <mergeCell ref="AO244:AR244"/>
    <mergeCell ref="AS244:AV244"/>
    <mergeCell ref="AW244:AZ244"/>
    <mergeCell ref="A245:B245"/>
    <mergeCell ref="C245:U245"/>
    <mergeCell ref="V245:X245"/>
    <mergeCell ref="Y245:AB245"/>
    <mergeCell ref="AC245:AF245"/>
    <mergeCell ref="AG245:AJ245"/>
    <mergeCell ref="AK243:AN243"/>
    <mergeCell ref="AO243:AR243"/>
    <mergeCell ref="AS243:AV243"/>
    <mergeCell ref="AW243:AZ243"/>
    <mergeCell ref="A244:B244"/>
    <mergeCell ref="C244:U244"/>
    <mergeCell ref="V244:X244"/>
    <mergeCell ref="Y244:AB244"/>
    <mergeCell ref="AC244:AF244"/>
    <mergeCell ref="AG244:AJ244"/>
    <mergeCell ref="AK242:AN242"/>
    <mergeCell ref="AO242:AR242"/>
    <mergeCell ref="AS242:AV242"/>
    <mergeCell ref="AW242:AZ242"/>
    <mergeCell ref="A243:B243"/>
    <mergeCell ref="C243:U243"/>
    <mergeCell ref="V243:X243"/>
    <mergeCell ref="Y243:AB243"/>
    <mergeCell ref="AC243:AF243"/>
    <mergeCell ref="AG243:AJ243"/>
    <mergeCell ref="AK241:AN241"/>
    <mergeCell ref="AO241:AR241"/>
    <mergeCell ref="AS241:AV241"/>
    <mergeCell ref="AW241:AZ241"/>
    <mergeCell ref="A242:B242"/>
    <mergeCell ref="C242:U242"/>
    <mergeCell ref="V242:X242"/>
    <mergeCell ref="Y242:AB242"/>
    <mergeCell ref="AC242:AF242"/>
    <mergeCell ref="AG242:AJ242"/>
    <mergeCell ref="AK240:AN240"/>
    <mergeCell ref="AO240:AR240"/>
    <mergeCell ref="AS240:AV240"/>
    <mergeCell ref="AW240:AZ240"/>
    <mergeCell ref="A241:B241"/>
    <mergeCell ref="C241:U241"/>
    <mergeCell ref="V241:X241"/>
    <mergeCell ref="Y241:AB241"/>
    <mergeCell ref="AC241:AF241"/>
    <mergeCell ref="AG241:AJ241"/>
    <mergeCell ref="AK239:AN239"/>
    <mergeCell ref="AO239:AR239"/>
    <mergeCell ref="AS239:AV239"/>
    <mergeCell ref="AW239:AZ239"/>
    <mergeCell ref="A240:B240"/>
    <mergeCell ref="C240:U240"/>
    <mergeCell ref="V240:X240"/>
    <mergeCell ref="Y240:AB240"/>
    <mergeCell ref="AC240:AF240"/>
    <mergeCell ref="AG240:AJ240"/>
    <mergeCell ref="AK238:AN238"/>
    <mergeCell ref="AO238:AR238"/>
    <mergeCell ref="AS238:AV238"/>
    <mergeCell ref="AW238:AZ238"/>
    <mergeCell ref="A239:B239"/>
    <mergeCell ref="C239:U239"/>
    <mergeCell ref="V239:X239"/>
    <mergeCell ref="Y239:AB239"/>
    <mergeCell ref="AC239:AF239"/>
    <mergeCell ref="AG239:AJ239"/>
    <mergeCell ref="AK237:AN237"/>
    <mergeCell ref="AO237:AR237"/>
    <mergeCell ref="AS237:AV237"/>
    <mergeCell ref="AW237:AZ237"/>
    <mergeCell ref="A238:B238"/>
    <mergeCell ref="C238:U238"/>
    <mergeCell ref="V238:X238"/>
    <mergeCell ref="Y238:AB238"/>
    <mergeCell ref="AC238:AF238"/>
    <mergeCell ref="AG238:AJ238"/>
    <mergeCell ref="AK236:AN236"/>
    <mergeCell ref="AO236:AR236"/>
    <mergeCell ref="AS236:AV236"/>
    <mergeCell ref="AW236:AZ236"/>
    <mergeCell ref="A237:B237"/>
    <mergeCell ref="C237:U237"/>
    <mergeCell ref="V237:X237"/>
    <mergeCell ref="Y237:AB237"/>
    <mergeCell ref="AC237:AF237"/>
    <mergeCell ref="AG237:AJ237"/>
    <mergeCell ref="AK235:AN235"/>
    <mergeCell ref="AO235:AR235"/>
    <mergeCell ref="AS235:AV235"/>
    <mergeCell ref="AW235:AZ235"/>
    <mergeCell ref="A236:B236"/>
    <mergeCell ref="C236:U236"/>
    <mergeCell ref="V236:X236"/>
    <mergeCell ref="Y236:AB236"/>
    <mergeCell ref="AC236:AF236"/>
    <mergeCell ref="AG236:AJ236"/>
    <mergeCell ref="AK234:AN234"/>
    <mergeCell ref="AO234:AR234"/>
    <mergeCell ref="AS234:AV234"/>
    <mergeCell ref="AW234:AZ234"/>
    <mergeCell ref="A235:B235"/>
    <mergeCell ref="C235:U235"/>
    <mergeCell ref="V235:X235"/>
    <mergeCell ref="Y235:AB235"/>
    <mergeCell ref="AC235:AF235"/>
    <mergeCell ref="AG235:AJ235"/>
    <mergeCell ref="AK233:AN233"/>
    <mergeCell ref="AO233:AR233"/>
    <mergeCell ref="AS233:AV233"/>
    <mergeCell ref="AW233:AZ233"/>
    <mergeCell ref="A234:B234"/>
    <mergeCell ref="C234:U234"/>
    <mergeCell ref="V234:X234"/>
    <mergeCell ref="Y234:AB234"/>
    <mergeCell ref="AC234:AF234"/>
    <mergeCell ref="AG234:AJ234"/>
    <mergeCell ref="AK232:AN232"/>
    <mergeCell ref="AO232:AR232"/>
    <mergeCell ref="AS232:AV232"/>
    <mergeCell ref="AW232:AZ232"/>
    <mergeCell ref="A233:B233"/>
    <mergeCell ref="C233:U233"/>
    <mergeCell ref="V233:X233"/>
    <mergeCell ref="Y233:AB233"/>
    <mergeCell ref="AC233:AF233"/>
    <mergeCell ref="AG233:AJ233"/>
    <mergeCell ref="AK231:AN231"/>
    <mergeCell ref="AO231:AR231"/>
    <mergeCell ref="AS231:AV231"/>
    <mergeCell ref="AW231:AZ231"/>
    <mergeCell ref="A232:B232"/>
    <mergeCell ref="C232:U232"/>
    <mergeCell ref="V232:X232"/>
    <mergeCell ref="Y232:AB232"/>
    <mergeCell ref="AC232:AF232"/>
    <mergeCell ref="AG232:AJ232"/>
    <mergeCell ref="AK230:AN230"/>
    <mergeCell ref="AO230:AR230"/>
    <mergeCell ref="AS230:AV230"/>
    <mergeCell ref="AW230:AZ230"/>
    <mergeCell ref="A231:B231"/>
    <mergeCell ref="C231:U231"/>
    <mergeCell ref="V231:X231"/>
    <mergeCell ref="Y231:AB231"/>
    <mergeCell ref="AC231:AF231"/>
    <mergeCell ref="AG231:AJ231"/>
    <mergeCell ref="AK229:AN229"/>
    <mergeCell ref="AO229:AR229"/>
    <mergeCell ref="AS229:AV229"/>
    <mergeCell ref="AW229:AZ229"/>
    <mergeCell ref="A230:B230"/>
    <mergeCell ref="C230:U230"/>
    <mergeCell ref="V230:X230"/>
    <mergeCell ref="Y230:AB230"/>
    <mergeCell ref="AC230:AF230"/>
    <mergeCell ref="AG230:AJ230"/>
    <mergeCell ref="AK228:AN228"/>
    <mergeCell ref="AO228:AR228"/>
    <mergeCell ref="AS228:AV228"/>
    <mergeCell ref="AW228:AZ228"/>
    <mergeCell ref="A229:B229"/>
    <mergeCell ref="C229:U229"/>
    <mergeCell ref="V229:X229"/>
    <mergeCell ref="Y229:AB229"/>
    <mergeCell ref="AC229:AF229"/>
    <mergeCell ref="AG229:AJ229"/>
    <mergeCell ref="AK227:AN227"/>
    <mergeCell ref="AO227:AR227"/>
    <mergeCell ref="AS227:AV227"/>
    <mergeCell ref="AW227:AZ227"/>
    <mergeCell ref="A228:B228"/>
    <mergeCell ref="C228:U228"/>
    <mergeCell ref="V228:X228"/>
    <mergeCell ref="Y228:AB228"/>
    <mergeCell ref="AC228:AF228"/>
    <mergeCell ref="AG228:AJ228"/>
    <mergeCell ref="AK226:AN226"/>
    <mergeCell ref="AO226:AR226"/>
    <mergeCell ref="AS226:AV226"/>
    <mergeCell ref="AW226:AZ226"/>
    <mergeCell ref="A227:B227"/>
    <mergeCell ref="C227:U227"/>
    <mergeCell ref="V227:X227"/>
    <mergeCell ref="Y227:AB227"/>
    <mergeCell ref="AC227:AF227"/>
    <mergeCell ref="AG227:AJ227"/>
    <mergeCell ref="AK225:AN225"/>
    <mergeCell ref="AO225:AR225"/>
    <mergeCell ref="AS225:AV225"/>
    <mergeCell ref="AW225:AZ225"/>
    <mergeCell ref="A226:B226"/>
    <mergeCell ref="C226:U226"/>
    <mergeCell ref="V226:X226"/>
    <mergeCell ref="Y226:AB226"/>
    <mergeCell ref="AC226:AF226"/>
    <mergeCell ref="AG226:AJ226"/>
    <mergeCell ref="AK224:AN224"/>
    <mergeCell ref="AO224:AR224"/>
    <mergeCell ref="AS224:AV224"/>
    <mergeCell ref="AW224:AZ224"/>
    <mergeCell ref="A225:B225"/>
    <mergeCell ref="C225:U225"/>
    <mergeCell ref="V225:X225"/>
    <mergeCell ref="Y225:AB225"/>
    <mergeCell ref="AC225:AF225"/>
    <mergeCell ref="AG225:AJ225"/>
    <mergeCell ref="AK223:AN223"/>
    <mergeCell ref="AO223:AR223"/>
    <mergeCell ref="AS223:AV223"/>
    <mergeCell ref="AW223:AZ223"/>
    <mergeCell ref="A224:B224"/>
    <mergeCell ref="C224:U224"/>
    <mergeCell ref="V224:X224"/>
    <mergeCell ref="Y224:AB224"/>
    <mergeCell ref="AC224:AF224"/>
    <mergeCell ref="AG224:AJ224"/>
    <mergeCell ref="AK222:AN222"/>
    <mergeCell ref="AO222:AR222"/>
    <mergeCell ref="AS222:AV222"/>
    <mergeCell ref="AW222:AZ222"/>
    <mergeCell ref="A223:B223"/>
    <mergeCell ref="C223:U223"/>
    <mergeCell ref="V223:X223"/>
    <mergeCell ref="Y223:AB223"/>
    <mergeCell ref="AC223:AF223"/>
    <mergeCell ref="AG223:AJ223"/>
    <mergeCell ref="AK221:AN221"/>
    <mergeCell ref="AO221:AR221"/>
    <mergeCell ref="AS221:AV221"/>
    <mergeCell ref="AW221:AZ221"/>
    <mergeCell ref="A222:B222"/>
    <mergeCell ref="C222:U222"/>
    <mergeCell ref="V222:X222"/>
    <mergeCell ref="Y222:AB222"/>
    <mergeCell ref="AC222:AF222"/>
    <mergeCell ref="AG222:AJ222"/>
    <mergeCell ref="AK220:AN220"/>
    <mergeCell ref="AO220:AR220"/>
    <mergeCell ref="AS220:AV220"/>
    <mergeCell ref="AW220:AZ220"/>
    <mergeCell ref="A221:B221"/>
    <mergeCell ref="C221:U221"/>
    <mergeCell ref="V221:X221"/>
    <mergeCell ref="Y221:AB221"/>
    <mergeCell ref="AC221:AF221"/>
    <mergeCell ref="AG221:AJ221"/>
    <mergeCell ref="AK219:AN219"/>
    <mergeCell ref="AO219:AR219"/>
    <mergeCell ref="AS219:AV219"/>
    <mergeCell ref="AW219:AZ219"/>
    <mergeCell ref="A220:B220"/>
    <mergeCell ref="C220:U220"/>
    <mergeCell ref="V220:X220"/>
    <mergeCell ref="Y220:AB220"/>
    <mergeCell ref="AC220:AF220"/>
    <mergeCell ref="AG220:AJ220"/>
    <mergeCell ref="AK218:AN218"/>
    <mergeCell ref="AO218:AR218"/>
    <mergeCell ref="AS218:AV218"/>
    <mergeCell ref="AW218:AZ218"/>
    <mergeCell ref="A219:B219"/>
    <mergeCell ref="C219:U219"/>
    <mergeCell ref="V219:X219"/>
    <mergeCell ref="Y219:AB219"/>
    <mergeCell ref="AC219:AF219"/>
    <mergeCell ref="AG219:AJ219"/>
    <mergeCell ref="AK217:AN217"/>
    <mergeCell ref="AO217:AR217"/>
    <mergeCell ref="AS217:AV217"/>
    <mergeCell ref="AW217:AZ217"/>
    <mergeCell ref="A218:B218"/>
    <mergeCell ref="C218:U218"/>
    <mergeCell ref="V218:X218"/>
    <mergeCell ref="Y218:AB218"/>
    <mergeCell ref="AC218:AF218"/>
    <mergeCell ref="AG218:AJ218"/>
    <mergeCell ref="AK216:AN216"/>
    <mergeCell ref="AO216:AR216"/>
    <mergeCell ref="AS216:AV216"/>
    <mergeCell ref="AW216:AZ216"/>
    <mergeCell ref="A217:B217"/>
    <mergeCell ref="C217:U217"/>
    <mergeCell ref="V217:X217"/>
    <mergeCell ref="Y217:AB217"/>
    <mergeCell ref="AC217:AF217"/>
    <mergeCell ref="AG217:AJ217"/>
    <mergeCell ref="AK215:AN215"/>
    <mergeCell ref="AO215:AR215"/>
    <mergeCell ref="AS215:AV215"/>
    <mergeCell ref="AW215:AZ215"/>
    <mergeCell ref="A216:B216"/>
    <mergeCell ref="C216:U216"/>
    <mergeCell ref="V216:X216"/>
    <mergeCell ref="Y216:AB216"/>
    <mergeCell ref="AC216:AF216"/>
    <mergeCell ref="AG216:AJ216"/>
    <mergeCell ref="AK214:AN214"/>
    <mergeCell ref="AO214:AR214"/>
    <mergeCell ref="AS214:AV214"/>
    <mergeCell ref="AW214:AZ214"/>
    <mergeCell ref="A215:B215"/>
    <mergeCell ref="C215:U215"/>
    <mergeCell ref="V215:X215"/>
    <mergeCell ref="Y215:AB215"/>
    <mergeCell ref="AC215:AF215"/>
    <mergeCell ref="AG215:AJ215"/>
    <mergeCell ref="AK213:AN213"/>
    <mergeCell ref="AO213:AR213"/>
    <mergeCell ref="AS213:AV213"/>
    <mergeCell ref="AW213:AZ213"/>
    <mergeCell ref="A214:B214"/>
    <mergeCell ref="C214:U214"/>
    <mergeCell ref="V214:X214"/>
    <mergeCell ref="Y214:AB214"/>
    <mergeCell ref="AC214:AF214"/>
    <mergeCell ref="AG214:AJ214"/>
    <mergeCell ref="AK212:AN212"/>
    <mergeCell ref="AO212:AR212"/>
    <mergeCell ref="AS212:AV212"/>
    <mergeCell ref="AW212:AZ212"/>
    <mergeCell ref="A213:B213"/>
    <mergeCell ref="C213:U213"/>
    <mergeCell ref="V213:X213"/>
    <mergeCell ref="Y213:AB213"/>
    <mergeCell ref="AC213:AF213"/>
    <mergeCell ref="AG213:AJ213"/>
    <mergeCell ref="AK211:AN211"/>
    <mergeCell ref="AO211:AR211"/>
    <mergeCell ref="AS211:AV211"/>
    <mergeCell ref="AW211:AZ211"/>
    <mergeCell ref="A212:B212"/>
    <mergeCell ref="C212:U212"/>
    <mergeCell ref="V212:X212"/>
    <mergeCell ref="Y212:AB212"/>
    <mergeCell ref="AC212:AF212"/>
    <mergeCell ref="AG212:AJ212"/>
    <mergeCell ref="AK210:AN210"/>
    <mergeCell ref="AO210:AR210"/>
    <mergeCell ref="AS210:AV210"/>
    <mergeCell ref="AW210:AZ210"/>
    <mergeCell ref="A211:B211"/>
    <mergeCell ref="C211:U211"/>
    <mergeCell ref="V211:X211"/>
    <mergeCell ref="Y211:AB211"/>
    <mergeCell ref="AC211:AF211"/>
    <mergeCell ref="AG211:AJ211"/>
    <mergeCell ref="AK209:AN209"/>
    <mergeCell ref="AO209:AR209"/>
    <mergeCell ref="AS209:AV209"/>
    <mergeCell ref="AW209:AZ209"/>
    <mergeCell ref="A210:B210"/>
    <mergeCell ref="C210:U210"/>
    <mergeCell ref="V210:X210"/>
    <mergeCell ref="Y210:AB210"/>
    <mergeCell ref="AC210:AF210"/>
    <mergeCell ref="AG210:AJ210"/>
    <mergeCell ref="AK208:AN208"/>
    <mergeCell ref="AO208:AR208"/>
    <mergeCell ref="AS208:AV208"/>
    <mergeCell ref="AW208:AZ208"/>
    <mergeCell ref="A209:B209"/>
    <mergeCell ref="C209:U209"/>
    <mergeCell ref="V209:X209"/>
    <mergeCell ref="Y209:AB209"/>
    <mergeCell ref="AC209:AF209"/>
    <mergeCell ref="AG209:AJ209"/>
    <mergeCell ref="AK207:AN207"/>
    <mergeCell ref="AO207:AR207"/>
    <mergeCell ref="AS207:AV207"/>
    <mergeCell ref="AW207:AZ207"/>
    <mergeCell ref="A208:B208"/>
    <mergeCell ref="C208:U208"/>
    <mergeCell ref="V208:X208"/>
    <mergeCell ref="Y208:AB208"/>
    <mergeCell ref="AC208:AF208"/>
    <mergeCell ref="AG208:AJ208"/>
    <mergeCell ref="AK206:AN206"/>
    <mergeCell ref="AO206:AR206"/>
    <mergeCell ref="AS206:AV206"/>
    <mergeCell ref="AW206:AZ206"/>
    <mergeCell ref="A207:B207"/>
    <mergeCell ref="C207:U207"/>
    <mergeCell ref="V207:X207"/>
    <mergeCell ref="Y207:AB207"/>
    <mergeCell ref="AC207:AF207"/>
    <mergeCell ref="AG207:AJ207"/>
    <mergeCell ref="AK205:AN205"/>
    <mergeCell ref="AO205:AR205"/>
    <mergeCell ref="AS205:AV205"/>
    <mergeCell ref="AW205:AZ205"/>
    <mergeCell ref="A206:B206"/>
    <mergeCell ref="C206:U206"/>
    <mergeCell ref="V206:X206"/>
    <mergeCell ref="Y206:AB206"/>
    <mergeCell ref="AC206:AF206"/>
    <mergeCell ref="AG206:AJ206"/>
    <mergeCell ref="AK204:AN204"/>
    <mergeCell ref="AO204:AR204"/>
    <mergeCell ref="AS204:AV204"/>
    <mergeCell ref="AW204:AZ204"/>
    <mergeCell ref="A205:B205"/>
    <mergeCell ref="C205:U205"/>
    <mergeCell ref="V205:X205"/>
    <mergeCell ref="Y205:AB205"/>
    <mergeCell ref="AC205:AF205"/>
    <mergeCell ref="AG205:AJ205"/>
    <mergeCell ref="AK203:AN203"/>
    <mergeCell ref="AO203:AR203"/>
    <mergeCell ref="AS203:AV203"/>
    <mergeCell ref="AW203:AZ203"/>
    <mergeCell ref="A204:B204"/>
    <mergeCell ref="C204:U204"/>
    <mergeCell ref="V204:X204"/>
    <mergeCell ref="Y204:AB204"/>
    <mergeCell ref="AC204:AF204"/>
    <mergeCell ref="AG204:AJ204"/>
    <mergeCell ref="AK202:AN202"/>
    <mergeCell ref="AO202:AR202"/>
    <mergeCell ref="AS202:AV202"/>
    <mergeCell ref="AW202:AZ202"/>
    <mergeCell ref="A203:B203"/>
    <mergeCell ref="C203:U203"/>
    <mergeCell ref="V203:X203"/>
    <mergeCell ref="Y203:AB203"/>
    <mergeCell ref="AC203:AF203"/>
    <mergeCell ref="AG203:AJ203"/>
    <mergeCell ref="AK201:AN201"/>
    <mergeCell ref="AO201:AR201"/>
    <mergeCell ref="AS201:AV201"/>
    <mergeCell ref="AW201:AZ201"/>
    <mergeCell ref="A202:B202"/>
    <mergeCell ref="C202:U202"/>
    <mergeCell ref="V202:X202"/>
    <mergeCell ref="Y202:AB202"/>
    <mergeCell ref="AC202:AF202"/>
    <mergeCell ref="AG202:AJ202"/>
    <mergeCell ref="AK200:AN200"/>
    <mergeCell ref="AO200:AR200"/>
    <mergeCell ref="AS200:AV200"/>
    <mergeCell ref="AW200:AZ200"/>
    <mergeCell ref="A201:B201"/>
    <mergeCell ref="C201:U201"/>
    <mergeCell ref="V201:X201"/>
    <mergeCell ref="Y201:AB201"/>
    <mergeCell ref="AC201:AF201"/>
    <mergeCell ref="AG201:AJ201"/>
    <mergeCell ref="AK199:AN199"/>
    <mergeCell ref="AO199:AR199"/>
    <mergeCell ref="AS199:AV199"/>
    <mergeCell ref="AW199:AZ199"/>
    <mergeCell ref="A200:B200"/>
    <mergeCell ref="C200:U200"/>
    <mergeCell ref="V200:X200"/>
    <mergeCell ref="Y200:AB200"/>
    <mergeCell ref="AC200:AF200"/>
    <mergeCell ref="AG200:AJ200"/>
    <mergeCell ref="AK198:AN198"/>
    <mergeCell ref="AO198:AR198"/>
    <mergeCell ref="AS198:AV198"/>
    <mergeCell ref="AW198:AZ198"/>
    <mergeCell ref="A199:B199"/>
    <mergeCell ref="C199:U199"/>
    <mergeCell ref="V199:X199"/>
    <mergeCell ref="Y199:AB199"/>
    <mergeCell ref="AC199:AF199"/>
    <mergeCell ref="AG199:AJ199"/>
    <mergeCell ref="AK197:AN197"/>
    <mergeCell ref="AO197:AR197"/>
    <mergeCell ref="AS197:AV197"/>
    <mergeCell ref="AW197:AZ197"/>
    <mergeCell ref="A198:B198"/>
    <mergeCell ref="C198:U198"/>
    <mergeCell ref="V198:X198"/>
    <mergeCell ref="Y198:AB198"/>
    <mergeCell ref="AC198:AF198"/>
    <mergeCell ref="AG198:AJ198"/>
    <mergeCell ref="AK196:AN196"/>
    <mergeCell ref="AO196:AR196"/>
    <mergeCell ref="AS196:AV196"/>
    <mergeCell ref="AW196:AZ196"/>
    <mergeCell ref="A197:B197"/>
    <mergeCell ref="C197:U197"/>
    <mergeCell ref="V197:X197"/>
    <mergeCell ref="Y197:AB197"/>
    <mergeCell ref="AC197:AF197"/>
    <mergeCell ref="AG197:AJ197"/>
    <mergeCell ref="AK195:AN195"/>
    <mergeCell ref="AO195:AR195"/>
    <mergeCell ref="AS195:AV195"/>
    <mergeCell ref="AW195:AZ195"/>
    <mergeCell ref="A196:B196"/>
    <mergeCell ref="C196:U196"/>
    <mergeCell ref="V196:X196"/>
    <mergeCell ref="Y196:AB196"/>
    <mergeCell ref="AC196:AF196"/>
    <mergeCell ref="AG196:AJ196"/>
    <mergeCell ref="AK194:AN194"/>
    <mergeCell ref="AO194:AR194"/>
    <mergeCell ref="AS194:AV194"/>
    <mergeCell ref="AW194:AZ194"/>
    <mergeCell ref="A195:B195"/>
    <mergeCell ref="C195:U195"/>
    <mergeCell ref="V195:X195"/>
    <mergeCell ref="Y195:AB195"/>
    <mergeCell ref="AC195:AF195"/>
    <mergeCell ref="AG195:AJ195"/>
    <mergeCell ref="AK193:AN193"/>
    <mergeCell ref="AO193:AR193"/>
    <mergeCell ref="AS193:AV193"/>
    <mergeCell ref="AW193:AZ193"/>
    <mergeCell ref="A194:B194"/>
    <mergeCell ref="C194:U194"/>
    <mergeCell ref="V194:X194"/>
    <mergeCell ref="Y194:AB194"/>
    <mergeCell ref="AC194:AF194"/>
    <mergeCell ref="AG194:AJ194"/>
    <mergeCell ref="AK192:AN192"/>
    <mergeCell ref="AO192:AR192"/>
    <mergeCell ref="AS192:AV192"/>
    <mergeCell ref="AW192:AZ192"/>
    <mergeCell ref="A193:B193"/>
    <mergeCell ref="C193:U193"/>
    <mergeCell ref="V193:X193"/>
    <mergeCell ref="Y193:AB193"/>
    <mergeCell ref="AC193:AF193"/>
    <mergeCell ref="AG193:AJ193"/>
    <mergeCell ref="AK191:AN191"/>
    <mergeCell ref="AO191:AR191"/>
    <mergeCell ref="AS191:AV191"/>
    <mergeCell ref="AW191:AZ191"/>
    <mergeCell ref="A192:B192"/>
    <mergeCell ref="C192:U192"/>
    <mergeCell ref="V192:X192"/>
    <mergeCell ref="Y192:AB192"/>
    <mergeCell ref="AC192:AF192"/>
    <mergeCell ref="AG192:AJ192"/>
    <mergeCell ref="AK190:AN190"/>
    <mergeCell ref="AO190:AR190"/>
    <mergeCell ref="AS190:AV190"/>
    <mergeCell ref="AW190:AZ190"/>
    <mergeCell ref="A191:B191"/>
    <mergeCell ref="C191:U191"/>
    <mergeCell ref="V191:X191"/>
    <mergeCell ref="Y191:AB191"/>
    <mergeCell ref="AC191:AF191"/>
    <mergeCell ref="AG191:AJ191"/>
    <mergeCell ref="AK189:AN189"/>
    <mergeCell ref="AO189:AR189"/>
    <mergeCell ref="AS189:AV189"/>
    <mergeCell ref="AW189:AZ189"/>
    <mergeCell ref="A190:B190"/>
    <mergeCell ref="C190:U190"/>
    <mergeCell ref="V190:X190"/>
    <mergeCell ref="Y190:AB190"/>
    <mergeCell ref="AC190:AF190"/>
    <mergeCell ref="AG190:AJ190"/>
    <mergeCell ref="AK188:AN188"/>
    <mergeCell ref="AO188:AR188"/>
    <mergeCell ref="AS188:AV188"/>
    <mergeCell ref="AW188:AZ188"/>
    <mergeCell ref="A189:B189"/>
    <mergeCell ref="C189:U189"/>
    <mergeCell ref="V189:X189"/>
    <mergeCell ref="Y189:AB189"/>
    <mergeCell ref="AC189:AF189"/>
    <mergeCell ref="AG189:AJ189"/>
    <mergeCell ref="AK187:AN187"/>
    <mergeCell ref="AO187:AR187"/>
    <mergeCell ref="AS187:AV187"/>
    <mergeCell ref="AW187:AZ187"/>
    <mergeCell ref="A188:B188"/>
    <mergeCell ref="C188:U188"/>
    <mergeCell ref="V188:X188"/>
    <mergeCell ref="Y188:AB188"/>
    <mergeCell ref="AC188:AF188"/>
    <mergeCell ref="AG188:AJ188"/>
    <mergeCell ref="AK186:AN186"/>
    <mergeCell ref="AO186:AR186"/>
    <mergeCell ref="AS186:AV186"/>
    <mergeCell ref="AW186:AZ186"/>
    <mergeCell ref="A187:B187"/>
    <mergeCell ref="C187:U187"/>
    <mergeCell ref="V187:X187"/>
    <mergeCell ref="Y187:AB187"/>
    <mergeCell ref="AC187:AF187"/>
    <mergeCell ref="AG187:AJ187"/>
    <mergeCell ref="AK185:AN185"/>
    <mergeCell ref="AO185:AR185"/>
    <mergeCell ref="AS185:AV185"/>
    <mergeCell ref="AW185:AZ185"/>
    <mergeCell ref="A186:B186"/>
    <mergeCell ref="C186:U186"/>
    <mergeCell ref="V186:X186"/>
    <mergeCell ref="Y186:AB186"/>
    <mergeCell ref="AC186:AF186"/>
    <mergeCell ref="AG186:AJ186"/>
    <mergeCell ref="AK184:AN184"/>
    <mergeCell ref="AO184:AR184"/>
    <mergeCell ref="AS184:AV184"/>
    <mergeCell ref="AW184:AZ184"/>
    <mergeCell ref="A185:B185"/>
    <mergeCell ref="C185:U185"/>
    <mergeCell ref="V185:X185"/>
    <mergeCell ref="Y185:AB185"/>
    <mergeCell ref="AC185:AF185"/>
    <mergeCell ref="AG185:AJ185"/>
    <mergeCell ref="AK183:AN183"/>
    <mergeCell ref="AO183:AR183"/>
    <mergeCell ref="AS183:AV183"/>
    <mergeCell ref="AW183:AZ183"/>
    <mergeCell ref="A184:B184"/>
    <mergeCell ref="C184:U184"/>
    <mergeCell ref="V184:X184"/>
    <mergeCell ref="Y184:AB184"/>
    <mergeCell ref="AC184:AF184"/>
    <mergeCell ref="AG184:AJ184"/>
    <mergeCell ref="AK182:AN182"/>
    <mergeCell ref="AO182:AR182"/>
    <mergeCell ref="AS182:AV182"/>
    <mergeCell ref="AW182:AZ182"/>
    <mergeCell ref="A183:B183"/>
    <mergeCell ref="C183:U183"/>
    <mergeCell ref="V183:X183"/>
    <mergeCell ref="Y183:AB183"/>
    <mergeCell ref="AC183:AF183"/>
    <mergeCell ref="AG183:AJ183"/>
    <mergeCell ref="AK181:AN181"/>
    <mergeCell ref="AO181:AR181"/>
    <mergeCell ref="AS181:AV181"/>
    <mergeCell ref="AW181:AZ181"/>
    <mergeCell ref="A182:B182"/>
    <mergeCell ref="C182:U182"/>
    <mergeCell ref="V182:X182"/>
    <mergeCell ref="Y182:AB182"/>
    <mergeCell ref="AC182:AF182"/>
    <mergeCell ref="AG182:AJ182"/>
    <mergeCell ref="AK180:AN180"/>
    <mergeCell ref="AO180:AR180"/>
    <mergeCell ref="AS180:AV180"/>
    <mergeCell ref="AW180:AZ180"/>
    <mergeCell ref="A181:B181"/>
    <mergeCell ref="C181:U181"/>
    <mergeCell ref="V181:X181"/>
    <mergeCell ref="Y181:AB181"/>
    <mergeCell ref="AC181:AF181"/>
    <mergeCell ref="AG181:AJ181"/>
    <mergeCell ref="AK179:AN179"/>
    <mergeCell ref="AO179:AR179"/>
    <mergeCell ref="AS179:AV179"/>
    <mergeCell ref="AW179:AZ179"/>
    <mergeCell ref="A180:B180"/>
    <mergeCell ref="C180:U180"/>
    <mergeCell ref="V180:X180"/>
    <mergeCell ref="Y180:AB180"/>
    <mergeCell ref="AC180:AF180"/>
    <mergeCell ref="AG180:AJ180"/>
    <mergeCell ref="AK178:AN178"/>
    <mergeCell ref="AO178:AR178"/>
    <mergeCell ref="AS178:AV178"/>
    <mergeCell ref="AW178:AZ178"/>
    <mergeCell ref="A179:B179"/>
    <mergeCell ref="C179:U179"/>
    <mergeCell ref="V179:X179"/>
    <mergeCell ref="Y179:AB179"/>
    <mergeCell ref="AC179:AF179"/>
    <mergeCell ref="AG179:AJ179"/>
    <mergeCell ref="AK177:AN177"/>
    <mergeCell ref="AO177:AR177"/>
    <mergeCell ref="AS177:AV177"/>
    <mergeCell ref="AW177:AZ177"/>
    <mergeCell ref="A178:B178"/>
    <mergeCell ref="C178:U178"/>
    <mergeCell ref="V178:X178"/>
    <mergeCell ref="Y178:AB178"/>
    <mergeCell ref="AC178:AF178"/>
    <mergeCell ref="AG178:AJ178"/>
    <mergeCell ref="AK176:AN176"/>
    <mergeCell ref="AO176:AR176"/>
    <mergeCell ref="AS176:AV176"/>
    <mergeCell ref="AW176:AZ176"/>
    <mergeCell ref="A177:B177"/>
    <mergeCell ref="C177:U177"/>
    <mergeCell ref="V177:X177"/>
    <mergeCell ref="Y177:AB177"/>
    <mergeCell ref="AC177:AF177"/>
    <mergeCell ref="AG177:AJ177"/>
    <mergeCell ref="AK175:AN175"/>
    <mergeCell ref="AO175:AR175"/>
    <mergeCell ref="AS175:AV175"/>
    <mergeCell ref="AW175:AZ175"/>
    <mergeCell ref="A176:B176"/>
    <mergeCell ref="C176:U176"/>
    <mergeCell ref="V176:X176"/>
    <mergeCell ref="Y176:AB176"/>
    <mergeCell ref="AC176:AF176"/>
    <mergeCell ref="AG176:AJ176"/>
    <mergeCell ref="AK174:AN174"/>
    <mergeCell ref="AO174:AR174"/>
    <mergeCell ref="AS174:AV174"/>
    <mergeCell ref="AW174:AZ174"/>
    <mergeCell ref="A175:B175"/>
    <mergeCell ref="C175:U175"/>
    <mergeCell ref="V175:X175"/>
    <mergeCell ref="Y175:AB175"/>
    <mergeCell ref="AC175:AF175"/>
    <mergeCell ref="AG175:AJ175"/>
    <mergeCell ref="AK173:AN173"/>
    <mergeCell ref="AO173:AR173"/>
    <mergeCell ref="AS173:AV173"/>
    <mergeCell ref="AW173:AZ173"/>
    <mergeCell ref="A174:B174"/>
    <mergeCell ref="C174:U174"/>
    <mergeCell ref="V174:X174"/>
    <mergeCell ref="Y174:AB174"/>
    <mergeCell ref="AC174:AF174"/>
    <mergeCell ref="AG174:AJ174"/>
    <mergeCell ref="AK172:AN172"/>
    <mergeCell ref="AO172:AR172"/>
    <mergeCell ref="AS172:AV172"/>
    <mergeCell ref="AW172:AZ172"/>
    <mergeCell ref="A173:B173"/>
    <mergeCell ref="C173:U173"/>
    <mergeCell ref="V173:X173"/>
    <mergeCell ref="Y173:AB173"/>
    <mergeCell ref="AC173:AF173"/>
    <mergeCell ref="AG173:AJ173"/>
    <mergeCell ref="AK171:AN171"/>
    <mergeCell ref="AO171:AR171"/>
    <mergeCell ref="AS171:AV171"/>
    <mergeCell ref="AW171:AZ171"/>
    <mergeCell ref="A172:B172"/>
    <mergeCell ref="C172:U172"/>
    <mergeCell ref="V172:X172"/>
    <mergeCell ref="Y172:AB172"/>
    <mergeCell ref="AC172:AF172"/>
    <mergeCell ref="AG172:AJ172"/>
    <mergeCell ref="AK170:AN170"/>
    <mergeCell ref="AO170:AR170"/>
    <mergeCell ref="AS170:AV170"/>
    <mergeCell ref="AW170:AZ170"/>
    <mergeCell ref="A171:B171"/>
    <mergeCell ref="C171:U171"/>
    <mergeCell ref="V171:X171"/>
    <mergeCell ref="Y171:AB171"/>
    <mergeCell ref="AC171:AF171"/>
    <mergeCell ref="AG171:AJ171"/>
    <mergeCell ref="AK169:AN169"/>
    <mergeCell ref="AO169:AR169"/>
    <mergeCell ref="AS169:AV169"/>
    <mergeCell ref="AW169:AZ169"/>
    <mergeCell ref="A170:B170"/>
    <mergeCell ref="C170:U170"/>
    <mergeCell ref="V170:X170"/>
    <mergeCell ref="Y170:AB170"/>
    <mergeCell ref="AC170:AF170"/>
    <mergeCell ref="AG170:AJ170"/>
    <mergeCell ref="AK168:AN168"/>
    <mergeCell ref="AO168:AR168"/>
    <mergeCell ref="AS168:AV168"/>
    <mergeCell ref="AW168:AZ168"/>
    <mergeCell ref="A169:B169"/>
    <mergeCell ref="C169:U169"/>
    <mergeCell ref="V169:X169"/>
    <mergeCell ref="Y169:AB169"/>
    <mergeCell ref="AC169:AF169"/>
    <mergeCell ref="AG169:AJ169"/>
    <mergeCell ref="AK167:AN167"/>
    <mergeCell ref="AO167:AR167"/>
    <mergeCell ref="AS167:AV167"/>
    <mergeCell ref="AW167:AZ167"/>
    <mergeCell ref="A168:B168"/>
    <mergeCell ref="C168:U168"/>
    <mergeCell ref="V168:X168"/>
    <mergeCell ref="Y168:AB168"/>
    <mergeCell ref="AC168:AF168"/>
    <mergeCell ref="AG168:AJ168"/>
    <mergeCell ref="AK166:AN166"/>
    <mergeCell ref="AO166:AR166"/>
    <mergeCell ref="AS166:AV166"/>
    <mergeCell ref="AW166:AZ166"/>
    <mergeCell ref="A167:B167"/>
    <mergeCell ref="C167:U167"/>
    <mergeCell ref="V167:X167"/>
    <mergeCell ref="Y167:AB167"/>
    <mergeCell ref="AC167:AF167"/>
    <mergeCell ref="AG167:AJ167"/>
    <mergeCell ref="AK165:AN165"/>
    <mergeCell ref="AO165:AR165"/>
    <mergeCell ref="AS165:AV165"/>
    <mergeCell ref="AW165:AZ165"/>
    <mergeCell ref="A166:B166"/>
    <mergeCell ref="C166:U166"/>
    <mergeCell ref="V166:X166"/>
    <mergeCell ref="Y166:AB166"/>
    <mergeCell ref="AC166:AF166"/>
    <mergeCell ref="AG166:AJ166"/>
    <mergeCell ref="AK164:AN164"/>
    <mergeCell ref="AO164:AR164"/>
    <mergeCell ref="AS164:AV164"/>
    <mergeCell ref="AW164:AZ164"/>
    <mergeCell ref="A165:B165"/>
    <mergeCell ref="C165:U165"/>
    <mergeCell ref="V165:X165"/>
    <mergeCell ref="Y165:AB165"/>
    <mergeCell ref="AC165:AF165"/>
    <mergeCell ref="AG165:AJ165"/>
    <mergeCell ref="AK163:AN163"/>
    <mergeCell ref="AO163:AR163"/>
    <mergeCell ref="AS163:AV163"/>
    <mergeCell ref="AW163:AZ163"/>
    <mergeCell ref="A164:B164"/>
    <mergeCell ref="C164:U164"/>
    <mergeCell ref="V164:X164"/>
    <mergeCell ref="Y164:AB164"/>
    <mergeCell ref="AC164:AF164"/>
    <mergeCell ref="AG164:AJ164"/>
    <mergeCell ref="AK162:AN162"/>
    <mergeCell ref="AO162:AR162"/>
    <mergeCell ref="AS162:AV162"/>
    <mergeCell ref="AW162:AZ162"/>
    <mergeCell ref="A163:B163"/>
    <mergeCell ref="C163:U163"/>
    <mergeCell ref="V163:X163"/>
    <mergeCell ref="Y163:AB163"/>
    <mergeCell ref="AC163:AF163"/>
    <mergeCell ref="AG163:AJ163"/>
    <mergeCell ref="AK161:AN161"/>
    <mergeCell ref="AO161:AR161"/>
    <mergeCell ref="AS161:AV161"/>
    <mergeCell ref="AW161:AZ161"/>
    <mergeCell ref="A162:B162"/>
    <mergeCell ref="C162:U162"/>
    <mergeCell ref="V162:X162"/>
    <mergeCell ref="Y162:AB162"/>
    <mergeCell ref="AC162:AF162"/>
    <mergeCell ref="AG162:AJ162"/>
    <mergeCell ref="AK160:AN160"/>
    <mergeCell ref="AO160:AR160"/>
    <mergeCell ref="AS160:AV160"/>
    <mergeCell ref="AW160:AZ160"/>
    <mergeCell ref="A161:B161"/>
    <mergeCell ref="C161:U161"/>
    <mergeCell ref="V161:X161"/>
    <mergeCell ref="Y161:AB161"/>
    <mergeCell ref="AC161:AF161"/>
    <mergeCell ref="AG161:AJ161"/>
    <mergeCell ref="AK159:AN159"/>
    <mergeCell ref="AO159:AR159"/>
    <mergeCell ref="AS159:AV159"/>
    <mergeCell ref="AW159:AZ159"/>
    <mergeCell ref="A160:B160"/>
    <mergeCell ref="C160:U160"/>
    <mergeCell ref="V160:X160"/>
    <mergeCell ref="Y160:AB160"/>
    <mergeCell ref="AC160:AF160"/>
    <mergeCell ref="AG160:AJ160"/>
    <mergeCell ref="AK158:AN158"/>
    <mergeCell ref="AO158:AR158"/>
    <mergeCell ref="AS158:AV158"/>
    <mergeCell ref="AW158:AZ158"/>
    <mergeCell ref="A159:B159"/>
    <mergeCell ref="C159:U159"/>
    <mergeCell ref="V159:X159"/>
    <mergeCell ref="Y159:AB159"/>
    <mergeCell ref="AC159:AF159"/>
    <mergeCell ref="AG159:AJ159"/>
    <mergeCell ref="AK157:AN157"/>
    <mergeCell ref="AO157:AR157"/>
    <mergeCell ref="AS157:AV157"/>
    <mergeCell ref="AW157:AZ157"/>
    <mergeCell ref="A158:B158"/>
    <mergeCell ref="C158:U158"/>
    <mergeCell ref="V158:X158"/>
    <mergeCell ref="Y158:AB158"/>
    <mergeCell ref="AC158:AF158"/>
    <mergeCell ref="AG158:AJ158"/>
    <mergeCell ref="AK156:AN156"/>
    <mergeCell ref="AO156:AR156"/>
    <mergeCell ref="AS156:AV156"/>
    <mergeCell ref="AW156:AZ156"/>
    <mergeCell ref="A157:B157"/>
    <mergeCell ref="C157:U157"/>
    <mergeCell ref="V157:X157"/>
    <mergeCell ref="Y157:AB157"/>
    <mergeCell ref="AC157:AF157"/>
    <mergeCell ref="AG157:AJ157"/>
    <mergeCell ref="AK155:AN155"/>
    <mergeCell ref="AO155:AR155"/>
    <mergeCell ref="AS155:AV155"/>
    <mergeCell ref="AW155:AZ155"/>
    <mergeCell ref="A156:B156"/>
    <mergeCell ref="C156:U156"/>
    <mergeCell ref="V156:X156"/>
    <mergeCell ref="Y156:AB156"/>
    <mergeCell ref="AC156:AF156"/>
    <mergeCell ref="AG156:AJ156"/>
    <mergeCell ref="AK154:AN154"/>
    <mergeCell ref="AO154:AR154"/>
    <mergeCell ref="AS154:AV154"/>
    <mergeCell ref="AW154:AZ154"/>
    <mergeCell ref="A155:B155"/>
    <mergeCell ref="C155:U155"/>
    <mergeCell ref="V155:X155"/>
    <mergeCell ref="Y155:AB155"/>
    <mergeCell ref="AC155:AF155"/>
    <mergeCell ref="AG155:AJ155"/>
    <mergeCell ref="AK153:AN153"/>
    <mergeCell ref="AO153:AR153"/>
    <mergeCell ref="AS153:AV153"/>
    <mergeCell ref="AW153:AZ153"/>
    <mergeCell ref="A154:B154"/>
    <mergeCell ref="C154:U154"/>
    <mergeCell ref="V154:X154"/>
    <mergeCell ref="Y154:AB154"/>
    <mergeCell ref="AC154:AF154"/>
    <mergeCell ref="AG154:AJ154"/>
    <mergeCell ref="AK152:AN152"/>
    <mergeCell ref="AO152:AR152"/>
    <mergeCell ref="AS152:AV152"/>
    <mergeCell ref="AW152:AZ152"/>
    <mergeCell ref="A153:B153"/>
    <mergeCell ref="C153:U153"/>
    <mergeCell ref="V153:X153"/>
    <mergeCell ref="Y153:AB153"/>
    <mergeCell ref="AC153:AF153"/>
    <mergeCell ref="AG153:AJ153"/>
    <mergeCell ref="AK151:AN151"/>
    <mergeCell ref="AO151:AR151"/>
    <mergeCell ref="AS151:AV151"/>
    <mergeCell ref="AW151:AZ151"/>
    <mergeCell ref="A152:B152"/>
    <mergeCell ref="C152:U152"/>
    <mergeCell ref="V152:X152"/>
    <mergeCell ref="Y152:AB152"/>
    <mergeCell ref="AC152:AF152"/>
    <mergeCell ref="AG152:AJ152"/>
    <mergeCell ref="AK150:AN150"/>
    <mergeCell ref="AO150:AR150"/>
    <mergeCell ref="AS150:AV150"/>
    <mergeCell ref="AW150:AZ150"/>
    <mergeCell ref="A151:B151"/>
    <mergeCell ref="C151:U151"/>
    <mergeCell ref="V151:X151"/>
    <mergeCell ref="Y151:AB151"/>
    <mergeCell ref="AC151:AF151"/>
    <mergeCell ref="AG151:AJ151"/>
    <mergeCell ref="AK149:AN149"/>
    <mergeCell ref="AO149:AR149"/>
    <mergeCell ref="AS149:AV149"/>
    <mergeCell ref="AW149:AZ149"/>
    <mergeCell ref="A150:B150"/>
    <mergeCell ref="C150:U150"/>
    <mergeCell ref="V150:X150"/>
    <mergeCell ref="Y150:AB150"/>
    <mergeCell ref="AC150:AF150"/>
    <mergeCell ref="AG150:AJ150"/>
    <mergeCell ref="AK148:AN148"/>
    <mergeCell ref="AO148:AR148"/>
    <mergeCell ref="AS148:AV148"/>
    <mergeCell ref="AW148:AZ148"/>
    <mergeCell ref="A149:B149"/>
    <mergeCell ref="C149:U149"/>
    <mergeCell ref="V149:X149"/>
    <mergeCell ref="Y149:AB149"/>
    <mergeCell ref="AC149:AF149"/>
    <mergeCell ref="AG149:AJ149"/>
    <mergeCell ref="AK147:AN147"/>
    <mergeCell ref="AO147:AR147"/>
    <mergeCell ref="AS147:AV147"/>
    <mergeCell ref="AW147:AZ147"/>
    <mergeCell ref="A148:B148"/>
    <mergeCell ref="C148:U148"/>
    <mergeCell ref="V148:X148"/>
    <mergeCell ref="Y148:AB148"/>
    <mergeCell ref="AC148:AF148"/>
    <mergeCell ref="AG148:AJ148"/>
    <mergeCell ref="AK146:AN146"/>
    <mergeCell ref="AO146:AR146"/>
    <mergeCell ref="AS146:AV146"/>
    <mergeCell ref="AW146:AZ146"/>
    <mergeCell ref="A147:B147"/>
    <mergeCell ref="C147:U147"/>
    <mergeCell ref="V147:X147"/>
    <mergeCell ref="Y147:AB147"/>
    <mergeCell ref="AC147:AF147"/>
    <mergeCell ref="AG147:AJ147"/>
    <mergeCell ref="AK145:AN145"/>
    <mergeCell ref="AO145:AR145"/>
    <mergeCell ref="AS145:AV145"/>
    <mergeCell ref="AW145:AZ145"/>
    <mergeCell ref="A146:B146"/>
    <mergeCell ref="C146:U146"/>
    <mergeCell ref="V146:X146"/>
    <mergeCell ref="Y146:AB146"/>
    <mergeCell ref="AC146:AF146"/>
    <mergeCell ref="AG146:AJ146"/>
    <mergeCell ref="AK144:AN144"/>
    <mergeCell ref="AO144:AR144"/>
    <mergeCell ref="AS144:AV144"/>
    <mergeCell ref="AW144:AZ144"/>
    <mergeCell ref="A145:B145"/>
    <mergeCell ref="C145:U145"/>
    <mergeCell ref="V145:X145"/>
    <mergeCell ref="Y145:AB145"/>
    <mergeCell ref="AC145:AF145"/>
    <mergeCell ref="AG145:AJ145"/>
    <mergeCell ref="AK143:AN143"/>
    <mergeCell ref="AO143:AR143"/>
    <mergeCell ref="AS143:AV143"/>
    <mergeCell ref="AW143:AZ143"/>
    <mergeCell ref="A144:B144"/>
    <mergeCell ref="C144:U144"/>
    <mergeCell ref="V144:X144"/>
    <mergeCell ref="Y144:AB144"/>
    <mergeCell ref="AC144:AF144"/>
    <mergeCell ref="AG144:AJ144"/>
    <mergeCell ref="AK142:AN142"/>
    <mergeCell ref="AO142:AR142"/>
    <mergeCell ref="AS142:AV142"/>
    <mergeCell ref="AW142:AZ142"/>
    <mergeCell ref="A143:B143"/>
    <mergeCell ref="C143:U143"/>
    <mergeCell ref="V143:X143"/>
    <mergeCell ref="Y143:AB143"/>
    <mergeCell ref="AC143:AF143"/>
    <mergeCell ref="AG143:AJ143"/>
    <mergeCell ref="AK141:AN141"/>
    <mergeCell ref="AO141:AR141"/>
    <mergeCell ref="AS141:AV141"/>
    <mergeCell ref="AW141:AZ141"/>
    <mergeCell ref="A142:B142"/>
    <mergeCell ref="C142:U142"/>
    <mergeCell ref="V142:X142"/>
    <mergeCell ref="Y142:AB142"/>
    <mergeCell ref="AC142:AF142"/>
    <mergeCell ref="AG142:AJ142"/>
    <mergeCell ref="AK140:AN140"/>
    <mergeCell ref="AO140:AR140"/>
    <mergeCell ref="AS140:AV140"/>
    <mergeCell ref="AW140:AZ140"/>
    <mergeCell ref="A141:B141"/>
    <mergeCell ref="C141:U141"/>
    <mergeCell ref="V141:X141"/>
    <mergeCell ref="Y141:AB141"/>
    <mergeCell ref="AC141:AF141"/>
    <mergeCell ref="AG141:AJ141"/>
    <mergeCell ref="AK139:AN139"/>
    <mergeCell ref="AO139:AR139"/>
    <mergeCell ref="AS139:AV139"/>
    <mergeCell ref="AW139:AZ139"/>
    <mergeCell ref="A140:B140"/>
    <mergeCell ref="C140:U140"/>
    <mergeCell ref="V140:X140"/>
    <mergeCell ref="Y140:AB140"/>
    <mergeCell ref="AC140:AF140"/>
    <mergeCell ref="AG140:AJ140"/>
    <mergeCell ref="AK138:AN138"/>
    <mergeCell ref="AO138:AR138"/>
    <mergeCell ref="AS138:AV138"/>
    <mergeCell ref="AW138:AZ138"/>
    <mergeCell ref="A139:B139"/>
    <mergeCell ref="C139:U139"/>
    <mergeCell ref="V139:X139"/>
    <mergeCell ref="Y139:AB139"/>
    <mergeCell ref="AC139:AF139"/>
    <mergeCell ref="AG139:AJ139"/>
    <mergeCell ref="AK137:AN137"/>
    <mergeCell ref="AO137:AR137"/>
    <mergeCell ref="AS137:AV137"/>
    <mergeCell ref="AW137:AZ137"/>
    <mergeCell ref="A138:B138"/>
    <mergeCell ref="C138:U138"/>
    <mergeCell ref="V138:X138"/>
    <mergeCell ref="Y138:AB138"/>
    <mergeCell ref="AC138:AF138"/>
    <mergeCell ref="AG138:AJ138"/>
    <mergeCell ref="AK136:AN136"/>
    <mergeCell ref="AO136:AR136"/>
    <mergeCell ref="AS136:AV136"/>
    <mergeCell ref="AW136:AZ136"/>
    <mergeCell ref="A137:B137"/>
    <mergeCell ref="C137:U137"/>
    <mergeCell ref="V137:X137"/>
    <mergeCell ref="Y137:AB137"/>
    <mergeCell ref="AC137:AF137"/>
    <mergeCell ref="AG137:AJ137"/>
    <mergeCell ref="AK135:AN135"/>
    <mergeCell ref="AO135:AR135"/>
    <mergeCell ref="AS135:AV135"/>
    <mergeCell ref="AW135:AZ135"/>
    <mergeCell ref="A136:B136"/>
    <mergeCell ref="C136:U136"/>
    <mergeCell ref="V136:X136"/>
    <mergeCell ref="Y136:AB136"/>
    <mergeCell ref="AC136:AF136"/>
    <mergeCell ref="AG136:AJ136"/>
    <mergeCell ref="AK134:AN134"/>
    <mergeCell ref="AO134:AR134"/>
    <mergeCell ref="AS134:AV134"/>
    <mergeCell ref="AW134:AZ134"/>
    <mergeCell ref="A135:B135"/>
    <mergeCell ref="C135:U135"/>
    <mergeCell ref="V135:X135"/>
    <mergeCell ref="Y135:AB135"/>
    <mergeCell ref="AC135:AF135"/>
    <mergeCell ref="AG135:AJ135"/>
    <mergeCell ref="AK133:AN133"/>
    <mergeCell ref="AO133:AR133"/>
    <mergeCell ref="AS133:AV133"/>
    <mergeCell ref="AW133:AZ133"/>
    <mergeCell ref="A134:B134"/>
    <mergeCell ref="C134:U134"/>
    <mergeCell ref="V134:X134"/>
    <mergeCell ref="Y134:AB134"/>
    <mergeCell ref="AC134:AF134"/>
    <mergeCell ref="AG134:AJ134"/>
    <mergeCell ref="AK132:AN132"/>
    <mergeCell ref="AO132:AR132"/>
    <mergeCell ref="AS132:AV132"/>
    <mergeCell ref="AW132:AZ132"/>
    <mergeCell ref="A133:B133"/>
    <mergeCell ref="C133:U133"/>
    <mergeCell ref="V133:X133"/>
    <mergeCell ref="Y133:AB133"/>
    <mergeCell ref="AC133:AF133"/>
    <mergeCell ref="AG133:AJ133"/>
    <mergeCell ref="AK131:AN131"/>
    <mergeCell ref="AO131:AR131"/>
    <mergeCell ref="AS131:AV131"/>
    <mergeCell ref="AW131:AZ131"/>
    <mergeCell ref="A132:B132"/>
    <mergeCell ref="C132:U132"/>
    <mergeCell ref="V132:X132"/>
    <mergeCell ref="Y132:AB132"/>
    <mergeCell ref="AC132:AF132"/>
    <mergeCell ref="AG132:AJ132"/>
    <mergeCell ref="AK130:AN130"/>
    <mergeCell ref="AO130:AR130"/>
    <mergeCell ref="AS130:AV130"/>
    <mergeCell ref="AW130:AZ130"/>
    <mergeCell ref="A131:B131"/>
    <mergeCell ref="C131:U131"/>
    <mergeCell ref="V131:X131"/>
    <mergeCell ref="Y131:AB131"/>
    <mergeCell ref="AC131:AF131"/>
    <mergeCell ref="AG131:AJ131"/>
    <mergeCell ref="AK129:AN129"/>
    <mergeCell ref="AO129:AR129"/>
    <mergeCell ref="AS129:AV129"/>
    <mergeCell ref="AW129:AZ129"/>
    <mergeCell ref="A130:B130"/>
    <mergeCell ref="C130:U130"/>
    <mergeCell ref="V130:X130"/>
    <mergeCell ref="Y130:AB130"/>
    <mergeCell ref="AC130:AF130"/>
    <mergeCell ref="AG130:AJ130"/>
    <mergeCell ref="AK128:AN128"/>
    <mergeCell ref="AO128:AR128"/>
    <mergeCell ref="AS128:AV128"/>
    <mergeCell ref="AW128:AZ128"/>
    <mergeCell ref="A129:B129"/>
    <mergeCell ref="C129:U129"/>
    <mergeCell ref="V129:X129"/>
    <mergeCell ref="Y129:AB129"/>
    <mergeCell ref="AC129:AF129"/>
    <mergeCell ref="AG129:AJ129"/>
    <mergeCell ref="AK127:AN127"/>
    <mergeCell ref="AO127:AR127"/>
    <mergeCell ref="AS127:AV127"/>
    <mergeCell ref="AW127:AZ127"/>
    <mergeCell ref="A128:B128"/>
    <mergeCell ref="C128:U128"/>
    <mergeCell ref="V128:X128"/>
    <mergeCell ref="Y128:AB128"/>
    <mergeCell ref="AC128:AF128"/>
    <mergeCell ref="AG128:AJ128"/>
    <mergeCell ref="AK126:AN126"/>
    <mergeCell ref="AO126:AR126"/>
    <mergeCell ref="AS126:AV126"/>
    <mergeCell ref="AW126:AZ126"/>
    <mergeCell ref="A127:B127"/>
    <mergeCell ref="C127:U127"/>
    <mergeCell ref="V127:X127"/>
    <mergeCell ref="Y127:AB127"/>
    <mergeCell ref="AC127:AF127"/>
    <mergeCell ref="AG127:AJ127"/>
    <mergeCell ref="AK125:AN125"/>
    <mergeCell ref="AO125:AR125"/>
    <mergeCell ref="AS125:AV125"/>
    <mergeCell ref="AW125:AZ125"/>
    <mergeCell ref="A126:B126"/>
    <mergeCell ref="C126:U126"/>
    <mergeCell ref="V126:X126"/>
    <mergeCell ref="Y126:AB126"/>
    <mergeCell ref="AC126:AF126"/>
    <mergeCell ref="AG126:AJ126"/>
    <mergeCell ref="AK124:AN124"/>
    <mergeCell ref="AO124:AR124"/>
    <mergeCell ref="AS124:AV124"/>
    <mergeCell ref="AW124:AZ124"/>
    <mergeCell ref="A125:B125"/>
    <mergeCell ref="C125:U125"/>
    <mergeCell ref="V125:X125"/>
    <mergeCell ref="Y125:AB125"/>
    <mergeCell ref="AC125:AF125"/>
    <mergeCell ref="AG125:AJ125"/>
    <mergeCell ref="AK123:AN123"/>
    <mergeCell ref="AO123:AR123"/>
    <mergeCell ref="AS123:AV123"/>
    <mergeCell ref="AW123:AZ123"/>
    <mergeCell ref="A124:B124"/>
    <mergeCell ref="C124:U124"/>
    <mergeCell ref="V124:X124"/>
    <mergeCell ref="Y124:AB124"/>
    <mergeCell ref="AC124:AF124"/>
    <mergeCell ref="AG124:AJ124"/>
    <mergeCell ref="AK122:AN122"/>
    <mergeCell ref="AO122:AR122"/>
    <mergeCell ref="AS122:AV122"/>
    <mergeCell ref="AW122:AZ122"/>
    <mergeCell ref="A123:B123"/>
    <mergeCell ref="C123:U123"/>
    <mergeCell ref="V123:X123"/>
    <mergeCell ref="Y123:AB123"/>
    <mergeCell ref="AC123:AF123"/>
    <mergeCell ref="AG123:AJ123"/>
    <mergeCell ref="AK121:AN121"/>
    <mergeCell ref="AO121:AR121"/>
    <mergeCell ref="AS121:AV121"/>
    <mergeCell ref="AW121:AZ121"/>
    <mergeCell ref="A122:B122"/>
    <mergeCell ref="C122:U122"/>
    <mergeCell ref="V122:X122"/>
    <mergeCell ref="Y122:AB122"/>
    <mergeCell ref="AC122:AF122"/>
    <mergeCell ref="AG122:AJ122"/>
    <mergeCell ref="AK120:AN120"/>
    <mergeCell ref="AO120:AR120"/>
    <mergeCell ref="AS120:AV120"/>
    <mergeCell ref="AW120:AZ120"/>
    <mergeCell ref="A121:B121"/>
    <mergeCell ref="C121:U121"/>
    <mergeCell ref="V121:X121"/>
    <mergeCell ref="Y121:AB121"/>
    <mergeCell ref="AC121:AF121"/>
    <mergeCell ref="AG121:AJ121"/>
    <mergeCell ref="AK119:AN119"/>
    <mergeCell ref="AO119:AR119"/>
    <mergeCell ref="AS119:AV119"/>
    <mergeCell ref="AW119:AZ119"/>
    <mergeCell ref="A120:B120"/>
    <mergeCell ref="C120:U120"/>
    <mergeCell ref="V120:X120"/>
    <mergeCell ref="Y120:AB120"/>
    <mergeCell ref="AC120:AF120"/>
    <mergeCell ref="AG120:AJ120"/>
    <mergeCell ref="AK118:AN118"/>
    <mergeCell ref="AO118:AR118"/>
    <mergeCell ref="AS118:AV118"/>
    <mergeCell ref="AW118:AZ118"/>
    <mergeCell ref="A119:B119"/>
    <mergeCell ref="C119:U119"/>
    <mergeCell ref="V119:X119"/>
    <mergeCell ref="Y119:AB119"/>
    <mergeCell ref="AC119:AF119"/>
    <mergeCell ref="AG119:AJ119"/>
    <mergeCell ref="AK117:AN117"/>
    <mergeCell ref="AO117:AR117"/>
    <mergeCell ref="AS117:AV117"/>
    <mergeCell ref="AW117:AZ117"/>
    <mergeCell ref="A118:B118"/>
    <mergeCell ref="C118:U118"/>
    <mergeCell ref="V118:X118"/>
    <mergeCell ref="Y118:AB118"/>
    <mergeCell ref="AC118:AF118"/>
    <mergeCell ref="AG118:AJ118"/>
    <mergeCell ref="AK116:AN116"/>
    <mergeCell ref="AO116:AR116"/>
    <mergeCell ref="AS116:AV116"/>
    <mergeCell ref="AW116:AZ116"/>
    <mergeCell ref="A117:B117"/>
    <mergeCell ref="C117:U117"/>
    <mergeCell ref="V117:X117"/>
    <mergeCell ref="Y117:AB117"/>
    <mergeCell ref="AC117:AF117"/>
    <mergeCell ref="AG117:AJ117"/>
    <mergeCell ref="AK115:AN115"/>
    <mergeCell ref="AO115:AR115"/>
    <mergeCell ref="AS115:AV115"/>
    <mergeCell ref="AW115:AZ115"/>
    <mergeCell ref="A116:B116"/>
    <mergeCell ref="C116:U116"/>
    <mergeCell ref="V116:X116"/>
    <mergeCell ref="Y116:AB116"/>
    <mergeCell ref="AC116:AF116"/>
    <mergeCell ref="AG116:AJ116"/>
    <mergeCell ref="AK114:AN114"/>
    <mergeCell ref="AO114:AR114"/>
    <mergeCell ref="AS114:AV114"/>
    <mergeCell ref="AW114:AZ114"/>
    <mergeCell ref="A115:B115"/>
    <mergeCell ref="C115:U115"/>
    <mergeCell ref="V115:X115"/>
    <mergeCell ref="Y115:AB115"/>
    <mergeCell ref="AC115:AF115"/>
    <mergeCell ref="AG115:AJ115"/>
    <mergeCell ref="AK113:AN113"/>
    <mergeCell ref="AO113:AR113"/>
    <mergeCell ref="AS113:AV113"/>
    <mergeCell ref="AW113:AZ113"/>
    <mergeCell ref="A114:B114"/>
    <mergeCell ref="C114:U114"/>
    <mergeCell ref="V114:X114"/>
    <mergeCell ref="Y114:AB114"/>
    <mergeCell ref="AC114:AF114"/>
    <mergeCell ref="AG114:AJ114"/>
    <mergeCell ref="AK112:AN112"/>
    <mergeCell ref="AO112:AR112"/>
    <mergeCell ref="AS112:AV112"/>
    <mergeCell ref="AW112:AZ112"/>
    <mergeCell ref="A113:B113"/>
    <mergeCell ref="C113:U113"/>
    <mergeCell ref="V113:X113"/>
    <mergeCell ref="Y113:AB113"/>
    <mergeCell ref="AC113:AF113"/>
    <mergeCell ref="AG113:AJ113"/>
    <mergeCell ref="AK111:AN111"/>
    <mergeCell ref="AO111:AR111"/>
    <mergeCell ref="AS111:AV111"/>
    <mergeCell ref="AW111:AZ111"/>
    <mergeCell ref="A112:B112"/>
    <mergeCell ref="C112:U112"/>
    <mergeCell ref="V112:X112"/>
    <mergeCell ref="Y112:AB112"/>
    <mergeCell ref="AC112:AF112"/>
    <mergeCell ref="AG112:AJ112"/>
    <mergeCell ref="AK110:AN110"/>
    <mergeCell ref="AO110:AR110"/>
    <mergeCell ref="AS110:AV110"/>
    <mergeCell ref="AW110:AZ110"/>
    <mergeCell ref="A111:B111"/>
    <mergeCell ref="C111:U111"/>
    <mergeCell ref="V111:X111"/>
    <mergeCell ref="Y111:AB111"/>
    <mergeCell ref="AC111:AF111"/>
    <mergeCell ref="AG111:AJ111"/>
    <mergeCell ref="AK109:AN109"/>
    <mergeCell ref="AO109:AR109"/>
    <mergeCell ref="AS109:AV109"/>
    <mergeCell ref="AW109:AZ109"/>
    <mergeCell ref="A110:B110"/>
    <mergeCell ref="C110:U110"/>
    <mergeCell ref="V110:X110"/>
    <mergeCell ref="Y110:AB110"/>
    <mergeCell ref="AC110:AF110"/>
    <mergeCell ref="AG110:AJ110"/>
    <mergeCell ref="AK108:AN108"/>
    <mergeCell ref="AO108:AR108"/>
    <mergeCell ref="AS108:AV108"/>
    <mergeCell ref="AW108:AZ108"/>
    <mergeCell ref="A109:B109"/>
    <mergeCell ref="C109:U109"/>
    <mergeCell ref="V109:X109"/>
    <mergeCell ref="Y109:AB109"/>
    <mergeCell ref="AC109:AF109"/>
    <mergeCell ref="AG109:AJ109"/>
    <mergeCell ref="AK107:AN107"/>
    <mergeCell ref="AO107:AR107"/>
    <mergeCell ref="AS107:AV107"/>
    <mergeCell ref="AW107:AZ107"/>
    <mergeCell ref="A108:B108"/>
    <mergeCell ref="C108:U108"/>
    <mergeCell ref="V108:X108"/>
    <mergeCell ref="Y108:AB108"/>
    <mergeCell ref="AC108:AF108"/>
    <mergeCell ref="AG108:AJ108"/>
    <mergeCell ref="AK106:AN106"/>
    <mergeCell ref="AO106:AR106"/>
    <mergeCell ref="AS106:AV106"/>
    <mergeCell ref="AW106:AZ106"/>
    <mergeCell ref="A107:B107"/>
    <mergeCell ref="C107:U107"/>
    <mergeCell ref="V107:X107"/>
    <mergeCell ref="Y107:AB107"/>
    <mergeCell ref="AC107:AF107"/>
    <mergeCell ref="AG107:AJ107"/>
    <mergeCell ref="AK105:AN105"/>
    <mergeCell ref="AO105:AR105"/>
    <mergeCell ref="AS105:AV105"/>
    <mergeCell ref="AW105:AZ105"/>
    <mergeCell ref="A106:B106"/>
    <mergeCell ref="C106:U106"/>
    <mergeCell ref="V106:X106"/>
    <mergeCell ref="Y106:AB106"/>
    <mergeCell ref="AC106:AF106"/>
    <mergeCell ref="AG106:AJ106"/>
    <mergeCell ref="AK104:AN104"/>
    <mergeCell ref="AO104:AR104"/>
    <mergeCell ref="AS104:AV104"/>
    <mergeCell ref="AW104:AZ104"/>
    <mergeCell ref="A105:B105"/>
    <mergeCell ref="C105:U105"/>
    <mergeCell ref="V105:X105"/>
    <mergeCell ref="Y105:AB105"/>
    <mergeCell ref="AC105:AF105"/>
    <mergeCell ref="AG105:AJ105"/>
    <mergeCell ref="AK103:AN103"/>
    <mergeCell ref="AO103:AR103"/>
    <mergeCell ref="AS103:AV103"/>
    <mergeCell ref="AW103:AZ103"/>
    <mergeCell ref="A104:B104"/>
    <mergeCell ref="C104:U104"/>
    <mergeCell ref="V104:X104"/>
    <mergeCell ref="Y104:AB104"/>
    <mergeCell ref="AC104:AF104"/>
    <mergeCell ref="AG104:AJ104"/>
    <mergeCell ref="AK102:AN102"/>
    <mergeCell ref="AO102:AR102"/>
    <mergeCell ref="AS102:AV102"/>
    <mergeCell ref="AW102:AZ102"/>
    <mergeCell ref="A103:B103"/>
    <mergeCell ref="C103:U103"/>
    <mergeCell ref="V103:X103"/>
    <mergeCell ref="Y103:AB103"/>
    <mergeCell ref="AC103:AF103"/>
    <mergeCell ref="AG103:AJ103"/>
    <mergeCell ref="AK101:AN101"/>
    <mergeCell ref="AO101:AR101"/>
    <mergeCell ref="AS101:AV101"/>
    <mergeCell ref="AW101:AZ101"/>
    <mergeCell ref="A102:B102"/>
    <mergeCell ref="C102:U102"/>
    <mergeCell ref="V102:X102"/>
    <mergeCell ref="Y102:AB102"/>
    <mergeCell ref="AC102:AF102"/>
    <mergeCell ref="AG102:AJ102"/>
    <mergeCell ref="AK100:AN100"/>
    <mergeCell ref="AO100:AR100"/>
    <mergeCell ref="AS100:AV100"/>
    <mergeCell ref="AW100:AZ100"/>
    <mergeCell ref="A101:B101"/>
    <mergeCell ref="C101:U101"/>
    <mergeCell ref="V101:X101"/>
    <mergeCell ref="Y101:AB101"/>
    <mergeCell ref="AC101:AF101"/>
    <mergeCell ref="AG101:AJ101"/>
    <mergeCell ref="AK99:AN99"/>
    <mergeCell ref="AO99:AR99"/>
    <mergeCell ref="AS99:AV99"/>
    <mergeCell ref="AW99:AZ99"/>
    <mergeCell ref="A100:B100"/>
    <mergeCell ref="C100:U100"/>
    <mergeCell ref="V100:X100"/>
    <mergeCell ref="Y100:AB100"/>
    <mergeCell ref="AC100:AF100"/>
    <mergeCell ref="AG100:AJ100"/>
    <mergeCell ref="AK98:AN98"/>
    <mergeCell ref="AO98:AR98"/>
    <mergeCell ref="AS98:AV98"/>
    <mergeCell ref="AW98:AZ98"/>
    <mergeCell ref="A99:B99"/>
    <mergeCell ref="C99:U99"/>
    <mergeCell ref="V99:X99"/>
    <mergeCell ref="Y99:AB99"/>
    <mergeCell ref="AC99:AF99"/>
    <mergeCell ref="AG99:AJ99"/>
    <mergeCell ref="AK97:AN97"/>
    <mergeCell ref="AO97:AR97"/>
    <mergeCell ref="AS97:AV97"/>
    <mergeCell ref="AW97:AZ97"/>
    <mergeCell ref="A98:B98"/>
    <mergeCell ref="C98:U98"/>
    <mergeCell ref="V98:X98"/>
    <mergeCell ref="Y98:AB98"/>
    <mergeCell ref="AC98:AF98"/>
    <mergeCell ref="AG98:AJ98"/>
    <mergeCell ref="AK96:AN96"/>
    <mergeCell ref="AO96:AR96"/>
    <mergeCell ref="AS96:AV96"/>
    <mergeCell ref="AW96:AZ96"/>
    <mergeCell ref="A97:B97"/>
    <mergeCell ref="C97:U97"/>
    <mergeCell ref="V97:X97"/>
    <mergeCell ref="Y97:AB97"/>
    <mergeCell ref="AC97:AF97"/>
    <mergeCell ref="AG97:AJ97"/>
    <mergeCell ref="AK95:AN95"/>
    <mergeCell ref="AO95:AR95"/>
    <mergeCell ref="AS95:AV95"/>
    <mergeCell ref="AW95:AZ95"/>
    <mergeCell ref="A96:B96"/>
    <mergeCell ref="C96:U96"/>
    <mergeCell ref="V96:X96"/>
    <mergeCell ref="Y96:AB96"/>
    <mergeCell ref="AC96:AF96"/>
    <mergeCell ref="AG96:AJ96"/>
    <mergeCell ref="AK94:AN94"/>
    <mergeCell ref="AO94:AR94"/>
    <mergeCell ref="AS94:AV94"/>
    <mergeCell ref="AW94:AZ94"/>
    <mergeCell ref="A95:B95"/>
    <mergeCell ref="C95:U95"/>
    <mergeCell ref="V95:X95"/>
    <mergeCell ref="Y95:AB95"/>
    <mergeCell ref="AC95:AF95"/>
    <mergeCell ref="AG95:AJ95"/>
    <mergeCell ref="AK93:AN93"/>
    <mergeCell ref="AO93:AR93"/>
    <mergeCell ref="AS93:AV93"/>
    <mergeCell ref="AW93:AZ93"/>
    <mergeCell ref="A94:B94"/>
    <mergeCell ref="C94:U94"/>
    <mergeCell ref="V94:X94"/>
    <mergeCell ref="Y94:AB94"/>
    <mergeCell ref="AC94:AF94"/>
    <mergeCell ref="AG94:AJ94"/>
    <mergeCell ref="AK92:AN92"/>
    <mergeCell ref="AO92:AR92"/>
    <mergeCell ref="AS92:AV92"/>
    <mergeCell ref="AW92:AZ92"/>
    <mergeCell ref="A93:B93"/>
    <mergeCell ref="C93:U93"/>
    <mergeCell ref="V93:X93"/>
    <mergeCell ref="Y93:AB93"/>
    <mergeCell ref="AC93:AF93"/>
    <mergeCell ref="AG93:AJ93"/>
    <mergeCell ref="AK91:AN91"/>
    <mergeCell ref="AO91:AR91"/>
    <mergeCell ref="AS91:AV91"/>
    <mergeCell ref="AW91:AZ91"/>
    <mergeCell ref="A92:B92"/>
    <mergeCell ref="C92:U92"/>
    <mergeCell ref="V92:X92"/>
    <mergeCell ref="Y92:AB92"/>
    <mergeCell ref="AC92:AF92"/>
    <mergeCell ref="AG92:AJ92"/>
    <mergeCell ref="AK90:AN90"/>
    <mergeCell ref="AO90:AR90"/>
    <mergeCell ref="AS90:AV90"/>
    <mergeCell ref="AW90:AZ90"/>
    <mergeCell ref="A91:B91"/>
    <mergeCell ref="C91:U91"/>
    <mergeCell ref="V91:X91"/>
    <mergeCell ref="Y91:AB91"/>
    <mergeCell ref="AC91:AF91"/>
    <mergeCell ref="AG91:AJ91"/>
    <mergeCell ref="AK89:AN89"/>
    <mergeCell ref="AO89:AR89"/>
    <mergeCell ref="AS89:AV89"/>
    <mergeCell ref="AW89:AZ89"/>
    <mergeCell ref="A90:B90"/>
    <mergeCell ref="C90:U90"/>
    <mergeCell ref="V90:X90"/>
    <mergeCell ref="Y90:AB90"/>
    <mergeCell ref="AC90:AF90"/>
    <mergeCell ref="AG90:AJ90"/>
    <mergeCell ref="AK88:AN88"/>
    <mergeCell ref="AO88:AR88"/>
    <mergeCell ref="AS88:AV88"/>
    <mergeCell ref="AW88:AZ88"/>
    <mergeCell ref="A89:B89"/>
    <mergeCell ref="C89:U89"/>
    <mergeCell ref="V89:X89"/>
    <mergeCell ref="Y89:AB89"/>
    <mergeCell ref="AC89:AF89"/>
    <mergeCell ref="AG89:AJ89"/>
    <mergeCell ref="AK87:AN87"/>
    <mergeCell ref="AO87:AR87"/>
    <mergeCell ref="AS87:AV87"/>
    <mergeCell ref="AW87:AZ87"/>
    <mergeCell ref="A88:B88"/>
    <mergeCell ref="C88:U88"/>
    <mergeCell ref="V88:X88"/>
    <mergeCell ref="Y88:AB88"/>
    <mergeCell ref="AC88:AF88"/>
    <mergeCell ref="AG88:AJ88"/>
    <mergeCell ref="AK86:AN86"/>
    <mergeCell ref="AO86:AR86"/>
    <mergeCell ref="AS86:AV86"/>
    <mergeCell ref="AW86:AZ86"/>
    <mergeCell ref="A87:B87"/>
    <mergeCell ref="C87:U87"/>
    <mergeCell ref="V87:X87"/>
    <mergeCell ref="Y87:AB87"/>
    <mergeCell ref="AC87:AF87"/>
    <mergeCell ref="AG87:AJ87"/>
    <mergeCell ref="AK85:AN85"/>
    <mergeCell ref="AO85:AR85"/>
    <mergeCell ref="AS85:AV85"/>
    <mergeCell ref="AW85:AZ85"/>
    <mergeCell ref="A86:B86"/>
    <mergeCell ref="C86:U86"/>
    <mergeCell ref="V86:X86"/>
    <mergeCell ref="Y86:AB86"/>
    <mergeCell ref="AC86:AF86"/>
    <mergeCell ref="AG86:AJ86"/>
    <mergeCell ref="AK84:AN84"/>
    <mergeCell ref="AO84:AR84"/>
    <mergeCell ref="AS84:AV84"/>
    <mergeCell ref="AW84:AZ84"/>
    <mergeCell ref="A85:B85"/>
    <mergeCell ref="C85:U85"/>
    <mergeCell ref="V85:X85"/>
    <mergeCell ref="Y85:AB85"/>
    <mergeCell ref="AC85:AF85"/>
    <mergeCell ref="AG85:AJ85"/>
    <mergeCell ref="AK83:AN83"/>
    <mergeCell ref="AO83:AR83"/>
    <mergeCell ref="AS83:AV83"/>
    <mergeCell ref="AW83:AZ83"/>
    <mergeCell ref="A84:B84"/>
    <mergeCell ref="C84:U84"/>
    <mergeCell ref="V84:X84"/>
    <mergeCell ref="Y84:AB84"/>
    <mergeCell ref="AC84:AF84"/>
    <mergeCell ref="AG84:AJ84"/>
    <mergeCell ref="AK82:AN82"/>
    <mergeCell ref="AO82:AR82"/>
    <mergeCell ref="AS82:AV82"/>
    <mergeCell ref="AW82:AZ82"/>
    <mergeCell ref="A83:B83"/>
    <mergeCell ref="C83:U83"/>
    <mergeCell ref="V83:X83"/>
    <mergeCell ref="Y83:AB83"/>
    <mergeCell ref="AC83:AF83"/>
    <mergeCell ref="AG83:AJ83"/>
    <mergeCell ref="AK81:AN81"/>
    <mergeCell ref="AO81:AR81"/>
    <mergeCell ref="AS81:AV81"/>
    <mergeCell ref="AW81:AZ81"/>
    <mergeCell ref="A82:B82"/>
    <mergeCell ref="C82:U82"/>
    <mergeCell ref="V82:X82"/>
    <mergeCell ref="Y82:AB82"/>
    <mergeCell ref="AC82:AF82"/>
    <mergeCell ref="AG82:AJ82"/>
    <mergeCell ref="AK80:AN80"/>
    <mergeCell ref="AO80:AR80"/>
    <mergeCell ref="AS80:AV80"/>
    <mergeCell ref="AW80:AZ80"/>
    <mergeCell ref="A81:B81"/>
    <mergeCell ref="C81:U81"/>
    <mergeCell ref="V81:X81"/>
    <mergeCell ref="Y81:AB81"/>
    <mergeCell ref="AC81:AF81"/>
    <mergeCell ref="AG81:AJ81"/>
    <mergeCell ref="AK79:AN79"/>
    <mergeCell ref="AO79:AR79"/>
    <mergeCell ref="AS79:AV79"/>
    <mergeCell ref="AW79:AZ79"/>
    <mergeCell ref="A80:B80"/>
    <mergeCell ref="C80:U80"/>
    <mergeCell ref="V80:X80"/>
    <mergeCell ref="Y80:AB80"/>
    <mergeCell ref="AC80:AF80"/>
    <mergeCell ref="AG80:AJ80"/>
    <mergeCell ref="AK78:AN78"/>
    <mergeCell ref="AO78:AR78"/>
    <mergeCell ref="AS78:AV78"/>
    <mergeCell ref="AW78:AZ78"/>
    <mergeCell ref="A79:B79"/>
    <mergeCell ref="C79:U79"/>
    <mergeCell ref="V79:X79"/>
    <mergeCell ref="Y79:AB79"/>
    <mergeCell ref="AC79:AF79"/>
    <mergeCell ref="AG79:AJ79"/>
    <mergeCell ref="AK77:AN77"/>
    <mergeCell ref="AO77:AR77"/>
    <mergeCell ref="AS77:AV77"/>
    <mergeCell ref="AW77:AZ77"/>
    <mergeCell ref="A78:B78"/>
    <mergeCell ref="C78:U78"/>
    <mergeCell ref="V78:X78"/>
    <mergeCell ref="Y78:AB78"/>
    <mergeCell ref="AC78:AF78"/>
    <mergeCell ref="AG78:AJ78"/>
    <mergeCell ref="AK76:AN76"/>
    <mergeCell ref="AO76:AR76"/>
    <mergeCell ref="AS76:AV76"/>
    <mergeCell ref="AW76:AZ76"/>
    <mergeCell ref="A77:B77"/>
    <mergeCell ref="C77:U77"/>
    <mergeCell ref="V77:X77"/>
    <mergeCell ref="Y77:AB77"/>
    <mergeCell ref="AC77:AF77"/>
    <mergeCell ref="AG77:AJ77"/>
    <mergeCell ref="AK75:AN75"/>
    <mergeCell ref="AO75:AR75"/>
    <mergeCell ref="AS75:AV75"/>
    <mergeCell ref="AW75:AZ75"/>
    <mergeCell ref="A76:B76"/>
    <mergeCell ref="C76:U76"/>
    <mergeCell ref="V76:X76"/>
    <mergeCell ref="Y76:AB76"/>
    <mergeCell ref="AC76:AF76"/>
    <mergeCell ref="AG76:AJ76"/>
    <mergeCell ref="AK74:AN74"/>
    <mergeCell ref="AO74:AR74"/>
    <mergeCell ref="AS74:AV74"/>
    <mergeCell ref="AW74:AZ74"/>
    <mergeCell ref="A75:B75"/>
    <mergeCell ref="C75:U75"/>
    <mergeCell ref="V75:X75"/>
    <mergeCell ref="Y75:AB75"/>
    <mergeCell ref="AC75:AF75"/>
    <mergeCell ref="AG75:AJ75"/>
    <mergeCell ref="AK73:AN73"/>
    <mergeCell ref="AO73:AR73"/>
    <mergeCell ref="AS73:AV73"/>
    <mergeCell ref="AW73:AZ73"/>
    <mergeCell ref="A74:B74"/>
    <mergeCell ref="C74:U74"/>
    <mergeCell ref="V74:X74"/>
    <mergeCell ref="Y74:AB74"/>
    <mergeCell ref="AC74:AF74"/>
    <mergeCell ref="AG74:AJ74"/>
    <mergeCell ref="AK72:AN72"/>
    <mergeCell ref="AO72:AR72"/>
    <mergeCell ref="AS72:AV72"/>
    <mergeCell ref="AW72:AZ72"/>
    <mergeCell ref="A73:B73"/>
    <mergeCell ref="C73:U73"/>
    <mergeCell ref="V73:X73"/>
    <mergeCell ref="Y73:AB73"/>
    <mergeCell ref="AC73:AF73"/>
    <mergeCell ref="AG73:AJ73"/>
    <mergeCell ref="AK71:AN71"/>
    <mergeCell ref="AO71:AR71"/>
    <mergeCell ref="AS71:AV71"/>
    <mergeCell ref="AW71:AZ71"/>
    <mergeCell ref="A72:B72"/>
    <mergeCell ref="C72:U72"/>
    <mergeCell ref="V72:X72"/>
    <mergeCell ref="Y72:AB72"/>
    <mergeCell ref="AC72:AF72"/>
    <mergeCell ref="AG72:AJ72"/>
    <mergeCell ref="AK70:AN70"/>
    <mergeCell ref="AO70:AR70"/>
    <mergeCell ref="AS70:AV70"/>
    <mergeCell ref="AW70:AZ70"/>
    <mergeCell ref="A71:B71"/>
    <mergeCell ref="C71:U71"/>
    <mergeCell ref="V71:X71"/>
    <mergeCell ref="Y71:AB71"/>
    <mergeCell ref="AC71:AF71"/>
    <mergeCell ref="AG71:AJ71"/>
    <mergeCell ref="AK69:AN69"/>
    <mergeCell ref="AO69:AR69"/>
    <mergeCell ref="AS69:AV69"/>
    <mergeCell ref="AW69:AZ69"/>
    <mergeCell ref="A70:B70"/>
    <mergeCell ref="C70:U70"/>
    <mergeCell ref="V70:X70"/>
    <mergeCell ref="Y70:AB70"/>
    <mergeCell ref="AC70:AF70"/>
    <mergeCell ref="AG70:AJ70"/>
    <mergeCell ref="AK68:AN68"/>
    <mergeCell ref="AO68:AR68"/>
    <mergeCell ref="AS68:AV68"/>
    <mergeCell ref="AW68:AZ68"/>
    <mergeCell ref="A69:B69"/>
    <mergeCell ref="C69:U69"/>
    <mergeCell ref="V69:X69"/>
    <mergeCell ref="Y69:AB69"/>
    <mergeCell ref="AC69:AF69"/>
    <mergeCell ref="AG69:AJ69"/>
    <mergeCell ref="AK67:AN67"/>
    <mergeCell ref="AO67:AR67"/>
    <mergeCell ref="AS67:AV67"/>
    <mergeCell ref="AW67:AZ67"/>
    <mergeCell ref="A68:B68"/>
    <mergeCell ref="C68:U68"/>
    <mergeCell ref="V68:X68"/>
    <mergeCell ref="Y68:AB68"/>
    <mergeCell ref="AC68:AF68"/>
    <mergeCell ref="AG68:AJ68"/>
    <mergeCell ref="AK66:AN66"/>
    <mergeCell ref="AO66:AR66"/>
    <mergeCell ref="AS66:AV66"/>
    <mergeCell ref="AW66:AZ66"/>
    <mergeCell ref="A67:B67"/>
    <mergeCell ref="C67:U67"/>
    <mergeCell ref="V67:X67"/>
    <mergeCell ref="Y67:AB67"/>
    <mergeCell ref="AC67:AF67"/>
    <mergeCell ref="AG67:AJ67"/>
    <mergeCell ref="AK65:AN65"/>
    <mergeCell ref="AO65:AR65"/>
    <mergeCell ref="AS65:AV65"/>
    <mergeCell ref="AW65:AZ65"/>
    <mergeCell ref="A66:B66"/>
    <mergeCell ref="C66:U66"/>
    <mergeCell ref="V66:X66"/>
    <mergeCell ref="Y66:AB66"/>
    <mergeCell ref="AC66:AF66"/>
    <mergeCell ref="AG66:AJ66"/>
    <mergeCell ref="AK64:AN64"/>
    <mergeCell ref="AO64:AR64"/>
    <mergeCell ref="AS64:AV64"/>
    <mergeCell ref="AW64:AZ64"/>
    <mergeCell ref="A65:B65"/>
    <mergeCell ref="C65:U65"/>
    <mergeCell ref="V65:X65"/>
    <mergeCell ref="Y65:AB65"/>
    <mergeCell ref="AC65:AF65"/>
    <mergeCell ref="AG65:AJ65"/>
    <mergeCell ref="AK63:AN63"/>
    <mergeCell ref="AO63:AR63"/>
    <mergeCell ref="AS63:AV63"/>
    <mergeCell ref="AW63:AZ63"/>
    <mergeCell ref="A64:B64"/>
    <mergeCell ref="C64:U64"/>
    <mergeCell ref="V64:X64"/>
    <mergeCell ref="Y64:AB64"/>
    <mergeCell ref="AC64:AF64"/>
    <mergeCell ref="AG64:AJ64"/>
    <mergeCell ref="AK62:AN62"/>
    <mergeCell ref="AO62:AR62"/>
    <mergeCell ref="AS62:AV62"/>
    <mergeCell ref="AW62:AZ62"/>
    <mergeCell ref="A63:B63"/>
    <mergeCell ref="C63:U63"/>
    <mergeCell ref="V63:X63"/>
    <mergeCell ref="Y63:AB63"/>
    <mergeCell ref="AC63:AF63"/>
    <mergeCell ref="AG63:AJ63"/>
    <mergeCell ref="AK61:AN61"/>
    <mergeCell ref="AO61:AR61"/>
    <mergeCell ref="AS61:AV61"/>
    <mergeCell ref="AW61:AZ61"/>
    <mergeCell ref="A62:B62"/>
    <mergeCell ref="C62:U62"/>
    <mergeCell ref="V62:X62"/>
    <mergeCell ref="Y62:AB62"/>
    <mergeCell ref="AC62:AF62"/>
    <mergeCell ref="AG62:AJ62"/>
    <mergeCell ref="AK60:AN60"/>
    <mergeCell ref="AO60:AR60"/>
    <mergeCell ref="AS60:AV60"/>
    <mergeCell ref="AW60:AZ60"/>
    <mergeCell ref="A61:B61"/>
    <mergeCell ref="C61:U61"/>
    <mergeCell ref="V61:X61"/>
    <mergeCell ref="Y61:AB61"/>
    <mergeCell ref="AC61:AF61"/>
    <mergeCell ref="AG61:AJ61"/>
    <mergeCell ref="AK59:AN59"/>
    <mergeCell ref="AO59:AR59"/>
    <mergeCell ref="AS59:AV59"/>
    <mergeCell ref="AW59:AZ59"/>
    <mergeCell ref="A60:B60"/>
    <mergeCell ref="C60:U60"/>
    <mergeCell ref="V60:X60"/>
    <mergeCell ref="Y60:AB60"/>
    <mergeCell ref="AC60:AF60"/>
    <mergeCell ref="AG60:AJ60"/>
    <mergeCell ref="AK58:AN58"/>
    <mergeCell ref="AO58:AR58"/>
    <mergeCell ref="AS58:AV58"/>
    <mergeCell ref="AW58:AZ58"/>
    <mergeCell ref="A59:B59"/>
    <mergeCell ref="C59:U59"/>
    <mergeCell ref="V59:X59"/>
    <mergeCell ref="Y59:AB59"/>
    <mergeCell ref="AC59:AF59"/>
    <mergeCell ref="AG59:AJ59"/>
    <mergeCell ref="AK57:AN57"/>
    <mergeCell ref="AO57:AR57"/>
    <mergeCell ref="AS57:AV57"/>
    <mergeCell ref="AW57:AZ57"/>
    <mergeCell ref="A58:B58"/>
    <mergeCell ref="C58:U58"/>
    <mergeCell ref="V58:X58"/>
    <mergeCell ref="Y58:AB58"/>
    <mergeCell ref="AC58:AF58"/>
    <mergeCell ref="AG58:AJ58"/>
    <mergeCell ref="AK56:AN56"/>
    <mergeCell ref="AO56:AR56"/>
    <mergeCell ref="AS56:AV56"/>
    <mergeCell ref="AW56:AZ56"/>
    <mergeCell ref="A57:B57"/>
    <mergeCell ref="C57:U57"/>
    <mergeCell ref="V57:X57"/>
    <mergeCell ref="Y57:AB57"/>
    <mergeCell ref="AC57:AF57"/>
    <mergeCell ref="AG57:AJ57"/>
    <mergeCell ref="AK55:AN55"/>
    <mergeCell ref="AO55:AR55"/>
    <mergeCell ref="AS55:AV55"/>
    <mergeCell ref="AW55:AZ55"/>
    <mergeCell ref="A56:B56"/>
    <mergeCell ref="C56:U56"/>
    <mergeCell ref="V56:X56"/>
    <mergeCell ref="Y56:AB56"/>
    <mergeCell ref="AC56:AF56"/>
    <mergeCell ref="AG56:AJ56"/>
    <mergeCell ref="AK54:AN54"/>
    <mergeCell ref="AO54:AR54"/>
    <mergeCell ref="AS54:AV54"/>
    <mergeCell ref="AW54:AZ54"/>
    <mergeCell ref="A55:B55"/>
    <mergeCell ref="C55:U55"/>
    <mergeCell ref="V55:X55"/>
    <mergeCell ref="Y55:AB55"/>
    <mergeCell ref="AC55:AF55"/>
    <mergeCell ref="AG55:AJ55"/>
    <mergeCell ref="AK53:AN53"/>
    <mergeCell ref="AO53:AR53"/>
    <mergeCell ref="AS53:AV53"/>
    <mergeCell ref="AW53:AZ53"/>
    <mergeCell ref="A54:B54"/>
    <mergeCell ref="C54:U54"/>
    <mergeCell ref="V54:X54"/>
    <mergeCell ref="Y54:AB54"/>
    <mergeCell ref="AC54:AF54"/>
    <mergeCell ref="AG54:AJ54"/>
    <mergeCell ref="AK52:AN52"/>
    <mergeCell ref="AO52:AR52"/>
    <mergeCell ref="AS52:AV52"/>
    <mergeCell ref="AW52:AZ52"/>
    <mergeCell ref="A53:B53"/>
    <mergeCell ref="C53:U53"/>
    <mergeCell ref="V53:X53"/>
    <mergeCell ref="Y53:AB53"/>
    <mergeCell ref="AC53:AF53"/>
    <mergeCell ref="AG53:AJ53"/>
    <mergeCell ref="AK51:AN51"/>
    <mergeCell ref="AO51:AR51"/>
    <mergeCell ref="AS51:AV51"/>
    <mergeCell ref="AW51:AZ51"/>
    <mergeCell ref="A52:B52"/>
    <mergeCell ref="C52:U52"/>
    <mergeCell ref="V52:X52"/>
    <mergeCell ref="Y52:AB52"/>
    <mergeCell ref="AC52:AF52"/>
    <mergeCell ref="AG52:AJ52"/>
    <mergeCell ref="AK50:AN50"/>
    <mergeCell ref="AO50:AR50"/>
    <mergeCell ref="AS50:AV50"/>
    <mergeCell ref="AW50:AZ50"/>
    <mergeCell ref="A51:B51"/>
    <mergeCell ref="C51:U51"/>
    <mergeCell ref="V51:X51"/>
    <mergeCell ref="Y51:AB51"/>
    <mergeCell ref="AC51:AF51"/>
    <mergeCell ref="AG51:AJ51"/>
    <mergeCell ref="AK49:AN49"/>
    <mergeCell ref="AO49:AR49"/>
    <mergeCell ref="AS49:AV49"/>
    <mergeCell ref="AW49:AZ49"/>
    <mergeCell ref="A50:B50"/>
    <mergeCell ref="C50:U50"/>
    <mergeCell ref="V50:X50"/>
    <mergeCell ref="Y50:AB50"/>
    <mergeCell ref="AC50:AF50"/>
    <mergeCell ref="AG50:AJ50"/>
    <mergeCell ref="AK48:AN48"/>
    <mergeCell ref="AO48:AR48"/>
    <mergeCell ref="AS48:AV48"/>
    <mergeCell ref="AW48:AZ48"/>
    <mergeCell ref="A49:B49"/>
    <mergeCell ref="C49:U49"/>
    <mergeCell ref="V49:X49"/>
    <mergeCell ref="Y49:AB49"/>
    <mergeCell ref="AC49:AF49"/>
    <mergeCell ref="AG49:AJ49"/>
    <mergeCell ref="AK47:AN47"/>
    <mergeCell ref="AO47:AR47"/>
    <mergeCell ref="AS47:AV47"/>
    <mergeCell ref="AW47:AZ47"/>
    <mergeCell ref="A48:B48"/>
    <mergeCell ref="C48:U48"/>
    <mergeCell ref="V48:X48"/>
    <mergeCell ref="Y48:AB48"/>
    <mergeCell ref="AC48:AF48"/>
    <mergeCell ref="AG48:AJ48"/>
    <mergeCell ref="AK46:AN46"/>
    <mergeCell ref="AO46:AR46"/>
    <mergeCell ref="AS46:AV46"/>
    <mergeCell ref="AW46:AZ46"/>
    <mergeCell ref="A47:B47"/>
    <mergeCell ref="C47:U47"/>
    <mergeCell ref="V47:X47"/>
    <mergeCell ref="Y47:AB47"/>
    <mergeCell ref="AC47:AF47"/>
    <mergeCell ref="AG47:AJ47"/>
    <mergeCell ref="AK45:AN45"/>
    <mergeCell ref="AO45:AR45"/>
    <mergeCell ref="AS45:AV45"/>
    <mergeCell ref="AW45:AZ45"/>
    <mergeCell ref="A46:B46"/>
    <mergeCell ref="C46:U46"/>
    <mergeCell ref="V46:X46"/>
    <mergeCell ref="Y46:AB46"/>
    <mergeCell ref="AC46:AF46"/>
    <mergeCell ref="AG46:AJ46"/>
    <mergeCell ref="AK44:AN44"/>
    <mergeCell ref="AO44:AR44"/>
    <mergeCell ref="AS44:AV44"/>
    <mergeCell ref="AW44:AZ44"/>
    <mergeCell ref="A45:B45"/>
    <mergeCell ref="C45:U45"/>
    <mergeCell ref="V45:X45"/>
    <mergeCell ref="Y45:AB45"/>
    <mergeCell ref="AC45:AF45"/>
    <mergeCell ref="AG45:AJ45"/>
    <mergeCell ref="AK43:AN43"/>
    <mergeCell ref="AO43:AR43"/>
    <mergeCell ref="AS43:AV43"/>
    <mergeCell ref="AW43:AZ43"/>
    <mergeCell ref="A44:B44"/>
    <mergeCell ref="C44:U44"/>
    <mergeCell ref="V44:X44"/>
    <mergeCell ref="Y44:AB44"/>
    <mergeCell ref="AC44:AF44"/>
    <mergeCell ref="AG44:AJ44"/>
    <mergeCell ref="AK42:AN42"/>
    <mergeCell ref="AO42:AR42"/>
    <mergeCell ref="AS42:AV42"/>
    <mergeCell ref="AW42:AZ42"/>
    <mergeCell ref="A43:B43"/>
    <mergeCell ref="C43:U43"/>
    <mergeCell ref="V43:X43"/>
    <mergeCell ref="Y43:AB43"/>
    <mergeCell ref="AC43:AF43"/>
    <mergeCell ref="AG43:AJ43"/>
    <mergeCell ref="AK41:AN41"/>
    <mergeCell ref="AO41:AR41"/>
    <mergeCell ref="AS41:AV41"/>
    <mergeCell ref="AW41:AZ41"/>
    <mergeCell ref="A42:B42"/>
    <mergeCell ref="C42:U42"/>
    <mergeCell ref="V42:X42"/>
    <mergeCell ref="Y42:AB42"/>
    <mergeCell ref="AC42:AF42"/>
    <mergeCell ref="AG42:AJ42"/>
    <mergeCell ref="AK40:AN40"/>
    <mergeCell ref="AO40:AR40"/>
    <mergeCell ref="AS40:AV40"/>
    <mergeCell ref="AW40:AZ40"/>
    <mergeCell ref="A41:B41"/>
    <mergeCell ref="C41:U41"/>
    <mergeCell ref="V41:X41"/>
    <mergeCell ref="Y41:AB41"/>
    <mergeCell ref="AC41:AF41"/>
    <mergeCell ref="AG41:AJ41"/>
    <mergeCell ref="AK39:AN39"/>
    <mergeCell ref="AO39:AR39"/>
    <mergeCell ref="AS39:AV39"/>
    <mergeCell ref="AW39:AZ39"/>
    <mergeCell ref="A40:B40"/>
    <mergeCell ref="C40:U40"/>
    <mergeCell ref="V40:X40"/>
    <mergeCell ref="Y40:AB40"/>
    <mergeCell ref="AC40:AF40"/>
    <mergeCell ref="AG40:AJ40"/>
    <mergeCell ref="AK38:AN38"/>
    <mergeCell ref="AO38:AR38"/>
    <mergeCell ref="AS38:AV38"/>
    <mergeCell ref="AW38:AZ38"/>
    <mergeCell ref="A39:B39"/>
    <mergeCell ref="C39:U39"/>
    <mergeCell ref="V39:X39"/>
    <mergeCell ref="Y39:AB39"/>
    <mergeCell ref="AC39:AF39"/>
    <mergeCell ref="AG39:AJ39"/>
    <mergeCell ref="AK37:AN37"/>
    <mergeCell ref="AO37:AR37"/>
    <mergeCell ref="AS37:AV37"/>
    <mergeCell ref="AW37:AZ37"/>
    <mergeCell ref="A38:B38"/>
    <mergeCell ref="C38:U38"/>
    <mergeCell ref="V38:X38"/>
    <mergeCell ref="Y38:AB38"/>
    <mergeCell ref="AC38:AF38"/>
    <mergeCell ref="AG38:AJ38"/>
    <mergeCell ref="AK36:AN36"/>
    <mergeCell ref="AO36:AR36"/>
    <mergeCell ref="AS36:AV36"/>
    <mergeCell ref="AW36:AZ36"/>
    <mergeCell ref="A37:B37"/>
    <mergeCell ref="C37:U37"/>
    <mergeCell ref="V37:X37"/>
    <mergeCell ref="Y37:AB37"/>
    <mergeCell ref="AC37:AF37"/>
    <mergeCell ref="AG37:AJ37"/>
    <mergeCell ref="AK35:AN35"/>
    <mergeCell ref="AO35:AR35"/>
    <mergeCell ref="AS35:AV35"/>
    <mergeCell ref="AW35:AZ35"/>
    <mergeCell ref="A36:B36"/>
    <mergeCell ref="C36:U36"/>
    <mergeCell ref="V36:X36"/>
    <mergeCell ref="Y36:AB36"/>
    <mergeCell ref="AC36:AF36"/>
    <mergeCell ref="AG36:AJ36"/>
    <mergeCell ref="AK34:AN34"/>
    <mergeCell ref="AO34:AR34"/>
    <mergeCell ref="AS34:AV34"/>
    <mergeCell ref="AW34:AZ34"/>
    <mergeCell ref="A35:B35"/>
    <mergeCell ref="C35:U35"/>
    <mergeCell ref="V35:X35"/>
    <mergeCell ref="Y35:AB35"/>
    <mergeCell ref="AC35:AF35"/>
    <mergeCell ref="AG35:AJ35"/>
    <mergeCell ref="AK33:AN33"/>
    <mergeCell ref="AO33:AR33"/>
    <mergeCell ref="AS33:AV33"/>
    <mergeCell ref="AW33:AZ33"/>
    <mergeCell ref="A34:B34"/>
    <mergeCell ref="C34:U34"/>
    <mergeCell ref="V34:X34"/>
    <mergeCell ref="Y34:AB34"/>
    <mergeCell ref="AC34:AF34"/>
    <mergeCell ref="AG34:AJ34"/>
    <mergeCell ref="AK32:AN32"/>
    <mergeCell ref="AO32:AR32"/>
    <mergeCell ref="AS32:AV32"/>
    <mergeCell ref="AW32:AZ32"/>
    <mergeCell ref="A33:B33"/>
    <mergeCell ref="C33:U33"/>
    <mergeCell ref="V33:X33"/>
    <mergeCell ref="Y33:AB33"/>
    <mergeCell ref="AC33:AF33"/>
    <mergeCell ref="AG33:AJ33"/>
    <mergeCell ref="AK31:AN31"/>
    <mergeCell ref="AO31:AR31"/>
    <mergeCell ref="AS31:AV31"/>
    <mergeCell ref="AW31:AZ31"/>
    <mergeCell ref="A32:B32"/>
    <mergeCell ref="C32:U32"/>
    <mergeCell ref="V32:X32"/>
    <mergeCell ref="Y32:AB32"/>
    <mergeCell ref="AC32:AF32"/>
    <mergeCell ref="AG32:AJ32"/>
    <mergeCell ref="AK30:AN30"/>
    <mergeCell ref="AO30:AR30"/>
    <mergeCell ref="AS30:AV30"/>
    <mergeCell ref="AW30:AZ30"/>
    <mergeCell ref="A31:B31"/>
    <mergeCell ref="C31:U31"/>
    <mergeCell ref="V31:X31"/>
    <mergeCell ref="Y31:AB31"/>
    <mergeCell ref="AC31:AF31"/>
    <mergeCell ref="AG31:AJ31"/>
    <mergeCell ref="AK29:AN29"/>
    <mergeCell ref="AO29:AR29"/>
    <mergeCell ref="AS29:AV29"/>
    <mergeCell ref="AW29:AZ29"/>
    <mergeCell ref="A30:B30"/>
    <mergeCell ref="C30:U30"/>
    <mergeCell ref="V30:X30"/>
    <mergeCell ref="Y30:AB30"/>
    <mergeCell ref="AC30:AF30"/>
    <mergeCell ref="AG30:AJ30"/>
    <mergeCell ref="AK28:AN28"/>
    <mergeCell ref="AO28:AR28"/>
    <mergeCell ref="AS28:AV28"/>
    <mergeCell ref="AW28:AZ28"/>
    <mergeCell ref="A29:B29"/>
    <mergeCell ref="C29:U29"/>
    <mergeCell ref="V29:X29"/>
    <mergeCell ref="Y29:AB29"/>
    <mergeCell ref="AC29:AF29"/>
    <mergeCell ref="AG29:AJ29"/>
    <mergeCell ref="AK27:AN27"/>
    <mergeCell ref="AO27:AR27"/>
    <mergeCell ref="AS27:AV27"/>
    <mergeCell ref="AW27:AZ27"/>
    <mergeCell ref="A28:B28"/>
    <mergeCell ref="C28:U28"/>
    <mergeCell ref="V28:X28"/>
    <mergeCell ref="Y28:AB28"/>
    <mergeCell ref="AC28:AF28"/>
    <mergeCell ref="AG28:AJ28"/>
    <mergeCell ref="AK26:AN26"/>
    <mergeCell ref="AO26:AR26"/>
    <mergeCell ref="AS26:AV26"/>
    <mergeCell ref="AW26:AZ26"/>
    <mergeCell ref="A27:B27"/>
    <mergeCell ref="C27:U27"/>
    <mergeCell ref="V27:X27"/>
    <mergeCell ref="Y27:AB27"/>
    <mergeCell ref="AC27:AF27"/>
    <mergeCell ref="AG27:AJ27"/>
    <mergeCell ref="AK25:AN25"/>
    <mergeCell ref="AO25:AR25"/>
    <mergeCell ref="AS25:AV25"/>
    <mergeCell ref="AW25:AZ25"/>
    <mergeCell ref="A26:B26"/>
    <mergeCell ref="C26:U26"/>
    <mergeCell ref="V26:X26"/>
    <mergeCell ref="Y26:AB26"/>
    <mergeCell ref="AC26:AF26"/>
    <mergeCell ref="AG26:AJ26"/>
    <mergeCell ref="AK24:AN24"/>
    <mergeCell ref="AO24:AR24"/>
    <mergeCell ref="AS24:AV24"/>
    <mergeCell ref="AW24:AZ24"/>
    <mergeCell ref="A25:B25"/>
    <mergeCell ref="C25:U25"/>
    <mergeCell ref="V25:X25"/>
    <mergeCell ref="Y25:AB25"/>
    <mergeCell ref="AC25:AF25"/>
    <mergeCell ref="AG25:AJ25"/>
    <mergeCell ref="AK23:AN23"/>
    <mergeCell ref="AO23:AR23"/>
    <mergeCell ref="AS23:AV23"/>
    <mergeCell ref="AW23:AZ23"/>
    <mergeCell ref="A24:B24"/>
    <mergeCell ref="C24:U24"/>
    <mergeCell ref="V24:X24"/>
    <mergeCell ref="Y24:AB24"/>
    <mergeCell ref="AC24:AF24"/>
    <mergeCell ref="AG24:AJ24"/>
    <mergeCell ref="AK22:AN22"/>
    <mergeCell ref="AO22:AR22"/>
    <mergeCell ref="AS22:AV22"/>
    <mergeCell ref="AW22:AZ22"/>
    <mergeCell ref="A23:B23"/>
    <mergeCell ref="C23:U23"/>
    <mergeCell ref="V23:X23"/>
    <mergeCell ref="Y23:AB23"/>
    <mergeCell ref="AC23:AF23"/>
    <mergeCell ref="AG23:AJ23"/>
    <mergeCell ref="AK21:AN21"/>
    <mergeCell ref="AO21:AR21"/>
    <mergeCell ref="AS21:AV21"/>
    <mergeCell ref="AW21:AZ21"/>
    <mergeCell ref="A22:B22"/>
    <mergeCell ref="C22:U22"/>
    <mergeCell ref="V22:X22"/>
    <mergeCell ref="Y22:AB22"/>
    <mergeCell ref="AC22:AF22"/>
    <mergeCell ref="AG22:AJ22"/>
    <mergeCell ref="AK20:AN20"/>
    <mergeCell ref="AO20:AR20"/>
    <mergeCell ref="AS20:AV20"/>
    <mergeCell ref="AW20:AZ20"/>
    <mergeCell ref="A21:B21"/>
    <mergeCell ref="C21:U21"/>
    <mergeCell ref="V21:X21"/>
    <mergeCell ref="Y21:AB21"/>
    <mergeCell ref="AC21:AF21"/>
    <mergeCell ref="AG21:AJ21"/>
    <mergeCell ref="AK19:AN19"/>
    <mergeCell ref="AO19:AR19"/>
    <mergeCell ref="AS19:AV19"/>
    <mergeCell ref="AW19:AZ19"/>
    <mergeCell ref="A20:B20"/>
    <mergeCell ref="C20:U20"/>
    <mergeCell ref="V20:X20"/>
    <mergeCell ref="Y20:AB20"/>
    <mergeCell ref="AC20:AF20"/>
    <mergeCell ref="AG20:AJ20"/>
    <mergeCell ref="AK18:AN18"/>
    <mergeCell ref="AO18:AR18"/>
    <mergeCell ref="AS18:AV18"/>
    <mergeCell ref="AW18:AZ18"/>
    <mergeCell ref="A19:B19"/>
    <mergeCell ref="C19:U19"/>
    <mergeCell ref="V19:X19"/>
    <mergeCell ref="Y19:AB19"/>
    <mergeCell ref="AC19:AF19"/>
    <mergeCell ref="AG19:AJ19"/>
    <mergeCell ref="AK17:AN17"/>
    <mergeCell ref="AO17:AR17"/>
    <mergeCell ref="AS17:AV17"/>
    <mergeCell ref="AW17:AZ17"/>
    <mergeCell ref="A18:B18"/>
    <mergeCell ref="C18:U18"/>
    <mergeCell ref="V18:X18"/>
    <mergeCell ref="Y18:AB18"/>
    <mergeCell ref="AC18:AF18"/>
    <mergeCell ref="AG18:AJ18"/>
    <mergeCell ref="AK16:AN16"/>
    <mergeCell ref="AO16:AR16"/>
    <mergeCell ref="AS16:AV16"/>
    <mergeCell ref="AW16:AZ16"/>
    <mergeCell ref="A17:B17"/>
    <mergeCell ref="C17:U17"/>
    <mergeCell ref="V17:X17"/>
    <mergeCell ref="Y17:AB17"/>
    <mergeCell ref="AC17:AF17"/>
    <mergeCell ref="AG17:AJ17"/>
    <mergeCell ref="AK15:AN15"/>
    <mergeCell ref="AO15:AR15"/>
    <mergeCell ref="AS15:AV15"/>
    <mergeCell ref="AW15:AZ15"/>
    <mergeCell ref="A16:B16"/>
    <mergeCell ref="C16:U16"/>
    <mergeCell ref="V16:X16"/>
    <mergeCell ref="Y16:AB16"/>
    <mergeCell ref="AC16:AF16"/>
    <mergeCell ref="AG16:AJ16"/>
    <mergeCell ref="AK14:AN14"/>
    <mergeCell ref="AO14:AR14"/>
    <mergeCell ref="AS14:AV14"/>
    <mergeCell ref="AW14:AZ14"/>
    <mergeCell ref="A15:B15"/>
    <mergeCell ref="C15:U15"/>
    <mergeCell ref="V15:X15"/>
    <mergeCell ref="Y15:AB15"/>
    <mergeCell ref="AC15:AF15"/>
    <mergeCell ref="AG15:AJ15"/>
    <mergeCell ref="AK13:AN13"/>
    <mergeCell ref="AO13:AR13"/>
    <mergeCell ref="AS13:AV13"/>
    <mergeCell ref="AW13:AZ13"/>
    <mergeCell ref="A14:B14"/>
    <mergeCell ref="C14:U14"/>
    <mergeCell ref="V14:X14"/>
    <mergeCell ref="Y14:AB14"/>
    <mergeCell ref="AC14:AF14"/>
    <mergeCell ref="AG14:AJ14"/>
    <mergeCell ref="AK12:AN12"/>
    <mergeCell ref="AO12:AR12"/>
    <mergeCell ref="AS12:AV12"/>
    <mergeCell ref="AW12:AZ12"/>
    <mergeCell ref="A13:B13"/>
    <mergeCell ref="C13:U13"/>
    <mergeCell ref="V13:X13"/>
    <mergeCell ref="Y13:AB13"/>
    <mergeCell ref="AC13:AF13"/>
    <mergeCell ref="AG13:AJ13"/>
    <mergeCell ref="AK11:AN11"/>
    <mergeCell ref="AO11:AR11"/>
    <mergeCell ref="AS11:AV11"/>
    <mergeCell ref="AW11:AZ11"/>
    <mergeCell ref="A12:B12"/>
    <mergeCell ref="C12:U12"/>
    <mergeCell ref="V12:X12"/>
    <mergeCell ref="Y12:AB12"/>
    <mergeCell ref="AC12:AF12"/>
    <mergeCell ref="AG12:AJ12"/>
    <mergeCell ref="AK10:AN10"/>
    <mergeCell ref="AO10:AR10"/>
    <mergeCell ref="AS10:AV10"/>
    <mergeCell ref="AW10:AZ10"/>
    <mergeCell ref="A11:B11"/>
    <mergeCell ref="C11:U11"/>
    <mergeCell ref="V11:X11"/>
    <mergeCell ref="Y11:AB11"/>
    <mergeCell ref="AC11:AF11"/>
    <mergeCell ref="AG11:AJ11"/>
    <mergeCell ref="AK9:AN9"/>
    <mergeCell ref="AO9:AR9"/>
    <mergeCell ref="AS9:AV9"/>
    <mergeCell ref="AW9:AZ9"/>
    <mergeCell ref="A10:B10"/>
    <mergeCell ref="C10:U10"/>
    <mergeCell ref="V10:X10"/>
    <mergeCell ref="Y10:AB10"/>
    <mergeCell ref="AC10:AF10"/>
    <mergeCell ref="AG10:AJ10"/>
    <mergeCell ref="AK8:AN8"/>
    <mergeCell ref="AO8:AR8"/>
    <mergeCell ref="AS8:AV8"/>
    <mergeCell ref="AW8:AZ8"/>
    <mergeCell ref="A9:B9"/>
    <mergeCell ref="C9:U9"/>
    <mergeCell ref="V9:X9"/>
    <mergeCell ref="Y9:AB9"/>
    <mergeCell ref="AC9:AF9"/>
    <mergeCell ref="AG9:AJ9"/>
    <mergeCell ref="AK7:AN7"/>
    <mergeCell ref="AO7:AR7"/>
    <mergeCell ref="AS7:AV7"/>
    <mergeCell ref="AW7:AZ7"/>
    <mergeCell ref="A8:B8"/>
    <mergeCell ref="C8:U8"/>
    <mergeCell ref="V8:X8"/>
    <mergeCell ref="Y8:AB8"/>
    <mergeCell ref="AC8:AF8"/>
    <mergeCell ref="AG8:AJ8"/>
    <mergeCell ref="AK6:AN6"/>
    <mergeCell ref="AO6:AR6"/>
    <mergeCell ref="AS6:AV6"/>
    <mergeCell ref="AW6:AZ6"/>
    <mergeCell ref="A7:B7"/>
    <mergeCell ref="C7:U7"/>
    <mergeCell ref="V7:X7"/>
    <mergeCell ref="Y7:AB7"/>
    <mergeCell ref="AC7:AF7"/>
    <mergeCell ref="AG7:AJ7"/>
    <mergeCell ref="AK5:AN5"/>
    <mergeCell ref="AO5:AR5"/>
    <mergeCell ref="AS5:AV5"/>
    <mergeCell ref="AW5:AZ5"/>
    <mergeCell ref="A6:B6"/>
    <mergeCell ref="C6:U6"/>
    <mergeCell ref="V6:X6"/>
    <mergeCell ref="Y6:AB6"/>
    <mergeCell ref="AC6:AF6"/>
    <mergeCell ref="AG6:AJ6"/>
    <mergeCell ref="AK4:AN4"/>
    <mergeCell ref="AO4:AR4"/>
    <mergeCell ref="AS4:AV4"/>
    <mergeCell ref="AW4:AZ4"/>
    <mergeCell ref="A5:B5"/>
    <mergeCell ref="C5:U5"/>
    <mergeCell ref="V5:X5"/>
    <mergeCell ref="Y5:AB5"/>
    <mergeCell ref="AC5:AF5"/>
    <mergeCell ref="AG5:AJ5"/>
    <mergeCell ref="AK3:AN3"/>
    <mergeCell ref="AO3:AR3"/>
    <mergeCell ref="AS3:AV3"/>
    <mergeCell ref="AW3:AZ3"/>
    <mergeCell ref="A4:B4"/>
    <mergeCell ref="C4:U4"/>
    <mergeCell ref="V4:X4"/>
    <mergeCell ref="Y4:AB4"/>
    <mergeCell ref="AC4:AF4"/>
    <mergeCell ref="AG4:AJ4"/>
    <mergeCell ref="AK2:AN2"/>
    <mergeCell ref="AO2:AR2"/>
    <mergeCell ref="AS2:AV2"/>
    <mergeCell ref="AW2:AZ2"/>
    <mergeCell ref="A3:B3"/>
    <mergeCell ref="C3:U3"/>
    <mergeCell ref="V3:X3"/>
    <mergeCell ref="Y3:AB3"/>
    <mergeCell ref="AC3:AF3"/>
    <mergeCell ref="AG3:AJ3"/>
    <mergeCell ref="A2:B2"/>
    <mergeCell ref="C2:U2"/>
    <mergeCell ref="V2:X2"/>
    <mergeCell ref="Y2:AB2"/>
    <mergeCell ref="AC2:AF2"/>
    <mergeCell ref="AG2:AJ2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C00000"/>
  </sheetPr>
  <dimension ref="A2:J101"/>
  <sheetViews>
    <sheetView zoomScalePageLayoutView="0" workbookViewId="0" topLeftCell="A85">
      <selection activeCell="G72" sqref="G72"/>
    </sheetView>
  </sheetViews>
  <sheetFormatPr defaultColWidth="8.41015625" defaultRowHeight="18"/>
  <cols>
    <col min="1" max="1" width="8.41015625" style="21" customWidth="1"/>
    <col min="2" max="2" width="29.41015625" style="21" customWidth="1"/>
    <col min="3" max="3" width="8" style="382" customWidth="1"/>
    <col min="4" max="4" width="7.33203125" style="21" customWidth="1"/>
    <col min="5" max="5" width="7.75" style="21" customWidth="1"/>
    <col min="6" max="249" width="7.08203125" style="21" customWidth="1"/>
    <col min="250" max="16384" width="8.41015625" style="21" customWidth="1"/>
  </cols>
  <sheetData>
    <row r="2" spans="1:5" ht="18.75">
      <c r="A2" s="620" t="s">
        <v>1331</v>
      </c>
      <c r="B2" s="620"/>
      <c r="C2" s="620"/>
      <c r="D2" s="620"/>
      <c r="E2" s="620"/>
    </row>
    <row r="3" ht="19.5" thickBot="1">
      <c r="C3" s="243"/>
    </row>
    <row r="4" spans="1:5" ht="19.5" thickBot="1">
      <c r="A4" s="595">
        <v>842155</v>
      </c>
      <c r="B4" s="245" t="s">
        <v>222</v>
      </c>
      <c r="C4" s="421" t="s">
        <v>616</v>
      </c>
      <c r="D4" s="41" t="s">
        <v>626</v>
      </c>
      <c r="E4" s="34">
        <v>2016</v>
      </c>
    </row>
    <row r="5" spans="1:5" ht="19.5" thickBot="1">
      <c r="A5" s="596" t="s">
        <v>1394</v>
      </c>
      <c r="B5" s="210"/>
      <c r="C5" s="295"/>
      <c r="D5" s="34"/>
      <c r="E5" s="34"/>
    </row>
    <row r="6" spans="1:5" ht="18.75">
      <c r="A6" s="249" t="s">
        <v>819</v>
      </c>
      <c r="B6" s="250" t="s">
        <v>1238</v>
      </c>
      <c r="C6" s="376"/>
      <c r="D6" s="565"/>
      <c r="E6" s="565"/>
    </row>
    <row r="7" spans="1:5" ht="18.75">
      <c r="A7" s="253" t="s">
        <v>822</v>
      </c>
      <c r="B7" s="254" t="s">
        <v>821</v>
      </c>
      <c r="C7" s="377"/>
      <c r="D7" s="34"/>
      <c r="E7" s="34"/>
    </row>
    <row r="8" spans="1:5" ht="18.75">
      <c r="A8" s="253" t="s">
        <v>823</v>
      </c>
      <c r="B8" s="254" t="s">
        <v>820</v>
      </c>
      <c r="C8" s="377"/>
      <c r="D8" s="34"/>
      <c r="E8" s="381"/>
    </row>
    <row r="9" spans="1:5" ht="18.75">
      <c r="A9" s="253" t="s">
        <v>825</v>
      </c>
      <c r="B9" s="254" t="s">
        <v>824</v>
      </c>
      <c r="C9" s="377"/>
      <c r="D9" s="34"/>
      <c r="E9" s="34"/>
    </row>
    <row r="10" spans="1:5" ht="18.75">
      <c r="A10" s="253" t="s">
        <v>826</v>
      </c>
      <c r="B10" s="260" t="s">
        <v>1239</v>
      </c>
      <c r="C10" s="377"/>
      <c r="D10" s="34"/>
      <c r="E10" s="34"/>
    </row>
    <row r="11" spans="1:5" ht="18.75">
      <c r="A11" s="253" t="s">
        <v>1233</v>
      </c>
      <c r="B11" s="260" t="s">
        <v>1240</v>
      </c>
      <c r="C11" s="378"/>
      <c r="D11" s="34"/>
      <c r="E11" s="34"/>
    </row>
    <row r="12" spans="1:5" ht="18.75">
      <c r="A12" s="253" t="s">
        <v>1241</v>
      </c>
      <c r="B12" s="262" t="s">
        <v>1234</v>
      </c>
      <c r="C12" s="377"/>
      <c r="D12" s="34"/>
      <c r="E12" s="34"/>
    </row>
    <row r="13" spans="1:5" ht="18.75">
      <c r="A13" s="253" t="s">
        <v>1242</v>
      </c>
      <c r="B13" s="262" t="s">
        <v>1235</v>
      </c>
      <c r="C13" s="377"/>
      <c r="D13" s="34"/>
      <c r="E13" s="34"/>
    </row>
    <row r="14" spans="1:5" ht="18.75">
      <c r="A14" s="253" t="s">
        <v>1243</v>
      </c>
      <c r="B14" s="254" t="s">
        <v>528</v>
      </c>
      <c r="C14" s="377"/>
      <c r="D14" s="34"/>
      <c r="E14" s="34"/>
    </row>
    <row r="15" spans="1:5" ht="18.75">
      <c r="A15" s="253" t="s">
        <v>1244</v>
      </c>
      <c r="B15" s="254" t="s">
        <v>1236</v>
      </c>
      <c r="C15" s="377"/>
      <c r="D15" s="34"/>
      <c r="E15" s="34"/>
    </row>
    <row r="16" spans="1:5" ht="19.5" thickBot="1">
      <c r="A16" s="264" t="s">
        <v>1245</v>
      </c>
      <c r="B16" s="265" t="s">
        <v>791</v>
      </c>
      <c r="C16" s="377"/>
      <c r="D16" s="34"/>
      <c r="E16" s="34"/>
    </row>
    <row r="17" spans="1:5" ht="19.5" thickBot="1">
      <c r="A17" s="568" t="s">
        <v>1327</v>
      </c>
      <c r="B17" s="569" t="s">
        <v>1249</v>
      </c>
      <c r="C17" s="379">
        <f>SUM(C6:C16)</f>
        <v>0</v>
      </c>
      <c r="D17" s="379">
        <f>SUM(D6:D16)</f>
        <v>0</v>
      </c>
      <c r="E17" s="379">
        <f>SUM(E6:E16)</f>
        <v>0</v>
      </c>
    </row>
    <row r="18" spans="1:5" ht="19.5" thickBot="1">
      <c r="A18" s="557" t="s">
        <v>1329</v>
      </c>
      <c r="B18" s="558" t="s">
        <v>1248</v>
      </c>
      <c r="C18" s="377"/>
      <c r="D18" s="34"/>
      <c r="E18" s="34"/>
    </row>
    <row r="19" spans="1:5" ht="19.5" thickBot="1">
      <c r="A19" s="557" t="s">
        <v>1328</v>
      </c>
      <c r="B19" s="558" t="s">
        <v>1246</v>
      </c>
      <c r="C19" s="377"/>
      <c r="D19" s="34"/>
      <c r="E19" s="34"/>
    </row>
    <row r="20" spans="1:5" ht="19.5" thickBot="1">
      <c r="A20" s="557" t="s">
        <v>1253</v>
      </c>
      <c r="B20" s="558" t="s">
        <v>19</v>
      </c>
      <c r="C20" s="377"/>
      <c r="D20" s="34"/>
      <c r="E20" s="34"/>
    </row>
    <row r="21" spans="1:5" ht="19.5" thickBot="1">
      <c r="A21" s="557" t="s">
        <v>1254</v>
      </c>
      <c r="B21" s="558" t="s">
        <v>889</v>
      </c>
      <c r="C21" s="377"/>
      <c r="D21" s="34"/>
      <c r="E21" s="34"/>
    </row>
    <row r="22" spans="1:5" ht="19.5" thickBot="1">
      <c r="A22" s="568" t="s">
        <v>1330</v>
      </c>
      <c r="B22" s="569" t="s">
        <v>1247</v>
      </c>
      <c r="C22" s="377">
        <f>SUM(C18:C21)</f>
        <v>0</v>
      </c>
      <c r="D22" s="377">
        <f>SUM(D18:D21)</f>
        <v>0</v>
      </c>
      <c r="E22" s="377">
        <f>SUM(E18:E21)</f>
        <v>0</v>
      </c>
    </row>
    <row r="23" spans="1:5" ht="27" customHeight="1" thickBot="1">
      <c r="A23" s="268" t="s">
        <v>1250</v>
      </c>
      <c r="B23" s="269" t="s">
        <v>1237</v>
      </c>
      <c r="C23" s="379">
        <f>SUM(C22,C17)</f>
        <v>0</v>
      </c>
      <c r="D23" s="379">
        <f>SUM(D22,D17)</f>
        <v>0</v>
      </c>
      <c r="E23" s="379">
        <f>SUM(E22,E17)</f>
        <v>0</v>
      </c>
    </row>
    <row r="24" spans="1:5" ht="19.5" thickBot="1">
      <c r="A24" s="270"/>
      <c r="B24" s="271"/>
      <c r="C24" s="377"/>
      <c r="D24" s="34"/>
      <c r="E24" s="34"/>
    </row>
    <row r="25" spans="1:5" ht="18.75">
      <c r="A25" s="272" t="s">
        <v>1255</v>
      </c>
      <c r="B25" s="97" t="s">
        <v>590</v>
      </c>
      <c r="C25" s="275"/>
      <c r="D25" s="44"/>
      <c r="E25" s="34"/>
    </row>
    <row r="26" spans="1:5" ht="18.75">
      <c r="A26" s="559" t="s">
        <v>1256</v>
      </c>
      <c r="B26" s="97" t="s">
        <v>1251</v>
      </c>
      <c r="C26" s="275"/>
      <c r="D26" s="44"/>
      <c r="E26" s="34"/>
    </row>
    <row r="27" spans="1:5" ht="18.75">
      <c r="A27" s="276" t="s">
        <v>1252</v>
      </c>
      <c r="B27" s="255" t="s">
        <v>4</v>
      </c>
      <c r="C27" s="378"/>
      <c r="D27" s="34"/>
      <c r="E27" s="34"/>
    </row>
    <row r="28" spans="1:5" ht="19.5" thickBot="1">
      <c r="A28" s="462" t="s">
        <v>1257</v>
      </c>
      <c r="B28" s="255" t="s">
        <v>635</v>
      </c>
      <c r="C28" s="378"/>
      <c r="D28" s="34"/>
      <c r="E28" s="34"/>
    </row>
    <row r="29" spans="1:5" ht="19.5" thickBot="1">
      <c r="A29" s="582" t="s">
        <v>1258</v>
      </c>
      <c r="B29" s="583" t="s">
        <v>69</v>
      </c>
      <c r="C29" s="378">
        <f>SUM(C25:C28)</f>
        <v>0</v>
      </c>
      <c r="D29" s="378">
        <f>SUM(D25:D28)</f>
        <v>0</v>
      </c>
      <c r="E29" s="378">
        <f>SUM(E25:E28)</f>
        <v>0</v>
      </c>
    </row>
    <row r="30" spans="1:5" ht="19.5" thickBot="1">
      <c r="A30" s="282"/>
      <c r="B30" s="283"/>
      <c r="C30" s="377"/>
      <c r="D30" s="34"/>
      <c r="E30" s="34"/>
    </row>
    <row r="31" spans="1:5" ht="18.75">
      <c r="A31" s="249" t="s">
        <v>1259</v>
      </c>
      <c r="B31" s="291" t="s">
        <v>533</v>
      </c>
      <c r="C31" s="377"/>
      <c r="D31" s="34"/>
      <c r="E31" s="34"/>
    </row>
    <row r="32" spans="1:5" ht="18.75">
      <c r="A32" s="253" t="s">
        <v>1260</v>
      </c>
      <c r="B32" s="254" t="s">
        <v>534</v>
      </c>
      <c r="C32" s="377"/>
      <c r="D32" s="41"/>
      <c r="E32" s="34"/>
    </row>
    <row r="33" spans="1:5" ht="18.75">
      <c r="A33" s="253" t="s">
        <v>1262</v>
      </c>
      <c r="B33" s="254" t="s">
        <v>1261</v>
      </c>
      <c r="C33" s="377"/>
      <c r="D33" s="41"/>
      <c r="E33" s="34"/>
    </row>
    <row r="34" spans="1:5" ht="18.75">
      <c r="A34" s="253" t="s">
        <v>1263</v>
      </c>
      <c r="B34" s="254" t="s">
        <v>124</v>
      </c>
      <c r="C34" s="377"/>
      <c r="D34" s="41"/>
      <c r="E34" s="34"/>
    </row>
    <row r="35" spans="1:5" ht="18.75">
      <c r="A35" s="253" t="s">
        <v>1264</v>
      </c>
      <c r="B35" s="254" t="s">
        <v>1265</v>
      </c>
      <c r="C35" s="570"/>
      <c r="D35" s="41"/>
      <c r="E35" s="34"/>
    </row>
    <row r="36" spans="1:5" ht="18.75">
      <c r="A36" s="253" t="s">
        <v>1335</v>
      </c>
      <c r="B36" s="562" t="s">
        <v>548</v>
      </c>
      <c r="C36" s="570">
        <f>SUM(C31:C35)</f>
        <v>0</v>
      </c>
      <c r="D36" s="570">
        <f>SUM(D31:D35)</f>
        <v>0</v>
      </c>
      <c r="E36" s="570">
        <f>SUM(E31:E35)</f>
        <v>0</v>
      </c>
    </row>
    <row r="37" spans="1:5" ht="18.75">
      <c r="A37" s="253" t="s">
        <v>1342</v>
      </c>
      <c r="B37" s="254" t="s">
        <v>1343</v>
      </c>
      <c r="C37" s="570"/>
      <c r="D37" s="570"/>
      <c r="E37" s="570"/>
    </row>
    <row r="38" spans="1:5" ht="18.75">
      <c r="A38" s="253" t="s">
        <v>1344</v>
      </c>
      <c r="B38" s="254" t="s">
        <v>1267</v>
      </c>
      <c r="C38" s="570"/>
      <c r="D38" s="34"/>
      <c r="E38" s="34"/>
    </row>
    <row r="39" spans="1:5" ht="18.75">
      <c r="A39" s="253" t="s">
        <v>1345</v>
      </c>
      <c r="B39" s="254" t="s">
        <v>88</v>
      </c>
      <c r="C39" s="570"/>
      <c r="D39" s="34"/>
      <c r="E39" s="34"/>
    </row>
    <row r="40" spans="1:5" ht="18.75">
      <c r="A40" s="253" t="s">
        <v>1346</v>
      </c>
      <c r="B40" s="254" t="s">
        <v>1268</v>
      </c>
      <c r="C40" s="377"/>
      <c r="D40" s="34"/>
      <c r="E40" s="34"/>
    </row>
    <row r="41" spans="1:5" ht="19.5" thickBot="1">
      <c r="A41" s="288" t="s">
        <v>1347</v>
      </c>
      <c r="B41" s="289" t="s">
        <v>1269</v>
      </c>
      <c r="C41" s="377"/>
      <c r="D41" s="34"/>
      <c r="E41" s="34"/>
    </row>
    <row r="42" spans="1:5" ht="17.25" customHeight="1" thickBot="1">
      <c r="A42" s="268" t="s">
        <v>1266</v>
      </c>
      <c r="B42" s="571" t="s">
        <v>1270</v>
      </c>
      <c r="C42" s="377">
        <f>SUM(C37:C41)</f>
        <v>0</v>
      </c>
      <c r="D42" s="377">
        <f>SUM(D38:D41)</f>
        <v>0</v>
      </c>
      <c r="E42" s="377">
        <f>SUM(E38:E41)</f>
        <v>0</v>
      </c>
    </row>
    <row r="43" spans="1:5" ht="22.5" customHeight="1" thickBot="1">
      <c r="A43" s="572" t="s">
        <v>1300</v>
      </c>
      <c r="B43" s="573" t="s">
        <v>595</v>
      </c>
      <c r="C43" s="574">
        <f>SUM(C42,C36)</f>
        <v>0</v>
      </c>
      <c r="D43" s="574">
        <f>SUM(D42,D36)</f>
        <v>0</v>
      </c>
      <c r="E43" s="574">
        <f>SUM(E42,E36)</f>
        <v>0</v>
      </c>
    </row>
    <row r="44" spans="1:5" ht="18.75">
      <c r="A44" s="249" t="s">
        <v>1271</v>
      </c>
      <c r="B44" s="291" t="s">
        <v>1348</v>
      </c>
      <c r="C44" s="377"/>
      <c r="D44" s="34"/>
      <c r="E44" s="34"/>
    </row>
    <row r="45" spans="1:5" ht="18.75">
      <c r="A45" s="494" t="s">
        <v>1350</v>
      </c>
      <c r="B45" s="590" t="s">
        <v>1351</v>
      </c>
      <c r="C45" s="377"/>
      <c r="D45" s="34"/>
      <c r="E45" s="34"/>
    </row>
    <row r="46" spans="1:5" ht="18.75">
      <c r="A46" s="253" t="s">
        <v>1272</v>
      </c>
      <c r="B46" s="254" t="s">
        <v>1349</v>
      </c>
      <c r="C46" s="295"/>
      <c r="D46" s="566"/>
      <c r="E46" s="34"/>
    </row>
    <row r="47" spans="1:5" ht="18.75">
      <c r="A47" s="575" t="s">
        <v>1301</v>
      </c>
      <c r="B47" s="576" t="s">
        <v>1366</v>
      </c>
      <c r="C47" s="577">
        <f>SUM(C44:C46)</f>
        <v>0</v>
      </c>
      <c r="D47" s="577">
        <f>SUM(D44:D46)</f>
        <v>0</v>
      </c>
      <c r="E47" s="577">
        <f>SUM(E44:E46)</f>
        <v>0</v>
      </c>
    </row>
    <row r="48" spans="1:5" ht="18.75">
      <c r="A48" s="253" t="s">
        <v>1275</v>
      </c>
      <c r="B48" s="254" t="s">
        <v>544</v>
      </c>
      <c r="C48" s="295"/>
      <c r="D48" s="566"/>
      <c r="E48" s="34"/>
    </row>
    <row r="49" spans="1:5" ht="18.75">
      <c r="A49" s="253" t="s">
        <v>1274</v>
      </c>
      <c r="B49" s="254" t="s">
        <v>543</v>
      </c>
      <c r="C49" s="295"/>
      <c r="D49" s="34"/>
      <c r="E49" s="34"/>
    </row>
    <row r="50" spans="1:5" ht="18.75">
      <c r="A50" s="253" t="s">
        <v>1276</v>
      </c>
      <c r="B50" s="254" t="s">
        <v>503</v>
      </c>
      <c r="C50" s="295"/>
      <c r="D50" s="34"/>
      <c r="E50" s="34"/>
    </row>
    <row r="51" spans="1:5" ht="18.75">
      <c r="A51" s="575" t="s">
        <v>1273</v>
      </c>
      <c r="B51" s="576" t="s">
        <v>1277</v>
      </c>
      <c r="C51" s="577">
        <f>SUM(C48:C50)</f>
        <v>0</v>
      </c>
      <c r="D51" s="577">
        <f>SUM(D48:D50)</f>
        <v>0</v>
      </c>
      <c r="E51" s="577">
        <f>SUM(E48:E50)</f>
        <v>0</v>
      </c>
    </row>
    <row r="52" spans="1:5" ht="18.75">
      <c r="A52" s="253" t="s">
        <v>1332</v>
      </c>
      <c r="B52" s="254" t="s">
        <v>1278</v>
      </c>
      <c r="C52" s="295"/>
      <c r="D52" s="34"/>
      <c r="E52" s="34"/>
    </row>
    <row r="53" spans="1:5" ht="18.75">
      <c r="A53" s="253" t="s">
        <v>1280</v>
      </c>
      <c r="B53" s="254" t="s">
        <v>26</v>
      </c>
      <c r="C53" s="295"/>
      <c r="D53" s="41"/>
      <c r="E53" s="34"/>
    </row>
    <row r="54" spans="1:5" ht="18.75">
      <c r="A54" s="253" t="s">
        <v>1281</v>
      </c>
      <c r="B54" s="254" t="s">
        <v>1352</v>
      </c>
      <c r="C54" s="377"/>
      <c r="D54" s="34"/>
      <c r="E54" s="34"/>
    </row>
    <row r="55" spans="1:5" ht="18.75">
      <c r="A55" s="575" t="s">
        <v>1283</v>
      </c>
      <c r="B55" s="576" t="s">
        <v>1282</v>
      </c>
      <c r="C55" s="574">
        <f>SUM(C53:C54)</f>
        <v>0</v>
      </c>
      <c r="D55" s="574">
        <f>SUM(D53:D54)</f>
        <v>0</v>
      </c>
      <c r="E55" s="574">
        <f>SUM(E53:E54)</f>
        <v>0</v>
      </c>
    </row>
    <row r="56" spans="1:5" ht="18.75">
      <c r="A56" s="575" t="s">
        <v>1284</v>
      </c>
      <c r="B56" s="588" t="s">
        <v>1333</v>
      </c>
      <c r="C56" s="589"/>
      <c r="D56" s="589"/>
      <c r="E56" s="589"/>
    </row>
    <row r="57" spans="1:5" ht="18.75">
      <c r="A57" s="288"/>
      <c r="B57" s="554" t="s">
        <v>943</v>
      </c>
      <c r="C57" s="554"/>
      <c r="D57" s="554"/>
      <c r="E57" s="554"/>
    </row>
    <row r="58" spans="1:5" ht="18.75">
      <c r="A58" s="288" t="s">
        <v>1353</v>
      </c>
      <c r="B58" s="554" t="s">
        <v>547</v>
      </c>
      <c r="C58" s="554">
        <v>500</v>
      </c>
      <c r="D58" s="554">
        <v>811</v>
      </c>
      <c r="E58" s="554">
        <v>500</v>
      </c>
    </row>
    <row r="59" spans="1:5" ht="18.75">
      <c r="A59" s="288" t="s">
        <v>1354</v>
      </c>
      <c r="B59" s="554" t="s">
        <v>1355</v>
      </c>
      <c r="C59" s="554"/>
      <c r="D59" s="554"/>
      <c r="E59" s="554"/>
    </row>
    <row r="60" spans="1:5" ht="27" customHeight="1">
      <c r="A60" s="561" t="s">
        <v>1285</v>
      </c>
      <c r="B60" s="552" t="s">
        <v>945</v>
      </c>
      <c r="C60" s="591">
        <f>SUM(C58:C59)</f>
        <v>500</v>
      </c>
      <c r="D60" s="591">
        <f>SUM(D58:D59)</f>
        <v>811</v>
      </c>
      <c r="E60" s="591">
        <f>SUM(E58:E59)</f>
        <v>500</v>
      </c>
    </row>
    <row r="61" spans="1:5" ht="23.25" customHeight="1">
      <c r="A61" s="462" t="s">
        <v>1356</v>
      </c>
      <c r="B61" s="553" t="s">
        <v>1362</v>
      </c>
      <c r="C61" s="591"/>
      <c r="D61" s="591"/>
      <c r="E61" s="591"/>
    </row>
    <row r="62" spans="1:5" ht="23.25" customHeight="1">
      <c r="A62" s="462" t="s">
        <v>1357</v>
      </c>
      <c r="B62" s="553" t="s">
        <v>1358</v>
      </c>
      <c r="C62" s="591"/>
      <c r="D62" s="591"/>
      <c r="E62" s="591"/>
    </row>
    <row r="63" spans="1:5" ht="23.25" customHeight="1">
      <c r="A63" s="462" t="s">
        <v>1359</v>
      </c>
      <c r="B63" s="553" t="s">
        <v>9</v>
      </c>
      <c r="C63" s="591"/>
      <c r="D63" s="591"/>
      <c r="E63" s="591"/>
    </row>
    <row r="64" spans="1:6" ht="23.25" customHeight="1" thickBot="1">
      <c r="A64" s="462" t="s">
        <v>1360</v>
      </c>
      <c r="B64" s="553" t="s">
        <v>1361</v>
      </c>
      <c r="C64" s="591"/>
      <c r="D64" s="591"/>
      <c r="E64" s="591"/>
      <c r="F64" s="21" t="s">
        <v>1368</v>
      </c>
    </row>
    <row r="65" spans="1:5" ht="17.25" customHeight="1" thickBot="1">
      <c r="A65" s="298" t="s">
        <v>1286</v>
      </c>
      <c r="B65" s="552" t="s">
        <v>948</v>
      </c>
      <c r="C65" s="591">
        <f>SUM(C61:C64)</f>
        <v>0</v>
      </c>
      <c r="D65" s="591">
        <f>SUM(D61:D64)</f>
        <v>0</v>
      </c>
      <c r="E65" s="591">
        <f>SUM(E61:E64)</f>
        <v>0</v>
      </c>
    </row>
    <row r="66" spans="1:5" ht="25.5" customHeight="1">
      <c r="A66" s="578" t="s">
        <v>1279</v>
      </c>
      <c r="B66" s="579" t="s">
        <v>1287</v>
      </c>
      <c r="C66" s="579">
        <f>SUM(C65+C60+C56+C55+C52)</f>
        <v>500</v>
      </c>
      <c r="D66" s="579">
        <f>SUM(D65+D60+D56+D55+D52)</f>
        <v>811</v>
      </c>
      <c r="E66" s="579">
        <f>SUM(E65+E60+E56+E55+E52)</f>
        <v>500</v>
      </c>
    </row>
    <row r="67" spans="1:5" ht="18.75">
      <c r="A67" s="253" t="s">
        <v>1288</v>
      </c>
      <c r="B67" s="553" t="s">
        <v>952</v>
      </c>
      <c r="C67" s="553"/>
      <c r="D67" s="553"/>
      <c r="E67" s="553"/>
    </row>
    <row r="68" spans="1:5" ht="18.75">
      <c r="A68" s="253" t="s">
        <v>1289</v>
      </c>
      <c r="B68" s="553" t="s">
        <v>954</v>
      </c>
      <c r="C68" s="553"/>
      <c r="D68" s="553"/>
      <c r="E68" s="553"/>
    </row>
    <row r="69" spans="1:5" ht="24" customHeight="1">
      <c r="A69" s="575" t="s">
        <v>1291</v>
      </c>
      <c r="B69" s="579" t="s">
        <v>1290</v>
      </c>
      <c r="C69" s="579">
        <f>SUM(C67:C68)</f>
        <v>0</v>
      </c>
      <c r="D69" s="579">
        <f>SUM(D67:D68)</f>
        <v>0</v>
      </c>
      <c r="E69" s="579">
        <f>SUM(E67:E68)</f>
        <v>0</v>
      </c>
    </row>
    <row r="70" spans="1:7" ht="26.25" customHeight="1" thickBot="1">
      <c r="A70" s="561" t="s">
        <v>1294</v>
      </c>
      <c r="B70" s="552" t="s">
        <v>958</v>
      </c>
      <c r="C70" s="552">
        <v>135</v>
      </c>
      <c r="D70" s="552">
        <v>126</v>
      </c>
      <c r="E70" s="552">
        <v>135</v>
      </c>
      <c r="F70" s="21">
        <f>E66</f>
        <v>500</v>
      </c>
      <c r="G70" s="21">
        <f>F70*27%</f>
        <v>135</v>
      </c>
    </row>
    <row r="71" spans="1:5" ht="27" customHeight="1" thickBot="1">
      <c r="A71" s="268" t="s">
        <v>1295</v>
      </c>
      <c r="B71" s="552" t="s">
        <v>960</v>
      </c>
      <c r="C71" s="552"/>
      <c r="D71" s="552"/>
      <c r="E71" s="552"/>
    </row>
    <row r="72" spans="1:5" ht="19.5" thickBot="1">
      <c r="A72" s="210" t="s">
        <v>1296</v>
      </c>
      <c r="B72" s="552" t="s">
        <v>1293</v>
      </c>
      <c r="C72" s="552"/>
      <c r="D72" s="552"/>
      <c r="E72" s="552"/>
    </row>
    <row r="73" spans="1:5" ht="24.75" customHeight="1">
      <c r="A73" s="593" t="s">
        <v>1298</v>
      </c>
      <c r="B73" s="594" t="s">
        <v>1363</v>
      </c>
      <c r="C73" s="594"/>
      <c r="D73" s="552"/>
      <c r="E73" s="552"/>
    </row>
    <row r="74" spans="1:6" ht="24.75" customHeight="1">
      <c r="A74" s="592" t="s">
        <v>1364</v>
      </c>
      <c r="B74" s="563" t="s">
        <v>1365</v>
      </c>
      <c r="C74" s="563"/>
      <c r="D74" s="553"/>
      <c r="E74" s="553"/>
      <c r="F74" s="21" t="s">
        <v>1369</v>
      </c>
    </row>
    <row r="75" spans="1:5" ht="24.75" customHeight="1">
      <c r="A75" s="592" t="s">
        <v>1370</v>
      </c>
      <c r="B75" s="563" t="s">
        <v>1367</v>
      </c>
      <c r="C75" s="563"/>
      <c r="D75" s="553"/>
      <c r="E75" s="553"/>
    </row>
    <row r="76" spans="1:5" ht="18.75">
      <c r="A76" s="98" t="s">
        <v>1297</v>
      </c>
      <c r="B76" s="552" t="s">
        <v>970</v>
      </c>
      <c r="C76" s="552">
        <f>SUM(C74:C75)</f>
        <v>0</v>
      </c>
      <c r="D76" s="552">
        <f>SUM(D74:D75)</f>
        <v>0</v>
      </c>
      <c r="E76" s="552">
        <f>SUM(E74:E75)</f>
        <v>0</v>
      </c>
    </row>
    <row r="77" spans="1:5" ht="24.75" customHeight="1">
      <c r="A77" s="580" t="s">
        <v>1292</v>
      </c>
      <c r="B77" s="579" t="s">
        <v>1334</v>
      </c>
      <c r="C77" s="579">
        <f>C76+C73+C72+C71+C70</f>
        <v>135</v>
      </c>
      <c r="D77" s="579">
        <f>D76+D73+D72+D71+D70</f>
        <v>126</v>
      </c>
      <c r="E77" s="579">
        <f>E76+E73+E72+E71+E70</f>
        <v>135</v>
      </c>
    </row>
    <row r="78" spans="1:10" ht="24.75" customHeight="1">
      <c r="A78" s="587" t="s">
        <v>1299</v>
      </c>
      <c r="B78" s="585" t="s">
        <v>70</v>
      </c>
      <c r="C78" s="579">
        <f>SUM(C77+C69+C66+C47+C43)</f>
        <v>635</v>
      </c>
      <c r="D78" s="579">
        <f>SUM(D77+D69+D66+D47+D43)</f>
        <v>937</v>
      </c>
      <c r="E78" s="579">
        <f>SUM(E77+E69+E66+E47+E43)</f>
        <v>635</v>
      </c>
      <c r="F78" s="560"/>
      <c r="G78" s="560"/>
      <c r="H78" s="560"/>
      <c r="I78" s="560"/>
      <c r="J78" s="560"/>
    </row>
    <row r="79" spans="1:10" ht="24.75" customHeight="1">
      <c r="A79" s="98" t="s">
        <v>1307</v>
      </c>
      <c r="B79" s="553" t="s">
        <v>1302</v>
      </c>
      <c r="C79" s="552"/>
      <c r="D79" s="552"/>
      <c r="E79" s="552"/>
      <c r="F79" s="560"/>
      <c r="G79" s="560"/>
      <c r="H79" s="560"/>
      <c r="I79" s="560"/>
      <c r="J79" s="560"/>
    </row>
    <row r="80" spans="1:10" ht="24.75" customHeight="1">
      <c r="A80" s="98" t="s">
        <v>1306</v>
      </c>
      <c r="B80" s="553" t="s">
        <v>1308</v>
      </c>
      <c r="C80" s="552"/>
      <c r="D80" s="552"/>
      <c r="E80" s="552"/>
      <c r="F80" s="560"/>
      <c r="G80" s="560"/>
      <c r="H80" s="560"/>
      <c r="I80" s="560"/>
      <c r="J80" s="560"/>
    </row>
    <row r="81" spans="1:10" ht="24.75" customHeight="1">
      <c r="A81" s="98"/>
      <c r="B81" s="97" t="s">
        <v>1304</v>
      </c>
      <c r="C81" s="552"/>
      <c r="D81" s="552"/>
      <c r="E81" s="552"/>
      <c r="F81" s="560"/>
      <c r="G81" s="560"/>
      <c r="H81" s="560"/>
      <c r="I81" s="560"/>
      <c r="J81" s="560"/>
    </row>
    <row r="82" spans="1:5" ht="18.75">
      <c r="A82" s="98"/>
      <c r="B82" s="97" t="s">
        <v>1303</v>
      </c>
      <c r="C82" s="377"/>
      <c r="D82" s="34"/>
      <c r="E82" s="34"/>
    </row>
    <row r="83" spans="1:5" ht="18.75">
      <c r="A83" s="98"/>
      <c r="B83" s="567" t="s">
        <v>1305</v>
      </c>
      <c r="C83" s="377"/>
      <c r="D83" s="34"/>
      <c r="E83" s="34"/>
    </row>
    <row r="84" spans="1:5" ht="25.5">
      <c r="A84" s="580" t="s">
        <v>1341</v>
      </c>
      <c r="B84" s="579" t="s">
        <v>1337</v>
      </c>
      <c r="C84" s="377">
        <f>SUM(C80:C83)</f>
        <v>0</v>
      </c>
      <c r="D84" s="377">
        <f>SUM(D80:D83)</f>
        <v>0</v>
      </c>
      <c r="E84" s="377">
        <f>SUM(E80:E83)</f>
        <v>0</v>
      </c>
    </row>
    <row r="85" spans="1:5" s="564" customFormat="1" ht="18.75">
      <c r="A85" s="587" t="s">
        <v>1336</v>
      </c>
      <c r="B85" s="587" t="s">
        <v>1340</v>
      </c>
      <c r="C85" s="574">
        <f>SUM(C79+C84)</f>
        <v>0</v>
      </c>
      <c r="D85" s="574">
        <f>SUM(D79+D84)</f>
        <v>0</v>
      </c>
      <c r="E85" s="574">
        <f>SUM(E79+E84)</f>
        <v>0</v>
      </c>
    </row>
    <row r="86" spans="1:5" ht="18.75">
      <c r="A86" s="97" t="s">
        <v>1309</v>
      </c>
      <c r="B86" s="553" t="s">
        <v>1113</v>
      </c>
      <c r="C86" s="553"/>
      <c r="D86" s="553"/>
      <c r="E86" s="553"/>
    </row>
    <row r="87" spans="1:5" s="382" customFormat="1" ht="15">
      <c r="A87" s="97" t="s">
        <v>1310</v>
      </c>
      <c r="B87" s="553" t="s">
        <v>1371</v>
      </c>
      <c r="C87" s="553"/>
      <c r="D87" s="553"/>
      <c r="E87" s="553"/>
    </row>
    <row r="88" spans="1:5" ht="18.75">
      <c r="A88" s="172" t="s">
        <v>1311</v>
      </c>
      <c r="B88" s="553" t="s">
        <v>1117</v>
      </c>
      <c r="C88" s="553"/>
      <c r="D88" s="553"/>
      <c r="E88" s="553"/>
    </row>
    <row r="89" spans="1:5" ht="24" customHeight="1">
      <c r="A89" s="172" t="s">
        <v>1312</v>
      </c>
      <c r="B89" s="553" t="s">
        <v>1118</v>
      </c>
      <c r="C89" s="553"/>
      <c r="D89" s="553"/>
      <c r="E89" s="553"/>
    </row>
    <row r="90" spans="1:5" ht="26.25" customHeight="1">
      <c r="A90" s="172" t="s">
        <v>1313</v>
      </c>
      <c r="B90" s="553" t="s">
        <v>1120</v>
      </c>
      <c r="C90" s="553"/>
      <c r="D90" s="553"/>
      <c r="E90" s="553"/>
    </row>
    <row r="91" spans="1:5" ht="25.5" customHeight="1">
      <c r="A91" s="172" t="s">
        <v>1314</v>
      </c>
      <c r="B91" s="553" t="s">
        <v>1126</v>
      </c>
      <c r="C91" s="553"/>
      <c r="D91" s="553"/>
      <c r="E91" s="553"/>
    </row>
    <row r="92" spans="1:5" ht="18.75">
      <c r="A92" s="584" t="s">
        <v>1315</v>
      </c>
      <c r="B92" s="585" t="s">
        <v>1339</v>
      </c>
      <c r="C92" s="552">
        <f>SUM(C86:C91)</f>
        <v>0</v>
      </c>
      <c r="D92" s="552">
        <f>SUM(D86:D91)</f>
        <v>0</v>
      </c>
      <c r="E92" s="552">
        <f>SUM(E86:E91)</f>
        <v>0</v>
      </c>
    </row>
    <row r="93" spans="1:5" ht="18.75">
      <c r="A93" s="172" t="s">
        <v>1316</v>
      </c>
      <c r="B93" s="553" t="s">
        <v>1130</v>
      </c>
      <c r="C93" s="553"/>
      <c r="D93" s="553"/>
      <c r="E93" s="553"/>
    </row>
    <row r="94" spans="1:5" ht="18.75">
      <c r="A94" s="172" t="s">
        <v>1317</v>
      </c>
      <c r="B94" s="553" t="s">
        <v>1132</v>
      </c>
      <c r="C94" s="553"/>
      <c r="D94" s="553"/>
      <c r="E94" s="553"/>
    </row>
    <row r="95" spans="1:5" ht="18.75">
      <c r="A95" s="172" t="s">
        <v>1318</v>
      </c>
      <c r="B95" s="553" t="s">
        <v>1134</v>
      </c>
      <c r="C95" s="553"/>
      <c r="D95" s="553"/>
      <c r="E95" s="553"/>
    </row>
    <row r="96" spans="1:5" ht="24" customHeight="1">
      <c r="A96" s="172" t="s">
        <v>1319</v>
      </c>
      <c r="B96" s="553" t="s">
        <v>1136</v>
      </c>
      <c r="C96" s="553"/>
      <c r="D96" s="553"/>
      <c r="E96" s="553"/>
    </row>
    <row r="97" spans="1:5" ht="18.75">
      <c r="A97" s="584" t="s">
        <v>1320</v>
      </c>
      <c r="B97" s="585" t="s">
        <v>1338</v>
      </c>
      <c r="C97" s="552">
        <f>SUM(C93:C96)</f>
        <v>0</v>
      </c>
      <c r="D97" s="552">
        <f>SUM(D93:D96)</f>
        <v>0</v>
      </c>
      <c r="E97" s="552">
        <f>SUM(E93:E96)</f>
        <v>0</v>
      </c>
    </row>
    <row r="98" spans="1:5" ht="25.5" customHeight="1">
      <c r="A98" s="172" t="s">
        <v>1323</v>
      </c>
      <c r="B98" s="555" t="s">
        <v>1325</v>
      </c>
      <c r="C98" s="555"/>
      <c r="D98" s="555"/>
      <c r="E98" s="555"/>
    </row>
    <row r="99" spans="1:5" ht="27" customHeight="1">
      <c r="A99" s="457" t="s">
        <v>1322</v>
      </c>
      <c r="B99" s="553" t="s">
        <v>1321</v>
      </c>
      <c r="C99" s="553"/>
      <c r="D99" s="553"/>
      <c r="E99" s="553"/>
    </row>
    <row r="100" spans="1:5" ht="18.75">
      <c r="A100" s="584" t="s">
        <v>1326</v>
      </c>
      <c r="B100" s="586" t="s">
        <v>1324</v>
      </c>
      <c r="C100" s="295">
        <f>SUM(C98:C99)</f>
        <v>0</v>
      </c>
      <c r="D100" s="295">
        <f>SUM(D98:D99)</f>
        <v>0</v>
      </c>
      <c r="E100" s="295">
        <f>SUM(E98:E99)</f>
        <v>0</v>
      </c>
    </row>
    <row r="101" spans="1:5" ht="18.75">
      <c r="A101" s="34"/>
      <c r="B101" s="36" t="s">
        <v>118</v>
      </c>
      <c r="C101" s="581">
        <f>SUM(C100+C97+C92+C85+C78+C29+C23)</f>
        <v>635</v>
      </c>
      <c r="D101" s="581">
        <f>SUM(D100+D97+D92+D85+D78+D29+D23)</f>
        <v>937</v>
      </c>
      <c r="E101" s="581">
        <f>SUM(E100+E97+E92+E85+E78+E29+E23)</f>
        <v>635</v>
      </c>
    </row>
  </sheetData>
  <sheetProtection/>
  <mergeCells count="1">
    <mergeCell ref="A2:E2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O88"/>
  <sheetViews>
    <sheetView view="pageBreakPreview" zoomScale="80" zoomScaleSheetLayoutView="80" zoomScalePageLayoutView="0" workbookViewId="0" topLeftCell="A1">
      <selection activeCell="F25" sqref="F25"/>
    </sheetView>
  </sheetViews>
  <sheetFormatPr defaultColWidth="8.66015625" defaultRowHeight="18"/>
  <cols>
    <col min="1" max="1" width="6.25" style="200" customWidth="1"/>
    <col min="2" max="2" width="22.33203125" style="200" customWidth="1"/>
    <col min="3" max="3" width="7.75" style="0" customWidth="1"/>
    <col min="4" max="4" width="8.75" style="0" customWidth="1"/>
    <col min="5" max="5" width="10.91015625" style="237" customWidth="1"/>
    <col min="6" max="6" width="9.33203125" style="0" customWidth="1"/>
    <col min="8" max="8" width="34.33203125" style="0" customWidth="1"/>
  </cols>
  <sheetData>
    <row r="1" spans="1:4" ht="18.75">
      <c r="A1" s="202"/>
      <c r="B1" s="202" t="s">
        <v>490</v>
      </c>
      <c r="C1" s="41"/>
      <c r="D1" s="206"/>
    </row>
    <row r="2" spans="1:4" s="217" customFormat="1" ht="12.75">
      <c r="A2" s="728" t="s">
        <v>489</v>
      </c>
      <c r="B2" s="728" t="s">
        <v>164</v>
      </c>
      <c r="C2" s="389"/>
      <c r="D2" s="414"/>
    </row>
    <row r="3" spans="1:6" s="217" customFormat="1" ht="13.5" customHeight="1">
      <c r="A3" s="728"/>
      <c r="B3" s="728"/>
      <c r="C3" s="219" t="s">
        <v>281</v>
      </c>
      <c r="D3" s="390" t="s">
        <v>614</v>
      </c>
      <c r="E3" s="455" t="s">
        <v>626</v>
      </c>
      <c r="F3" s="456" t="s">
        <v>616</v>
      </c>
    </row>
    <row r="4" spans="1:6" s="217" customFormat="1" ht="12.75">
      <c r="A4" s="728"/>
      <c r="B4" s="728"/>
      <c r="C4" s="219"/>
      <c r="D4" s="219"/>
      <c r="E4" s="455"/>
      <c r="F4" s="455"/>
    </row>
    <row r="5" spans="1:6" s="217" customFormat="1" ht="12.75">
      <c r="A5" s="689"/>
      <c r="B5" s="689"/>
      <c r="C5" s="218"/>
      <c r="D5" s="218"/>
      <c r="E5" s="455"/>
      <c r="F5" s="455"/>
    </row>
    <row r="6" spans="1:8" s="211" customFormat="1" ht="18.75">
      <c r="A6" s="215">
        <v>511112</v>
      </c>
      <c r="B6" s="391" t="s">
        <v>488</v>
      </c>
      <c r="C6" s="213">
        <v>1296</v>
      </c>
      <c r="D6" s="213">
        <f>'[3]GEVSZ'!$P$19/1000</f>
        <v>1412</v>
      </c>
      <c r="E6" s="457"/>
      <c r="F6" s="458">
        <v>2403</v>
      </c>
      <c r="H6" s="211" t="s">
        <v>749</v>
      </c>
    </row>
    <row r="7" spans="1:6" s="211" customFormat="1" ht="18.75">
      <c r="A7" s="215">
        <v>511115</v>
      </c>
      <c r="B7" s="214" t="s">
        <v>487</v>
      </c>
      <c r="C7" s="213"/>
      <c r="D7" s="213"/>
      <c r="E7" s="457"/>
      <c r="F7" s="458"/>
    </row>
    <row r="8" spans="1:6" s="211" customFormat="1" ht="18.75">
      <c r="A8" s="215">
        <v>511152</v>
      </c>
      <c r="B8" s="214"/>
      <c r="C8" s="213"/>
      <c r="D8" s="213"/>
      <c r="E8" s="457"/>
      <c r="F8" s="458"/>
    </row>
    <row r="9" spans="1:6" s="208" customFormat="1" ht="12.75">
      <c r="A9" s="723" t="s">
        <v>486</v>
      </c>
      <c r="B9" s="723"/>
      <c r="C9" s="213">
        <f>SUM(C6:C8)</f>
        <v>1296</v>
      </c>
      <c r="D9" s="213">
        <f>SUM(D6:D8)</f>
        <v>1412</v>
      </c>
      <c r="E9" s="213">
        <f>SUM(E6:E8)</f>
        <v>0</v>
      </c>
      <c r="F9" s="213">
        <f>SUM(F6:F8)</f>
        <v>2403</v>
      </c>
    </row>
    <row r="10" spans="1:6" s="211" customFormat="1" ht="18.75">
      <c r="A10" s="215">
        <v>512132</v>
      </c>
      <c r="B10" s="214" t="s">
        <v>485</v>
      </c>
      <c r="C10" s="213"/>
      <c r="D10" s="213"/>
      <c r="E10" s="457"/>
      <c r="F10" s="458"/>
    </row>
    <row r="11" spans="1:6" s="211" customFormat="1" ht="18.75">
      <c r="A11" s="215">
        <v>512142</v>
      </c>
      <c r="B11" s="214" t="s">
        <v>215</v>
      </c>
      <c r="C11" s="213"/>
      <c r="D11" s="213">
        <v>27</v>
      </c>
      <c r="E11" s="457"/>
      <c r="F11" s="458">
        <v>29</v>
      </c>
    </row>
    <row r="12" spans="1:6" s="211" customFormat="1" ht="18.75">
      <c r="A12" s="215">
        <v>513122</v>
      </c>
      <c r="B12" s="214" t="s">
        <v>484</v>
      </c>
      <c r="C12" s="213"/>
      <c r="D12" s="213"/>
      <c r="E12" s="457"/>
      <c r="F12" s="458"/>
    </row>
    <row r="13" spans="1:6" s="211" customFormat="1" ht="18.75">
      <c r="A13" s="215">
        <v>513192</v>
      </c>
      <c r="B13" s="214" t="s">
        <v>483</v>
      </c>
      <c r="C13" s="213"/>
      <c r="D13" s="213"/>
      <c r="E13" s="457"/>
      <c r="F13" s="458"/>
    </row>
    <row r="14" spans="1:6" s="211" customFormat="1" ht="18.75">
      <c r="A14" s="215">
        <v>5131921</v>
      </c>
      <c r="B14" s="214" t="s">
        <v>482</v>
      </c>
      <c r="C14" s="213"/>
      <c r="D14" s="213"/>
      <c r="E14" s="457"/>
      <c r="F14" s="458"/>
    </row>
    <row r="15" spans="1:8" s="211" customFormat="1" ht="18.75">
      <c r="A15" s="215">
        <v>514132</v>
      </c>
      <c r="B15" s="214" t="s">
        <v>481</v>
      </c>
      <c r="C15" s="213"/>
      <c r="D15" s="213"/>
      <c r="E15" s="458"/>
      <c r="F15" s="458"/>
      <c r="H15" s="415"/>
    </row>
    <row r="16" spans="1:8" s="211" customFormat="1" ht="18.75">
      <c r="A16" s="215">
        <v>514135</v>
      </c>
      <c r="B16" s="214" t="s">
        <v>480</v>
      </c>
      <c r="C16" s="213"/>
      <c r="D16" s="213"/>
      <c r="E16" s="458"/>
      <c r="F16" s="458"/>
      <c r="H16" s="415"/>
    </row>
    <row r="17" spans="1:8" s="211" customFormat="1" ht="18.75">
      <c r="A17" s="215">
        <v>514142</v>
      </c>
      <c r="B17" s="214" t="s">
        <v>748</v>
      </c>
      <c r="C17" s="213">
        <v>120</v>
      </c>
      <c r="D17" s="213">
        <v>120</v>
      </c>
      <c r="E17" s="458"/>
      <c r="F17" s="458">
        <v>263</v>
      </c>
      <c r="H17" s="415"/>
    </row>
    <row r="18" spans="1:8" s="211" customFormat="1" ht="18.75">
      <c r="A18" s="215">
        <v>514145</v>
      </c>
      <c r="B18" s="214" t="s">
        <v>792</v>
      </c>
      <c r="C18" s="213"/>
      <c r="D18" s="213"/>
      <c r="E18" s="458"/>
      <c r="F18" s="458">
        <v>201</v>
      </c>
      <c r="H18" s="415"/>
    </row>
    <row r="19" spans="1:8" s="211" customFormat="1" ht="18.75">
      <c r="A19" s="215">
        <v>514192</v>
      </c>
      <c r="B19" s="214" t="s">
        <v>479</v>
      </c>
      <c r="C19" s="213"/>
      <c r="D19" s="213"/>
      <c r="E19" s="458"/>
      <c r="F19" s="458"/>
      <c r="H19" s="415"/>
    </row>
    <row r="20" spans="1:6" s="208" customFormat="1" ht="12.75">
      <c r="A20" s="723" t="s">
        <v>478</v>
      </c>
      <c r="B20" s="723"/>
      <c r="C20" s="213">
        <f>SUM(C10:C19)</f>
        <v>120</v>
      </c>
      <c r="D20" s="213">
        <f>SUM(D10:D19)</f>
        <v>147</v>
      </c>
      <c r="E20" s="213">
        <f>SUM(E10:E19)</f>
        <v>0</v>
      </c>
      <c r="F20" s="213">
        <f>SUM(F10:F19)</f>
        <v>493</v>
      </c>
    </row>
    <row r="21" spans="1:8" s="211" customFormat="1" ht="18.75">
      <c r="A21" s="215">
        <v>516112</v>
      </c>
      <c r="B21" s="214" t="s">
        <v>477</v>
      </c>
      <c r="C21" s="213">
        <v>972</v>
      </c>
      <c r="D21" s="213">
        <f>'[3]GEVSZ'!$P$20/1000</f>
        <v>1059</v>
      </c>
      <c r="E21" s="458"/>
      <c r="F21" s="458"/>
      <c r="H21" s="415"/>
    </row>
    <row r="22" spans="1:8" s="211" customFormat="1" ht="18.75">
      <c r="A22" s="215">
        <v>516122</v>
      </c>
      <c r="B22" s="214" t="s">
        <v>476</v>
      </c>
      <c r="C22" s="213">
        <v>120</v>
      </c>
      <c r="D22" s="213">
        <v>120</v>
      </c>
      <c r="E22" s="458"/>
      <c r="F22" s="458"/>
      <c r="H22" s="415"/>
    </row>
    <row r="23" spans="1:8" s="211" customFormat="1" ht="18.75">
      <c r="A23" s="215">
        <v>516142</v>
      </c>
      <c r="B23" s="214" t="s">
        <v>475</v>
      </c>
      <c r="C23" s="213">
        <v>134</v>
      </c>
      <c r="D23" s="213"/>
      <c r="E23" s="458"/>
      <c r="F23" s="458"/>
      <c r="H23" s="415"/>
    </row>
    <row r="24" spans="1:6" s="208" customFormat="1" ht="12.75">
      <c r="A24" s="724" t="s">
        <v>474</v>
      </c>
      <c r="B24" s="724"/>
      <c r="C24" s="213">
        <f>SUM(C21:C23)</f>
        <v>1226</v>
      </c>
      <c r="D24" s="213">
        <f>SUM(D21:D23)</f>
        <v>1179</v>
      </c>
      <c r="E24" s="213">
        <f>SUM(E21:E23)</f>
        <v>0</v>
      </c>
      <c r="F24" s="213">
        <f>SUM(F21:F23)</f>
        <v>0</v>
      </c>
    </row>
    <row r="25" spans="1:8" s="211" customFormat="1" ht="22.5">
      <c r="A25" s="215">
        <v>52211</v>
      </c>
      <c r="B25" s="214" t="s">
        <v>473</v>
      </c>
      <c r="C25" s="213">
        <v>300</v>
      </c>
      <c r="D25" s="213">
        <v>320</v>
      </c>
      <c r="E25" s="458"/>
      <c r="F25" s="544">
        <v>400</v>
      </c>
      <c r="H25" s="415" t="s">
        <v>805</v>
      </c>
    </row>
    <row r="26" spans="1:6" s="208" customFormat="1" ht="12.75">
      <c r="A26" s="723" t="s">
        <v>472</v>
      </c>
      <c r="B26" s="723"/>
      <c r="C26" s="213">
        <f>SUM(C25:C25)</f>
        <v>300</v>
      </c>
      <c r="D26" s="213">
        <f>SUM(D25:D25)</f>
        <v>320</v>
      </c>
      <c r="E26" s="213">
        <f>SUM(E25:E25)</f>
        <v>0</v>
      </c>
      <c r="F26" s="213">
        <f>SUM(F25:F25)</f>
        <v>400</v>
      </c>
    </row>
    <row r="27" spans="1:7" s="208" customFormat="1" ht="12.75">
      <c r="A27" s="725" t="s">
        <v>471</v>
      </c>
      <c r="B27" s="725"/>
      <c r="C27" s="213">
        <f>C26+C24+C20+C9</f>
        <v>2942</v>
      </c>
      <c r="D27" s="213">
        <f>D26+D24+D9+D20</f>
        <v>3058</v>
      </c>
      <c r="E27" s="213">
        <f>E26+E24+E9+E20</f>
        <v>0</v>
      </c>
      <c r="F27" s="213">
        <f>F26+F24+F9+F20</f>
        <v>3296</v>
      </c>
      <c r="G27" s="523">
        <f>F27-F17</f>
        <v>3033</v>
      </c>
    </row>
    <row r="28" spans="1:8" s="211" customFormat="1" ht="18.75">
      <c r="A28" s="215">
        <v>53111</v>
      </c>
      <c r="B28" s="214" t="s">
        <v>594</v>
      </c>
      <c r="C28" s="213">
        <f>H28*27%</f>
        <v>693.36</v>
      </c>
      <c r="D28" s="213">
        <f>(D27-D22-D17)*27%</f>
        <v>760.86</v>
      </c>
      <c r="E28" s="458"/>
      <c r="F28" s="459">
        <f>G27*27%</f>
        <v>818.9100000000001</v>
      </c>
      <c r="H28" s="459">
        <f>C9+C21+C25</f>
        <v>2568</v>
      </c>
    </row>
    <row r="29" spans="1:8" s="211" customFormat="1" ht="18.75">
      <c r="A29" s="215">
        <v>5331</v>
      </c>
      <c r="B29" s="214" t="s">
        <v>4</v>
      </c>
      <c r="C29" s="213"/>
      <c r="D29" s="213">
        <f>250*16.7%</f>
        <v>41.74999999999999</v>
      </c>
      <c r="E29" s="458"/>
      <c r="F29" s="458">
        <v>44</v>
      </c>
      <c r="H29" s="415"/>
    </row>
    <row r="30" spans="1:8" s="211" customFormat="1" ht="18.75">
      <c r="A30" s="215"/>
      <c r="B30" s="214" t="s">
        <v>628</v>
      </c>
      <c r="C30" s="213"/>
      <c r="D30" s="213"/>
      <c r="E30" s="458"/>
      <c r="F30" s="458">
        <v>51</v>
      </c>
      <c r="H30" s="415"/>
    </row>
    <row r="31" spans="1:6" s="208" customFormat="1" ht="12.75">
      <c r="A31" s="723" t="s">
        <v>470</v>
      </c>
      <c r="B31" s="723"/>
      <c r="C31" s="213">
        <f>SUM(C28:C29)</f>
        <v>693.36</v>
      </c>
      <c r="D31" s="213">
        <f>SUM(D28:D29)</f>
        <v>802.61</v>
      </c>
      <c r="E31" s="213">
        <f>SUM(E28:E29)</f>
        <v>0</v>
      </c>
      <c r="F31" s="213">
        <f>SUM(F28:F30)</f>
        <v>913.9100000000001</v>
      </c>
    </row>
    <row r="32" spans="1:8" s="211" customFormat="1" ht="18.75">
      <c r="A32" s="215">
        <v>54211</v>
      </c>
      <c r="B32" s="214" t="s">
        <v>469</v>
      </c>
      <c r="C32" s="213">
        <v>5</v>
      </c>
      <c r="D32" s="213">
        <v>10</v>
      </c>
      <c r="E32" s="458"/>
      <c r="F32" s="458">
        <v>10</v>
      </c>
      <c r="H32" s="415" t="s">
        <v>468</v>
      </c>
    </row>
    <row r="33" spans="1:8" s="211" customFormat="1" ht="18.75">
      <c r="A33" s="215">
        <v>54212</v>
      </c>
      <c r="B33" s="214" t="s">
        <v>467</v>
      </c>
      <c r="C33" s="213"/>
      <c r="D33" s="213"/>
      <c r="E33" s="458"/>
      <c r="F33" s="458"/>
      <c r="H33" s="415"/>
    </row>
    <row r="34" spans="1:8" s="211" customFormat="1" ht="18.75">
      <c r="A34" s="215">
        <v>5431</v>
      </c>
      <c r="B34" s="214" t="s">
        <v>427</v>
      </c>
      <c r="C34" s="213">
        <v>80</v>
      </c>
      <c r="D34" s="213">
        <v>20</v>
      </c>
      <c r="E34" s="458"/>
      <c r="F34" s="458"/>
      <c r="H34" s="415"/>
    </row>
    <row r="35" spans="1:8" s="211" customFormat="1" ht="18.75">
      <c r="A35" s="215">
        <v>54411</v>
      </c>
      <c r="B35" s="214" t="s">
        <v>466</v>
      </c>
      <c r="C35" s="213"/>
      <c r="D35" s="213"/>
      <c r="E35" s="458"/>
      <c r="F35" s="458"/>
      <c r="H35" s="415"/>
    </row>
    <row r="36" spans="1:8" s="211" customFormat="1" ht="18.75">
      <c r="A36" s="215">
        <v>54412</v>
      </c>
      <c r="B36" s="214" t="s">
        <v>465</v>
      </c>
      <c r="C36" s="213">
        <v>18</v>
      </c>
      <c r="D36" s="213"/>
      <c r="E36" s="458"/>
      <c r="F36" s="458"/>
      <c r="H36" s="415"/>
    </row>
    <row r="37" spans="1:8" s="211" customFormat="1" ht="18.75">
      <c r="A37" s="215">
        <v>54413</v>
      </c>
      <c r="B37" s="214" t="s">
        <v>124</v>
      </c>
      <c r="C37" s="213">
        <v>10</v>
      </c>
      <c r="D37" s="213"/>
      <c r="E37" s="458"/>
      <c r="F37" s="458"/>
      <c r="H37" s="415"/>
    </row>
    <row r="38" spans="1:8" s="211" customFormat="1" ht="18.75">
      <c r="A38" s="215">
        <v>54711</v>
      </c>
      <c r="B38" s="214" t="s">
        <v>464</v>
      </c>
      <c r="C38" s="213"/>
      <c r="D38" s="213"/>
      <c r="E38" s="458"/>
      <c r="F38" s="458">
        <v>10</v>
      </c>
      <c r="H38" s="415" t="s">
        <v>780</v>
      </c>
    </row>
    <row r="39" spans="1:8" s="211" customFormat="1" ht="18.75">
      <c r="A39" s="215">
        <v>54712</v>
      </c>
      <c r="B39" s="214" t="s">
        <v>463</v>
      </c>
      <c r="C39" s="213">
        <v>20</v>
      </c>
      <c r="D39" s="213">
        <v>200</v>
      </c>
      <c r="E39" s="458">
        <v>198</v>
      </c>
      <c r="F39" s="458">
        <v>230</v>
      </c>
      <c r="H39" s="415" t="s">
        <v>783</v>
      </c>
    </row>
    <row r="40" spans="1:8" s="211" customFormat="1" ht="18.75">
      <c r="A40" s="215">
        <v>5481</v>
      </c>
      <c r="B40" s="214" t="s">
        <v>128</v>
      </c>
      <c r="C40" s="213">
        <v>44</v>
      </c>
      <c r="D40" s="213">
        <v>36</v>
      </c>
      <c r="E40" s="458">
        <v>36</v>
      </c>
      <c r="F40" s="458">
        <v>36</v>
      </c>
      <c r="H40" s="415" t="s">
        <v>462</v>
      </c>
    </row>
    <row r="41" spans="1:8" s="211" customFormat="1" ht="18.75">
      <c r="A41" s="215">
        <v>549111</v>
      </c>
      <c r="B41" s="214" t="s">
        <v>461</v>
      </c>
      <c r="C41" s="213">
        <v>200</v>
      </c>
      <c r="D41" s="213">
        <v>300</v>
      </c>
      <c r="E41" s="726">
        <v>517</v>
      </c>
      <c r="F41" s="458">
        <v>300</v>
      </c>
      <c r="H41" s="415"/>
    </row>
    <row r="42" spans="1:8" s="526" customFormat="1" ht="18.75">
      <c r="A42" s="524">
        <v>549112</v>
      </c>
      <c r="B42" s="525" t="s">
        <v>97</v>
      </c>
      <c r="C42" s="213">
        <v>50</v>
      </c>
      <c r="D42" s="213">
        <v>150</v>
      </c>
      <c r="E42" s="727"/>
      <c r="F42" s="504">
        <v>100</v>
      </c>
      <c r="H42" s="415" t="s">
        <v>779</v>
      </c>
    </row>
    <row r="43" spans="1:8" s="211" customFormat="1" ht="18.75">
      <c r="A43" s="215"/>
      <c r="B43" s="392" t="s">
        <v>595</v>
      </c>
      <c r="C43" s="213">
        <f>SUM(C32:C42)</f>
        <v>427</v>
      </c>
      <c r="D43" s="213">
        <f>SUM(D32:D42)</f>
        <v>716</v>
      </c>
      <c r="E43" s="213">
        <f>SUM(E32:E42)</f>
        <v>751</v>
      </c>
      <c r="F43" s="213">
        <f>SUM(F32:F42)</f>
        <v>686</v>
      </c>
      <c r="H43" s="415"/>
    </row>
    <row r="44" spans="1:8" s="211" customFormat="1" ht="18.75">
      <c r="A44" s="215">
        <v>55111</v>
      </c>
      <c r="B44" s="214" t="s">
        <v>460</v>
      </c>
      <c r="C44" s="213">
        <v>200</v>
      </c>
      <c r="D44" s="213">
        <v>170</v>
      </c>
      <c r="E44" s="458">
        <v>145</v>
      </c>
      <c r="F44" s="458">
        <v>150</v>
      </c>
      <c r="H44" s="415"/>
    </row>
    <row r="45" spans="1:8" s="211" customFormat="1" ht="18.75">
      <c r="A45" s="215">
        <v>55112</v>
      </c>
      <c r="B45" s="214" t="s">
        <v>459</v>
      </c>
      <c r="C45" s="213">
        <v>150</v>
      </c>
      <c r="D45" s="213">
        <v>40</v>
      </c>
      <c r="E45" s="458">
        <v>76</v>
      </c>
      <c r="F45" s="458">
        <v>80</v>
      </c>
      <c r="H45" s="415"/>
    </row>
    <row r="46" spans="1:8" s="211" customFormat="1" ht="18.75">
      <c r="A46" s="215">
        <v>55119</v>
      </c>
      <c r="B46" s="214" t="s">
        <v>458</v>
      </c>
      <c r="C46" s="213"/>
      <c r="D46" s="213">
        <v>20</v>
      </c>
      <c r="E46" s="458"/>
      <c r="F46" s="458"/>
      <c r="H46" s="415"/>
    </row>
    <row r="47" spans="1:8" s="526" customFormat="1" ht="18.75">
      <c r="A47" s="524">
        <v>552129</v>
      </c>
      <c r="B47" s="525" t="s">
        <v>775</v>
      </c>
      <c r="C47" s="213"/>
      <c r="D47" s="213">
        <v>725</v>
      </c>
      <c r="E47" s="504">
        <v>562</v>
      </c>
      <c r="F47" s="504">
        <v>30</v>
      </c>
      <c r="H47" s="415" t="s">
        <v>806</v>
      </c>
    </row>
    <row r="48" spans="1:8" s="211" customFormat="1" ht="18.75">
      <c r="A48" s="215">
        <v>55213</v>
      </c>
      <c r="B48" s="214" t="s">
        <v>457</v>
      </c>
      <c r="C48" s="213">
        <v>4200</v>
      </c>
      <c r="D48" s="213">
        <v>5625</v>
      </c>
      <c r="E48" s="458">
        <v>4864</v>
      </c>
      <c r="F48" s="458">
        <v>5640</v>
      </c>
      <c r="H48" s="415" t="s">
        <v>784</v>
      </c>
    </row>
    <row r="49" spans="1:8" s="211" customFormat="1" ht="18.75">
      <c r="A49" s="215">
        <v>55214</v>
      </c>
      <c r="B49" s="214" t="s">
        <v>456</v>
      </c>
      <c r="C49" s="394">
        <v>3000</v>
      </c>
      <c r="D49" s="394">
        <v>4100</v>
      </c>
      <c r="E49" s="458">
        <f>4380-1019</f>
        <v>3361</v>
      </c>
      <c r="F49" s="458">
        <v>3500</v>
      </c>
      <c r="H49" s="416"/>
    </row>
    <row r="50" spans="1:8" s="211" customFormat="1" ht="18.75">
      <c r="A50" s="215">
        <v>55215</v>
      </c>
      <c r="B50" s="214" t="s">
        <v>455</v>
      </c>
      <c r="C50" s="394">
        <v>500</v>
      </c>
      <c r="D50" s="394">
        <v>750</v>
      </c>
      <c r="E50" s="458">
        <f>1412-518</f>
        <v>894</v>
      </c>
      <c r="F50" s="458">
        <v>910</v>
      </c>
      <c r="H50" s="416"/>
    </row>
    <row r="51" spans="1:8" s="211" customFormat="1" ht="18.75">
      <c r="A51" s="215">
        <v>55217</v>
      </c>
      <c r="B51" s="214" t="s">
        <v>454</v>
      </c>
      <c r="C51" s="394">
        <v>380</v>
      </c>
      <c r="D51" s="394">
        <v>470</v>
      </c>
      <c r="E51" s="458">
        <f>1076-640</f>
        <v>436</v>
      </c>
      <c r="F51" s="458">
        <v>450</v>
      </c>
      <c r="H51" s="416"/>
    </row>
    <row r="52" spans="1:8" s="211" customFormat="1" ht="49.5" customHeight="1">
      <c r="A52" s="215">
        <v>552181</v>
      </c>
      <c r="B52" s="214" t="s">
        <v>453</v>
      </c>
      <c r="C52" s="213">
        <v>100</v>
      </c>
      <c r="D52" s="213">
        <v>300</v>
      </c>
      <c r="E52" s="458">
        <v>40</v>
      </c>
      <c r="F52" s="504">
        <v>195</v>
      </c>
      <c r="H52" s="503" t="s">
        <v>807</v>
      </c>
    </row>
    <row r="53" spans="1:8" s="211" customFormat="1" ht="18.75">
      <c r="A53" s="215">
        <v>552182</v>
      </c>
      <c r="B53" s="214" t="s">
        <v>452</v>
      </c>
      <c r="C53" s="213">
        <v>50</v>
      </c>
      <c r="D53" s="213">
        <v>60</v>
      </c>
      <c r="E53" s="458">
        <v>90</v>
      </c>
      <c r="F53" s="458">
        <v>90</v>
      </c>
      <c r="H53" s="415" t="s">
        <v>226</v>
      </c>
    </row>
    <row r="54" spans="1:8" s="211" customFormat="1" ht="18.75">
      <c r="A54" s="215">
        <v>5521901</v>
      </c>
      <c r="B54" s="214" t="s">
        <v>451</v>
      </c>
      <c r="C54" s="213">
        <v>50</v>
      </c>
      <c r="D54" s="213">
        <v>5</v>
      </c>
      <c r="E54" s="458"/>
      <c r="F54" s="458"/>
      <c r="H54" s="415"/>
    </row>
    <row r="55" spans="1:8" s="211" customFormat="1" ht="18.75">
      <c r="A55" s="215">
        <v>5521904</v>
      </c>
      <c r="B55" s="214" t="s">
        <v>450</v>
      </c>
      <c r="C55" s="213">
        <v>200</v>
      </c>
      <c r="D55" s="213">
        <v>100</v>
      </c>
      <c r="E55" s="458">
        <v>80</v>
      </c>
      <c r="F55" s="458">
        <v>100</v>
      </c>
      <c r="H55" s="415"/>
    </row>
    <row r="56" spans="1:8" s="211" customFormat="1" ht="18.75">
      <c r="A56" s="215">
        <v>5521908</v>
      </c>
      <c r="B56" s="214" t="s">
        <v>449</v>
      </c>
      <c r="C56" s="213">
        <v>150</v>
      </c>
      <c r="D56" s="213">
        <v>130</v>
      </c>
      <c r="E56" s="458">
        <v>38</v>
      </c>
      <c r="F56" s="458">
        <v>20</v>
      </c>
      <c r="H56" s="415" t="s">
        <v>600</v>
      </c>
    </row>
    <row r="57" spans="1:8" s="211" customFormat="1" ht="18.75">
      <c r="A57" s="215"/>
      <c r="B57" s="392" t="s">
        <v>597</v>
      </c>
      <c r="C57" s="213">
        <f>SUM(C44:C56)</f>
        <v>8980</v>
      </c>
      <c r="D57" s="213">
        <f>SUM(D44:D56)</f>
        <v>12495</v>
      </c>
      <c r="E57" s="213">
        <f>SUM(E44:E56)</f>
        <v>10586</v>
      </c>
      <c r="F57" s="213">
        <f>SUM(F44:F56)</f>
        <v>11165</v>
      </c>
      <c r="H57" s="415"/>
    </row>
    <row r="58" spans="1:11" s="211" customFormat="1" ht="18.75">
      <c r="A58" s="215">
        <v>56111</v>
      </c>
      <c r="B58" s="214" t="s">
        <v>447</v>
      </c>
      <c r="C58" s="213">
        <v>2661</v>
      </c>
      <c r="D58" s="213">
        <f>(D43+D57+D60)*27%</f>
        <v>3569.67</v>
      </c>
      <c r="E58" s="458">
        <v>3047</v>
      </c>
      <c r="F58" s="500">
        <f>G58*27%</f>
        <v>3202.4700000000003</v>
      </c>
      <c r="G58" s="500">
        <f>F57+F43+F60</f>
        <v>11861</v>
      </c>
      <c r="H58" s="415"/>
      <c r="K58" s="459">
        <f>SUM(C32:C57)+C60</f>
        <v>18824</v>
      </c>
    </row>
    <row r="59" spans="1:8" s="211" customFormat="1" ht="18.75">
      <c r="A59" s="215">
        <v>56112</v>
      </c>
      <c r="B59" s="214" t="s">
        <v>324</v>
      </c>
      <c r="C59" s="213"/>
      <c r="D59" s="213"/>
      <c r="E59" s="458"/>
      <c r="F59" s="458"/>
      <c r="H59" s="415"/>
    </row>
    <row r="60" spans="1:15" s="211" customFormat="1" ht="18.75">
      <c r="A60" s="215">
        <v>56213</v>
      </c>
      <c r="B60" s="214" t="s">
        <v>19</v>
      </c>
      <c r="C60" s="213">
        <v>10</v>
      </c>
      <c r="D60" s="213">
        <v>10</v>
      </c>
      <c r="E60" s="458">
        <v>8</v>
      </c>
      <c r="F60" s="458">
        <v>10</v>
      </c>
      <c r="G60" s="212"/>
      <c r="H60" s="247"/>
      <c r="I60" s="212"/>
      <c r="J60" s="212"/>
      <c r="K60" s="212"/>
      <c r="L60" s="212"/>
      <c r="M60" s="212"/>
      <c r="N60" s="212"/>
      <c r="O60" s="212"/>
    </row>
    <row r="61" spans="1:15" s="211" customFormat="1" ht="18.75">
      <c r="A61" s="215">
        <v>56214</v>
      </c>
      <c r="B61" s="214" t="s">
        <v>446</v>
      </c>
      <c r="C61" s="213"/>
      <c r="D61" s="213"/>
      <c r="E61" s="458"/>
      <c r="F61" s="458"/>
      <c r="G61" s="212"/>
      <c r="H61" s="247"/>
      <c r="I61" s="212"/>
      <c r="J61" s="212"/>
      <c r="K61" s="212"/>
      <c r="L61" s="212"/>
      <c r="M61" s="212"/>
      <c r="N61" s="212"/>
      <c r="O61" s="212"/>
    </row>
    <row r="62" spans="1:8" s="526" customFormat="1" ht="18.75">
      <c r="A62" s="524">
        <v>563191</v>
      </c>
      <c r="B62" s="525" t="s">
        <v>445</v>
      </c>
      <c r="C62" s="213">
        <v>130</v>
      </c>
      <c r="D62" s="213">
        <v>130</v>
      </c>
      <c r="E62" s="504"/>
      <c r="F62" s="538">
        <v>230</v>
      </c>
      <c r="H62" s="415" t="s">
        <v>785</v>
      </c>
    </row>
    <row r="63" spans="1:15" s="208" customFormat="1" ht="12.75">
      <c r="A63" s="723" t="s">
        <v>596</v>
      </c>
      <c r="B63" s="723"/>
      <c r="C63" s="213">
        <f>SUM(C58:C62)</f>
        <v>2801</v>
      </c>
      <c r="D63" s="213">
        <f>SUM(D58:D62)</f>
        <v>3709.67</v>
      </c>
      <c r="E63" s="213">
        <f>SUM(E58:E62)</f>
        <v>3055</v>
      </c>
      <c r="F63" s="213">
        <f>SUM(F58:F62)</f>
        <v>3442.4700000000003</v>
      </c>
      <c r="G63" s="209"/>
      <c r="H63" s="209"/>
      <c r="I63" s="209"/>
      <c r="J63" s="209"/>
      <c r="K63" s="209"/>
      <c r="L63" s="209"/>
      <c r="M63" s="209"/>
      <c r="N63" s="209"/>
      <c r="O63" s="209"/>
    </row>
    <row r="64" spans="1:15" s="211" customFormat="1" ht="18.75">
      <c r="A64" s="215">
        <v>57119</v>
      </c>
      <c r="B64" s="214" t="s">
        <v>444</v>
      </c>
      <c r="C64" s="213">
        <v>40</v>
      </c>
      <c r="D64" s="213">
        <v>34</v>
      </c>
      <c r="E64" s="458"/>
      <c r="F64" s="458"/>
      <c r="G64" s="212"/>
      <c r="H64" s="417" t="s">
        <v>443</v>
      </c>
      <c r="I64" s="212"/>
      <c r="J64" s="212"/>
      <c r="K64" s="212"/>
      <c r="L64" s="212"/>
      <c r="M64" s="212"/>
      <c r="N64" s="212"/>
      <c r="O64" s="212"/>
    </row>
    <row r="65" spans="1:15" s="211" customFormat="1" ht="18.75">
      <c r="A65" s="215">
        <v>57211</v>
      </c>
      <c r="B65" s="214" t="s">
        <v>442</v>
      </c>
      <c r="C65" s="213">
        <v>48</v>
      </c>
      <c r="D65" s="213">
        <f>240*19.04%</f>
        <v>45.696</v>
      </c>
      <c r="E65" s="458"/>
      <c r="F65" s="458"/>
      <c r="G65" s="212"/>
      <c r="H65" s="417"/>
      <c r="I65" s="212"/>
      <c r="J65" s="212"/>
      <c r="K65" s="212"/>
      <c r="L65" s="212"/>
      <c r="M65" s="212"/>
      <c r="N65" s="212"/>
      <c r="O65" s="212"/>
    </row>
    <row r="66" spans="1:15" s="211" customFormat="1" ht="18.75">
      <c r="A66" s="215">
        <v>57213</v>
      </c>
      <c r="B66" s="214" t="s">
        <v>441</v>
      </c>
      <c r="C66" s="213"/>
      <c r="D66" s="213"/>
      <c r="E66" s="458"/>
      <c r="F66" s="458"/>
      <c r="G66" s="212"/>
      <c r="H66" s="247"/>
      <c r="I66" s="212"/>
      <c r="J66" s="212"/>
      <c r="K66" s="212"/>
      <c r="L66" s="212"/>
      <c r="M66" s="212"/>
      <c r="N66" s="212"/>
      <c r="O66" s="212"/>
    </row>
    <row r="67" spans="1:15" s="211" customFormat="1" ht="18.75">
      <c r="A67" s="215">
        <v>57214</v>
      </c>
      <c r="B67" s="214" t="s">
        <v>440</v>
      </c>
      <c r="C67" s="213"/>
      <c r="D67" s="213"/>
      <c r="E67" s="458"/>
      <c r="F67" s="458"/>
      <c r="G67" s="212"/>
      <c r="H67" s="247"/>
      <c r="I67" s="212"/>
      <c r="J67" s="212"/>
      <c r="K67" s="212"/>
      <c r="L67" s="212"/>
      <c r="M67" s="212"/>
      <c r="N67" s="212"/>
      <c r="O67" s="212"/>
    </row>
    <row r="68" spans="1:15" s="211" customFormat="1" ht="18.75">
      <c r="A68" s="215">
        <v>57219</v>
      </c>
      <c r="B68" s="214" t="s">
        <v>439</v>
      </c>
      <c r="C68" s="213"/>
      <c r="D68" s="213"/>
      <c r="E68" s="458"/>
      <c r="F68" s="458"/>
      <c r="G68" s="212"/>
      <c r="H68" s="247"/>
      <c r="I68" s="212"/>
      <c r="J68" s="212"/>
      <c r="K68" s="212"/>
      <c r="L68" s="212"/>
      <c r="M68" s="212"/>
      <c r="N68" s="212"/>
      <c r="O68" s="212"/>
    </row>
    <row r="69" spans="1:15" s="211" customFormat="1" ht="18.75">
      <c r="A69" s="215">
        <v>573111</v>
      </c>
      <c r="B69" s="214" t="s">
        <v>438</v>
      </c>
      <c r="C69" s="213"/>
      <c r="D69" s="213"/>
      <c r="E69" s="458"/>
      <c r="F69" s="458"/>
      <c r="G69" s="212"/>
      <c r="H69" s="247"/>
      <c r="I69" s="212"/>
      <c r="J69" s="212"/>
      <c r="K69" s="212"/>
      <c r="L69" s="212"/>
      <c r="M69" s="212"/>
      <c r="N69" s="212"/>
      <c r="O69" s="212"/>
    </row>
    <row r="70" spans="1:15" s="208" customFormat="1" ht="12.75">
      <c r="A70" s="723" t="s">
        <v>437</v>
      </c>
      <c r="B70" s="723"/>
      <c r="C70" s="216">
        <f>SUM(C64:C69)</f>
        <v>88</v>
      </c>
      <c r="D70" s="213">
        <f>SUM(D64:D69)</f>
        <v>79.696</v>
      </c>
      <c r="E70" s="213">
        <f>SUM(E64:E69)</f>
        <v>0</v>
      </c>
      <c r="F70" s="213">
        <f>SUM(F64:F69)</f>
        <v>0</v>
      </c>
      <c r="G70" s="209"/>
      <c r="H70" s="209"/>
      <c r="I70" s="209"/>
      <c r="J70" s="209"/>
      <c r="K70" s="209"/>
      <c r="L70" s="209"/>
      <c r="M70" s="209"/>
      <c r="N70" s="209"/>
      <c r="O70" s="209"/>
    </row>
    <row r="71" spans="1:15" s="208" customFormat="1" ht="12.75">
      <c r="A71" s="723" t="s">
        <v>70</v>
      </c>
      <c r="B71" s="723"/>
      <c r="C71" s="393">
        <f>C63+C70+C43+C57</f>
        <v>12296</v>
      </c>
      <c r="D71" s="393">
        <f>D63+D70+D43+D57</f>
        <v>17000.366</v>
      </c>
      <c r="E71" s="393">
        <f>E63+E70+E43+E57</f>
        <v>14392</v>
      </c>
      <c r="F71" s="393">
        <f>F63+F70+F43+F57</f>
        <v>15293.470000000001</v>
      </c>
      <c r="G71" s="209"/>
      <c r="H71" s="209"/>
      <c r="I71" s="209"/>
      <c r="J71" s="209"/>
      <c r="K71" s="209"/>
      <c r="L71" s="209"/>
      <c r="M71" s="209"/>
      <c r="N71" s="209"/>
      <c r="O71" s="209"/>
    </row>
    <row r="72" spans="1:15" s="208" customFormat="1" ht="12.75">
      <c r="A72" s="723" t="s">
        <v>436</v>
      </c>
      <c r="B72" s="723"/>
      <c r="C72" s="213">
        <f>SUM(C27+C71+C31)</f>
        <v>15931.36</v>
      </c>
      <c r="D72" s="213">
        <f>SUM(D27+D71+D31)</f>
        <v>20860.976000000002</v>
      </c>
      <c r="E72" s="213">
        <f>SUM(E27+E71+E31)</f>
        <v>14392</v>
      </c>
      <c r="F72" s="213">
        <f>SUM(F27+F71+F31)</f>
        <v>19503.38</v>
      </c>
      <c r="G72" s="209"/>
      <c r="H72" s="209"/>
      <c r="I72" s="209"/>
      <c r="J72" s="209"/>
      <c r="K72" s="209"/>
      <c r="L72" s="209"/>
      <c r="M72" s="209"/>
      <c r="N72" s="209"/>
      <c r="O72" s="209"/>
    </row>
    <row r="73" spans="1:15" ht="18.75">
      <c r="A73" s="202"/>
      <c r="B73" s="202"/>
      <c r="C73" s="41"/>
      <c r="D73" s="41"/>
      <c r="E73" s="172"/>
      <c r="F73" s="41"/>
      <c r="G73" s="206"/>
      <c r="H73" s="284"/>
      <c r="I73" s="206"/>
      <c r="J73" s="206"/>
      <c r="K73" s="206"/>
      <c r="L73" s="206"/>
      <c r="M73" s="206"/>
      <c r="N73" s="206"/>
      <c r="O73" s="206"/>
    </row>
    <row r="74" spans="1:15" ht="18.75">
      <c r="A74" s="202"/>
      <c r="B74" s="202" t="s">
        <v>435</v>
      </c>
      <c r="C74" s="41">
        <v>4000</v>
      </c>
      <c r="D74" s="41"/>
      <c r="E74" s="172"/>
      <c r="F74" s="41"/>
      <c r="G74" s="206"/>
      <c r="H74" s="284"/>
      <c r="I74" s="206"/>
      <c r="J74" s="206"/>
      <c r="K74" s="206"/>
      <c r="L74" s="206"/>
      <c r="M74" s="206"/>
      <c r="N74" s="206"/>
      <c r="O74" s="206"/>
    </row>
    <row r="75" spans="1:15" ht="18.75">
      <c r="A75" s="202"/>
      <c r="B75" s="202"/>
      <c r="C75" s="41"/>
      <c r="D75" s="41"/>
      <c r="E75" s="172"/>
      <c r="F75" s="41"/>
      <c r="G75" s="206"/>
      <c r="H75" s="284"/>
      <c r="I75" s="206"/>
      <c r="J75" s="206"/>
      <c r="K75" s="206"/>
      <c r="L75" s="206"/>
      <c r="M75" s="206"/>
      <c r="N75" s="206"/>
      <c r="O75" s="206"/>
    </row>
    <row r="76" spans="1:15" s="203" customFormat="1" ht="12.75">
      <c r="A76" s="204"/>
      <c r="B76" s="204" t="s">
        <v>434</v>
      </c>
      <c r="C76" s="194">
        <f>C72+C74</f>
        <v>19931.36</v>
      </c>
      <c r="D76" s="194">
        <f>D72+D74</f>
        <v>20860.976000000002</v>
      </c>
      <c r="E76" s="194">
        <f>E72+E74</f>
        <v>14392</v>
      </c>
      <c r="F76" s="194">
        <f>F72+F74</f>
        <v>19503.38</v>
      </c>
      <c r="G76" s="207"/>
      <c r="H76" s="207"/>
      <c r="I76" s="207"/>
      <c r="J76" s="207"/>
      <c r="K76" s="207"/>
      <c r="L76" s="207"/>
      <c r="M76" s="207"/>
      <c r="N76" s="207"/>
      <c r="O76" s="207"/>
    </row>
    <row r="77" spans="3:15" ht="18.75">
      <c r="C77" s="388"/>
      <c r="D77" s="206"/>
      <c r="F77" s="206"/>
      <c r="G77" s="206"/>
      <c r="H77" s="284"/>
      <c r="I77" s="206"/>
      <c r="J77" s="206"/>
      <c r="K77" s="206"/>
      <c r="L77" s="206"/>
      <c r="M77" s="206"/>
      <c r="N77" s="206"/>
      <c r="O77" s="206"/>
    </row>
    <row r="78" spans="2:8" ht="18.75">
      <c r="B78" s="202"/>
      <c r="C78" s="193"/>
      <c r="D78" s="207"/>
      <c r="H78" s="237"/>
    </row>
    <row r="79" spans="2:5" ht="18.75">
      <c r="B79" s="202"/>
      <c r="C79" s="193"/>
      <c r="D79" s="207"/>
      <c r="E79" s="237">
        <v>0</v>
      </c>
    </row>
    <row r="80" spans="2:5" ht="18.75">
      <c r="B80" s="202"/>
      <c r="C80" s="193"/>
      <c r="D80" s="207"/>
      <c r="E80" s="237">
        <v>0</v>
      </c>
    </row>
    <row r="81" spans="2:4" ht="18.75">
      <c r="B81" s="202"/>
      <c r="C81" s="201"/>
      <c r="D81" s="207"/>
    </row>
    <row r="82" spans="2:4" ht="18.75">
      <c r="B82" s="202"/>
      <c r="C82" s="193"/>
      <c r="D82" s="207"/>
    </row>
    <row r="83" spans="2:4" ht="18.75">
      <c r="B83" s="202"/>
      <c r="C83" s="193"/>
      <c r="D83" s="207"/>
    </row>
    <row r="84" spans="2:4" ht="18.75">
      <c r="B84" s="202"/>
      <c r="C84" s="193"/>
      <c r="D84" s="207"/>
    </row>
    <row r="85" spans="1:4" s="203" customFormat="1" ht="12.75">
      <c r="A85" s="205"/>
      <c r="B85" s="204"/>
      <c r="C85" s="201"/>
      <c r="D85" s="207"/>
    </row>
    <row r="86" spans="2:4" ht="18.75">
      <c r="B86" s="202"/>
      <c r="C86" s="193"/>
      <c r="D86" s="207"/>
    </row>
    <row r="87" spans="1:4" s="203" customFormat="1" ht="12.75">
      <c r="A87" s="205"/>
      <c r="B87" s="204"/>
      <c r="C87" s="194"/>
      <c r="D87" s="387"/>
    </row>
    <row r="88" spans="2:4" ht="18.75">
      <c r="B88" s="202"/>
      <c r="C88" s="193"/>
      <c r="D88" s="207"/>
    </row>
  </sheetData>
  <sheetProtection/>
  <mergeCells count="13">
    <mergeCell ref="E41:E42"/>
    <mergeCell ref="A2:A5"/>
    <mergeCell ref="B2:B5"/>
    <mergeCell ref="A63:B63"/>
    <mergeCell ref="A72:B72"/>
    <mergeCell ref="A9:B9"/>
    <mergeCell ref="A20:B20"/>
    <mergeCell ref="A24:B24"/>
    <mergeCell ref="A26:B26"/>
    <mergeCell ref="A27:B27"/>
    <mergeCell ref="A31:B31"/>
    <mergeCell ref="A70:B70"/>
    <mergeCell ref="A71:B71"/>
  </mergeCells>
  <printOptions/>
  <pageMargins left="0.7" right="0.7" top="0.75" bottom="0.75" header="0.3" footer="0.3"/>
  <pageSetup horizontalDpi="300" verticalDpi="300" orientation="portrait" paperSize="9" scale="61" r:id="rId1"/>
  <rowBreaks count="1" manualBreakCount="1">
    <brk id="63" max="7" man="1"/>
  </rowBreaks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C00000"/>
  </sheetPr>
  <dimension ref="A2:J101"/>
  <sheetViews>
    <sheetView zoomScalePageLayoutView="0" workbookViewId="0" topLeftCell="A88">
      <selection activeCell="E67" sqref="E67"/>
    </sheetView>
  </sheetViews>
  <sheetFormatPr defaultColWidth="8.41015625" defaultRowHeight="18"/>
  <cols>
    <col min="1" max="1" width="8.41015625" style="21" customWidth="1"/>
    <col min="2" max="2" width="29.41015625" style="21" customWidth="1"/>
    <col min="3" max="3" width="8" style="382" customWidth="1"/>
    <col min="4" max="4" width="7.33203125" style="21" customWidth="1"/>
    <col min="5" max="5" width="7.75" style="21" customWidth="1"/>
    <col min="6" max="249" width="7.08203125" style="21" customWidth="1"/>
    <col min="250" max="16384" width="8.41015625" style="21" customWidth="1"/>
  </cols>
  <sheetData>
    <row r="2" spans="1:5" ht="18.75">
      <c r="A2" s="620" t="s">
        <v>1331</v>
      </c>
      <c r="B2" s="620"/>
      <c r="C2" s="620"/>
      <c r="D2" s="620"/>
      <c r="E2" s="620"/>
    </row>
    <row r="3" ht="19.5" thickBot="1">
      <c r="C3" s="243"/>
    </row>
    <row r="4" spans="1:5" ht="19.5" thickBot="1">
      <c r="A4" s="595">
        <v>852011</v>
      </c>
      <c r="B4" s="245" t="s">
        <v>1395</v>
      </c>
      <c r="C4" s="421" t="s">
        <v>616</v>
      </c>
      <c r="D4" s="41" t="s">
        <v>626</v>
      </c>
      <c r="E4" s="34">
        <v>2016</v>
      </c>
    </row>
    <row r="5" spans="1:5" ht="19.5" thickBot="1">
      <c r="A5" s="596" t="s">
        <v>1384</v>
      </c>
      <c r="B5" s="210"/>
      <c r="C5" s="295"/>
      <c r="D5" s="34"/>
      <c r="E5" s="34"/>
    </row>
    <row r="6" spans="1:5" ht="18.75">
      <c r="A6" s="249" t="s">
        <v>819</v>
      </c>
      <c r="B6" s="250" t="s">
        <v>1238</v>
      </c>
      <c r="C6" s="376">
        <v>2403</v>
      </c>
      <c r="D6" s="565"/>
      <c r="E6" s="565"/>
    </row>
    <row r="7" spans="1:5" ht="18.75">
      <c r="A7" s="253" t="s">
        <v>822</v>
      </c>
      <c r="B7" s="254" t="s">
        <v>821</v>
      </c>
      <c r="C7" s="377"/>
      <c r="D7" s="34"/>
      <c r="E7" s="34"/>
    </row>
    <row r="8" spans="1:5" ht="18.75">
      <c r="A8" s="253" t="s">
        <v>823</v>
      </c>
      <c r="B8" s="254" t="s">
        <v>820</v>
      </c>
      <c r="C8" s="377"/>
      <c r="D8" s="34"/>
      <c r="E8" s="381"/>
    </row>
    <row r="9" spans="1:5" ht="18.75">
      <c r="A9" s="253" t="s">
        <v>825</v>
      </c>
      <c r="B9" s="254" t="s">
        <v>824</v>
      </c>
      <c r="C9" s="377">
        <v>29</v>
      </c>
      <c r="D9" s="34"/>
      <c r="E9" s="34"/>
    </row>
    <row r="10" spans="1:5" ht="18.75">
      <c r="A10" s="253" t="s">
        <v>826</v>
      </c>
      <c r="B10" s="260" t="s">
        <v>1239</v>
      </c>
      <c r="C10" s="377"/>
      <c r="D10" s="34"/>
      <c r="E10" s="34"/>
    </row>
    <row r="11" spans="1:5" ht="18.75">
      <c r="A11" s="253" t="s">
        <v>1233</v>
      </c>
      <c r="B11" s="260" t="s">
        <v>1240</v>
      </c>
      <c r="C11" s="378"/>
      <c r="D11" s="34"/>
      <c r="E11" s="34"/>
    </row>
    <row r="12" spans="1:5" ht="18.75">
      <c r="A12" s="253" t="s">
        <v>1241</v>
      </c>
      <c r="B12" s="262" t="s">
        <v>1234</v>
      </c>
      <c r="C12" s="377">
        <v>263</v>
      </c>
      <c r="D12" s="34"/>
      <c r="E12" s="34"/>
    </row>
    <row r="13" spans="1:5" ht="18.75">
      <c r="A13" s="253" t="s">
        <v>1242</v>
      </c>
      <c r="B13" s="262" t="s">
        <v>1235</v>
      </c>
      <c r="C13" s="377"/>
      <c r="D13" s="34"/>
      <c r="E13" s="34"/>
    </row>
    <row r="14" spans="1:5" ht="18.75">
      <c r="A14" s="253" t="s">
        <v>1243</v>
      </c>
      <c r="B14" s="254" t="s">
        <v>528</v>
      </c>
      <c r="C14" s="377"/>
      <c r="D14" s="34"/>
      <c r="E14" s="34"/>
    </row>
    <row r="15" spans="1:5" ht="18.75">
      <c r="A15" s="253" t="s">
        <v>1244</v>
      </c>
      <c r="B15" s="254" t="s">
        <v>1236</v>
      </c>
      <c r="C15" s="377"/>
      <c r="D15" s="34"/>
      <c r="E15" s="34"/>
    </row>
    <row r="16" spans="1:5" ht="19.5" thickBot="1">
      <c r="A16" s="264" t="s">
        <v>1245</v>
      </c>
      <c r="B16" s="265" t="s">
        <v>791</v>
      </c>
      <c r="C16" s="377">
        <v>201</v>
      </c>
      <c r="D16" s="34"/>
      <c r="E16" s="34"/>
    </row>
    <row r="17" spans="1:5" ht="19.5" thickBot="1">
      <c r="A17" s="568" t="s">
        <v>1327</v>
      </c>
      <c r="B17" s="569" t="s">
        <v>1249</v>
      </c>
      <c r="C17" s="379">
        <f>SUM(C6:C16)</f>
        <v>2896</v>
      </c>
      <c r="D17" s="379">
        <f>SUM(D6:D16)</f>
        <v>0</v>
      </c>
      <c r="E17" s="379">
        <f>SUM(E6:E16)</f>
        <v>0</v>
      </c>
    </row>
    <row r="18" spans="1:5" ht="19.5" thickBot="1">
      <c r="A18" s="557" t="s">
        <v>1329</v>
      </c>
      <c r="B18" s="558" t="s">
        <v>1248</v>
      </c>
      <c r="C18" s="377"/>
      <c r="D18" s="34"/>
      <c r="E18" s="34"/>
    </row>
    <row r="19" spans="1:5" ht="19.5" thickBot="1">
      <c r="A19" s="557" t="s">
        <v>1328</v>
      </c>
      <c r="B19" s="558" t="s">
        <v>1246</v>
      </c>
      <c r="C19" s="377"/>
      <c r="D19" s="34"/>
      <c r="E19" s="34"/>
    </row>
    <row r="20" spans="1:5" ht="19.5" thickBot="1">
      <c r="A20" s="557" t="s">
        <v>1253</v>
      </c>
      <c r="B20" s="558" t="s">
        <v>19</v>
      </c>
      <c r="C20" s="377">
        <v>10</v>
      </c>
      <c r="D20" s="34"/>
      <c r="E20" s="34"/>
    </row>
    <row r="21" spans="1:6" ht="19.5" thickBot="1">
      <c r="A21" s="557" t="s">
        <v>1254</v>
      </c>
      <c r="B21" s="558" t="s">
        <v>889</v>
      </c>
      <c r="C21" s="377">
        <v>400</v>
      </c>
      <c r="D21" s="34"/>
      <c r="E21" s="34">
        <v>450</v>
      </c>
      <c r="F21" s="21" t="s">
        <v>1579</v>
      </c>
    </row>
    <row r="22" spans="1:5" ht="19.5" thickBot="1">
      <c r="A22" s="568" t="s">
        <v>1330</v>
      </c>
      <c r="B22" s="569" t="s">
        <v>1247</v>
      </c>
      <c r="C22" s="377">
        <f>SUM(C18:C21)</f>
        <v>410</v>
      </c>
      <c r="D22" s="377">
        <f>SUM(D18:D21)</f>
        <v>0</v>
      </c>
      <c r="E22" s="377">
        <f>SUM(E18:E21)</f>
        <v>450</v>
      </c>
    </row>
    <row r="23" spans="1:5" ht="27" customHeight="1" thickBot="1">
      <c r="A23" s="268" t="s">
        <v>1250</v>
      </c>
      <c r="B23" s="269" t="s">
        <v>1237</v>
      </c>
      <c r="C23" s="379">
        <f>SUM(C22,C17)</f>
        <v>3306</v>
      </c>
      <c r="D23" s="379">
        <f>SUM(D22,D17)</f>
        <v>0</v>
      </c>
      <c r="E23" s="379">
        <f>SUM(E22,E17)</f>
        <v>450</v>
      </c>
    </row>
    <row r="24" spans="1:5" ht="19.5" thickBot="1">
      <c r="A24" s="270"/>
      <c r="B24" s="271"/>
      <c r="C24" s="377"/>
      <c r="D24" s="34"/>
      <c r="E24" s="34"/>
    </row>
    <row r="25" spans="1:7" ht="18.75">
      <c r="A25" s="272" t="s">
        <v>1255</v>
      </c>
      <c r="B25" s="97" t="s">
        <v>590</v>
      </c>
      <c r="C25" s="275">
        <v>819</v>
      </c>
      <c r="D25" s="44"/>
      <c r="E25" s="34">
        <v>108</v>
      </c>
      <c r="F25" s="21">
        <v>400</v>
      </c>
      <c r="G25" s="21">
        <f>F25*27%</f>
        <v>108</v>
      </c>
    </row>
    <row r="26" spans="1:5" ht="18.75">
      <c r="A26" s="559" t="s">
        <v>1256</v>
      </c>
      <c r="B26" s="97" t="s">
        <v>1251</v>
      </c>
      <c r="C26" s="275"/>
      <c r="D26" s="44"/>
      <c r="E26" s="34"/>
    </row>
    <row r="27" spans="1:5" ht="18.75">
      <c r="A27" s="276" t="s">
        <v>1252</v>
      </c>
      <c r="B27" s="255" t="s">
        <v>4</v>
      </c>
      <c r="C27" s="378">
        <v>44</v>
      </c>
      <c r="D27" s="34"/>
      <c r="E27" s="34"/>
    </row>
    <row r="28" spans="1:5" ht="19.5" thickBot="1">
      <c r="A28" s="462" t="s">
        <v>1257</v>
      </c>
      <c r="B28" s="255" t="s">
        <v>635</v>
      </c>
      <c r="C28" s="378">
        <v>51</v>
      </c>
      <c r="D28" s="34"/>
      <c r="E28" s="34"/>
    </row>
    <row r="29" spans="1:5" ht="19.5" thickBot="1">
      <c r="A29" s="582" t="s">
        <v>1258</v>
      </c>
      <c r="B29" s="583" t="s">
        <v>69</v>
      </c>
      <c r="C29" s="378">
        <f>SUM(C25:C28)</f>
        <v>914</v>
      </c>
      <c r="D29" s="378">
        <f>SUM(D25:D28)</f>
        <v>0</v>
      </c>
      <c r="E29" s="378">
        <f>SUM(E25:E28)</f>
        <v>108</v>
      </c>
    </row>
    <row r="30" spans="1:5" ht="19.5" thickBot="1">
      <c r="A30" s="282"/>
      <c r="B30" s="283"/>
      <c r="C30" s="377"/>
      <c r="D30" s="34"/>
      <c r="E30" s="34"/>
    </row>
    <row r="31" spans="1:5" ht="18.75">
      <c r="A31" s="249" t="s">
        <v>1259</v>
      </c>
      <c r="B31" s="291" t="s">
        <v>533</v>
      </c>
      <c r="C31" s="377">
        <v>10</v>
      </c>
      <c r="D31" s="34"/>
      <c r="E31" s="34"/>
    </row>
    <row r="32" spans="1:5" ht="18.75">
      <c r="A32" s="253" t="s">
        <v>1260</v>
      </c>
      <c r="B32" s="254" t="s">
        <v>534</v>
      </c>
      <c r="C32" s="377"/>
      <c r="D32" s="41"/>
      <c r="E32" s="34"/>
    </row>
    <row r="33" spans="1:5" ht="18.75">
      <c r="A33" s="253" t="s">
        <v>1262</v>
      </c>
      <c r="B33" s="254" t="s">
        <v>1261</v>
      </c>
      <c r="C33" s="377"/>
      <c r="D33" s="41"/>
      <c r="E33" s="34"/>
    </row>
    <row r="34" spans="1:5" ht="18.75">
      <c r="A34" s="253" t="s">
        <v>1263</v>
      </c>
      <c r="B34" s="254" t="s">
        <v>124</v>
      </c>
      <c r="C34" s="377"/>
      <c r="D34" s="41"/>
      <c r="E34" s="34"/>
    </row>
    <row r="35" spans="1:5" ht="18.75">
      <c r="A35" s="253" t="s">
        <v>1264</v>
      </c>
      <c r="B35" s="254" t="s">
        <v>1265</v>
      </c>
      <c r="C35" s="570">
        <v>240</v>
      </c>
      <c r="D35" s="41"/>
      <c r="E35" s="34"/>
    </row>
    <row r="36" spans="1:5" ht="18.75">
      <c r="A36" s="253" t="s">
        <v>1335</v>
      </c>
      <c r="B36" s="562" t="s">
        <v>548</v>
      </c>
      <c r="C36" s="570">
        <f>SUM(C31:C35)</f>
        <v>250</v>
      </c>
      <c r="D36" s="570">
        <f>SUM(D31:D35)</f>
        <v>0</v>
      </c>
      <c r="E36" s="570">
        <f>SUM(E31:E35)</f>
        <v>0</v>
      </c>
    </row>
    <row r="37" spans="1:5" ht="18.75">
      <c r="A37" s="253" t="s">
        <v>1342</v>
      </c>
      <c r="B37" s="254" t="s">
        <v>1343</v>
      </c>
      <c r="C37" s="570"/>
      <c r="D37" s="570"/>
      <c r="E37" s="570"/>
    </row>
    <row r="38" spans="1:5" ht="18.75">
      <c r="A38" s="253" t="s">
        <v>1344</v>
      </c>
      <c r="B38" s="254" t="s">
        <v>1267</v>
      </c>
      <c r="C38" s="570"/>
      <c r="D38" s="34"/>
      <c r="E38" s="34"/>
    </row>
    <row r="39" spans="1:5" ht="18.75">
      <c r="A39" s="253" t="s">
        <v>1345</v>
      </c>
      <c r="B39" s="254" t="s">
        <v>88</v>
      </c>
      <c r="C39" s="570"/>
      <c r="D39" s="34"/>
      <c r="E39" s="34"/>
    </row>
    <row r="40" spans="1:5" ht="18.75">
      <c r="A40" s="253" t="s">
        <v>1346</v>
      </c>
      <c r="B40" s="254" t="s">
        <v>1268</v>
      </c>
      <c r="C40" s="377">
        <v>36</v>
      </c>
      <c r="D40" s="34"/>
      <c r="E40" s="34"/>
    </row>
    <row r="41" spans="1:5" ht="19.5" thickBot="1">
      <c r="A41" s="288" t="s">
        <v>1347</v>
      </c>
      <c r="B41" s="289" t="s">
        <v>1269</v>
      </c>
      <c r="C41" s="377">
        <v>400</v>
      </c>
      <c r="D41" s="34"/>
      <c r="E41" s="34"/>
    </row>
    <row r="42" spans="1:5" ht="17.25" customHeight="1" thickBot="1">
      <c r="A42" s="268" t="s">
        <v>1266</v>
      </c>
      <c r="B42" s="571" t="s">
        <v>1270</v>
      </c>
      <c r="C42" s="377">
        <f>SUM(C37:C41)</f>
        <v>436</v>
      </c>
      <c r="D42" s="377">
        <f>SUM(D38:D41)</f>
        <v>0</v>
      </c>
      <c r="E42" s="377">
        <f>SUM(E38:E41)</f>
        <v>0</v>
      </c>
    </row>
    <row r="43" spans="1:5" ht="22.5" customHeight="1" thickBot="1">
      <c r="A43" s="572" t="s">
        <v>1300</v>
      </c>
      <c r="B43" s="573" t="s">
        <v>595</v>
      </c>
      <c r="C43" s="574">
        <f>SUM(C42,C36)</f>
        <v>686</v>
      </c>
      <c r="D43" s="574">
        <f>SUM(D42,D36)</f>
        <v>0</v>
      </c>
      <c r="E43" s="574">
        <f>SUM(E42,E36)</f>
        <v>0</v>
      </c>
    </row>
    <row r="44" spans="1:5" ht="18.75">
      <c r="A44" s="249" t="s">
        <v>1271</v>
      </c>
      <c r="B44" s="291" t="s">
        <v>1348</v>
      </c>
      <c r="C44" s="377">
        <v>80</v>
      </c>
      <c r="D44" s="34"/>
      <c r="E44" s="34"/>
    </row>
    <row r="45" spans="1:5" ht="18.75">
      <c r="A45" s="494" t="s">
        <v>1350</v>
      </c>
      <c r="B45" s="590" t="s">
        <v>1351</v>
      </c>
      <c r="C45" s="377"/>
      <c r="D45" s="34"/>
      <c r="E45" s="34"/>
    </row>
    <row r="46" spans="1:6" ht="18.75">
      <c r="A46" s="253" t="s">
        <v>1272</v>
      </c>
      <c r="B46" s="254" t="s">
        <v>1349</v>
      </c>
      <c r="C46" s="295">
        <v>150</v>
      </c>
      <c r="D46" s="566"/>
      <c r="E46" s="34">
        <v>120</v>
      </c>
      <c r="F46" s="21" t="s">
        <v>1456</v>
      </c>
    </row>
    <row r="47" spans="1:5" ht="18.75">
      <c r="A47" s="575" t="s">
        <v>1301</v>
      </c>
      <c r="B47" s="576" t="s">
        <v>1366</v>
      </c>
      <c r="C47" s="577">
        <f>SUM(C44:C46)</f>
        <v>230</v>
      </c>
      <c r="D47" s="577">
        <f>SUM(D44:D46)</f>
        <v>0</v>
      </c>
      <c r="E47" s="577">
        <f>SUM(E44:E46)</f>
        <v>120</v>
      </c>
    </row>
    <row r="48" spans="1:5" ht="18.75">
      <c r="A48" s="253" t="s">
        <v>1275</v>
      </c>
      <c r="B48" s="254" t="s">
        <v>544</v>
      </c>
      <c r="C48" s="295">
        <v>910</v>
      </c>
      <c r="D48" s="566"/>
      <c r="E48" s="34"/>
    </row>
    <row r="49" spans="1:5" ht="18.75">
      <c r="A49" s="253" t="s">
        <v>1274</v>
      </c>
      <c r="B49" s="254" t="s">
        <v>543</v>
      </c>
      <c r="C49" s="295">
        <v>3500</v>
      </c>
      <c r="D49" s="34"/>
      <c r="E49" s="34"/>
    </row>
    <row r="50" spans="1:5" ht="18.75">
      <c r="A50" s="253" t="s">
        <v>1276</v>
      </c>
      <c r="B50" s="254" t="s">
        <v>503</v>
      </c>
      <c r="C50" s="295">
        <v>450</v>
      </c>
      <c r="D50" s="34"/>
      <c r="E50" s="34"/>
    </row>
    <row r="51" spans="1:5" ht="18.75">
      <c r="A51" s="575" t="s">
        <v>1273</v>
      </c>
      <c r="B51" s="576" t="s">
        <v>1277</v>
      </c>
      <c r="C51" s="577">
        <f>SUM(C48:C50)</f>
        <v>4860</v>
      </c>
      <c r="D51" s="577">
        <f>SUM(D48:D50)</f>
        <v>0</v>
      </c>
      <c r="E51" s="577">
        <f>SUM(E48:E50)</f>
        <v>0</v>
      </c>
    </row>
    <row r="52" spans="1:5" ht="18.75">
      <c r="A52" s="253" t="s">
        <v>1332</v>
      </c>
      <c r="B52" s="254" t="s">
        <v>1278</v>
      </c>
      <c r="C52" s="295"/>
      <c r="D52" s="34"/>
      <c r="E52" s="34"/>
    </row>
    <row r="53" spans="1:5" ht="18.75">
      <c r="A53" s="253" t="s">
        <v>1280</v>
      </c>
      <c r="B53" s="254" t="s">
        <v>26</v>
      </c>
      <c r="C53" s="295">
        <v>195</v>
      </c>
      <c r="D53" s="41"/>
      <c r="E53" s="34"/>
    </row>
    <row r="54" spans="1:5" ht="18.75">
      <c r="A54" s="253" t="s">
        <v>1281</v>
      </c>
      <c r="B54" s="254" t="s">
        <v>1352</v>
      </c>
      <c r="C54" s="377">
        <v>90</v>
      </c>
      <c r="D54" s="34"/>
      <c r="E54" s="34"/>
    </row>
    <row r="55" spans="1:5" ht="18.75">
      <c r="A55" s="575" t="s">
        <v>1283</v>
      </c>
      <c r="B55" s="576" t="s">
        <v>1282</v>
      </c>
      <c r="C55" s="574">
        <f>SUM(C53:C54)</f>
        <v>285</v>
      </c>
      <c r="D55" s="574">
        <f>SUM(D53:D54)</f>
        <v>0</v>
      </c>
      <c r="E55" s="574">
        <f>SUM(E53:E54)</f>
        <v>0</v>
      </c>
    </row>
    <row r="56" spans="1:5" ht="18.75">
      <c r="A56" s="575" t="s">
        <v>1284</v>
      </c>
      <c r="B56" s="588" t="s">
        <v>1333</v>
      </c>
      <c r="C56" s="589"/>
      <c r="D56" s="589"/>
      <c r="E56" s="589"/>
    </row>
    <row r="57" spans="1:5" ht="18.75">
      <c r="A57" s="288"/>
      <c r="B57" s="554" t="s">
        <v>943</v>
      </c>
      <c r="C57" s="554"/>
      <c r="D57" s="554"/>
      <c r="E57" s="554"/>
    </row>
    <row r="58" spans="1:6" ht="18.75">
      <c r="A58" s="288" t="s">
        <v>1353</v>
      </c>
      <c r="B58" s="554" t="s">
        <v>547</v>
      </c>
      <c r="C58" s="554">
        <v>360</v>
      </c>
      <c r="D58" s="554"/>
      <c r="E58" s="554">
        <v>115</v>
      </c>
      <c r="F58" s="21" t="s">
        <v>1457</v>
      </c>
    </row>
    <row r="59" spans="1:5" ht="18.75">
      <c r="A59" s="288" t="s">
        <v>1354</v>
      </c>
      <c r="B59" s="554" t="s">
        <v>1355</v>
      </c>
      <c r="C59" s="554"/>
      <c r="D59" s="554"/>
      <c r="E59" s="554"/>
    </row>
    <row r="60" spans="1:5" ht="27" customHeight="1">
      <c r="A60" s="561" t="s">
        <v>1285</v>
      </c>
      <c r="B60" s="552" t="s">
        <v>945</v>
      </c>
      <c r="C60" s="591">
        <f>SUM(C58:C59)</f>
        <v>360</v>
      </c>
      <c r="D60" s="591">
        <f>SUM(D58:D59)</f>
        <v>0</v>
      </c>
      <c r="E60" s="591">
        <f>SUM(E58:E59)</f>
        <v>115</v>
      </c>
    </row>
    <row r="61" spans="1:5" ht="23.25" customHeight="1">
      <c r="A61" s="462" t="s">
        <v>1356</v>
      </c>
      <c r="B61" s="553" t="s">
        <v>1362</v>
      </c>
      <c r="C61" s="591"/>
      <c r="D61" s="591"/>
      <c r="E61" s="591"/>
    </row>
    <row r="62" spans="1:5" ht="23.25" customHeight="1">
      <c r="A62" s="462" t="s">
        <v>1357</v>
      </c>
      <c r="B62" s="553" t="s">
        <v>1358</v>
      </c>
      <c r="C62" s="591"/>
      <c r="D62" s="591"/>
      <c r="E62" s="591"/>
    </row>
    <row r="63" spans="1:6" ht="23.25" customHeight="1">
      <c r="A63" s="462" t="s">
        <v>1359</v>
      </c>
      <c r="B63" s="553" t="s">
        <v>9</v>
      </c>
      <c r="C63" s="591">
        <v>5640</v>
      </c>
      <c r="D63" s="591"/>
      <c r="E63" s="591">
        <v>5850</v>
      </c>
      <c r="F63" s="21" t="s">
        <v>1529</v>
      </c>
    </row>
    <row r="64" spans="1:6" ht="23.25" customHeight="1" thickBot="1">
      <c r="A64" s="462" t="s">
        <v>1360</v>
      </c>
      <c r="B64" s="553" t="s">
        <v>1361</v>
      </c>
      <c r="C64" s="591">
        <v>20</v>
      </c>
      <c r="D64" s="591"/>
      <c r="E64" s="591"/>
      <c r="F64" s="21" t="s">
        <v>1368</v>
      </c>
    </row>
    <row r="65" spans="1:5" ht="17.25" customHeight="1" thickBot="1">
      <c r="A65" s="298" t="s">
        <v>1286</v>
      </c>
      <c r="B65" s="552" t="s">
        <v>948</v>
      </c>
      <c r="C65" s="591">
        <f>SUM(C61:C64)</f>
        <v>5660</v>
      </c>
      <c r="D65" s="591">
        <f>SUM(D61:D64)</f>
        <v>0</v>
      </c>
      <c r="E65" s="591">
        <f>SUM(E61:E64)</f>
        <v>5850</v>
      </c>
    </row>
    <row r="66" spans="1:5" ht="25.5" customHeight="1">
      <c r="A66" s="578" t="s">
        <v>1279</v>
      </c>
      <c r="B66" s="579" t="s">
        <v>1287</v>
      </c>
      <c r="C66" s="603">
        <f>SUM(C65+C60+C56+C55+C52+C51)</f>
        <v>11165</v>
      </c>
      <c r="D66" s="603">
        <f>SUM(D65+D60+D56+D55+D52+D51)</f>
        <v>0</v>
      </c>
      <c r="E66" s="603">
        <f>SUM(E65+E60+E56+E55+E51)</f>
        <v>5965</v>
      </c>
    </row>
    <row r="67" spans="1:5" ht="18.75">
      <c r="A67" s="253" t="s">
        <v>1288</v>
      </c>
      <c r="B67" s="553" t="s">
        <v>952</v>
      </c>
      <c r="C67" s="553"/>
      <c r="D67" s="553"/>
      <c r="E67" s="553"/>
    </row>
    <row r="68" spans="1:5" ht="18.75">
      <c r="A68" s="253" t="s">
        <v>1289</v>
      </c>
      <c r="B68" s="553" t="s">
        <v>954</v>
      </c>
      <c r="C68" s="553"/>
      <c r="D68" s="553"/>
      <c r="E68" s="553"/>
    </row>
    <row r="69" spans="1:5" ht="24" customHeight="1">
      <c r="A69" s="575" t="s">
        <v>1291</v>
      </c>
      <c r="B69" s="579" t="s">
        <v>1290</v>
      </c>
      <c r="C69" s="579">
        <f>SUM(C67:C68)</f>
        <v>0</v>
      </c>
      <c r="D69" s="579">
        <f>SUM(D67:D68)</f>
        <v>0</v>
      </c>
      <c r="E69" s="579">
        <f>SUM(E67:E68)</f>
        <v>0</v>
      </c>
    </row>
    <row r="70" spans="1:7" ht="26.25" customHeight="1" thickBot="1">
      <c r="A70" s="561" t="s">
        <v>1294</v>
      </c>
      <c r="B70" s="552" t="s">
        <v>958</v>
      </c>
      <c r="C70" s="552">
        <v>3202</v>
      </c>
      <c r="D70" s="552"/>
      <c r="E70" s="552">
        <v>1580</v>
      </c>
      <c r="F70" s="597">
        <f>E66-E60</f>
        <v>5850</v>
      </c>
      <c r="G70" s="21">
        <f>F70*27%</f>
        <v>1579.5</v>
      </c>
    </row>
    <row r="71" spans="1:5" ht="27" customHeight="1" thickBot="1">
      <c r="A71" s="268" t="s">
        <v>1295</v>
      </c>
      <c r="B71" s="552" t="s">
        <v>960</v>
      </c>
      <c r="C71" s="552"/>
      <c r="D71" s="552"/>
      <c r="E71" s="552"/>
    </row>
    <row r="72" spans="1:5" ht="19.5" thickBot="1">
      <c r="A72" s="210" t="s">
        <v>1296</v>
      </c>
      <c r="B72" s="552" t="s">
        <v>1293</v>
      </c>
      <c r="C72" s="552"/>
      <c r="D72" s="552"/>
      <c r="E72" s="552"/>
    </row>
    <row r="73" spans="1:5" ht="24.75" customHeight="1">
      <c r="A73" s="593" t="s">
        <v>1298</v>
      </c>
      <c r="B73" s="594" t="s">
        <v>1363</v>
      </c>
      <c r="C73" s="594"/>
      <c r="D73" s="552"/>
      <c r="E73" s="552"/>
    </row>
    <row r="74" spans="1:6" ht="24.75" customHeight="1">
      <c r="A74" s="592" t="s">
        <v>1364</v>
      </c>
      <c r="B74" s="563" t="s">
        <v>1365</v>
      </c>
      <c r="C74" s="563"/>
      <c r="D74" s="553"/>
      <c r="E74" s="553"/>
      <c r="F74" s="21" t="s">
        <v>1369</v>
      </c>
    </row>
    <row r="75" spans="1:5" ht="24.75" customHeight="1">
      <c r="A75" s="592" t="s">
        <v>1370</v>
      </c>
      <c r="B75" s="563" t="s">
        <v>1367</v>
      </c>
      <c r="C75" s="563"/>
      <c r="D75" s="553"/>
      <c r="E75" s="553"/>
    </row>
    <row r="76" spans="1:5" ht="18.75">
      <c r="A76" s="98" t="s">
        <v>1297</v>
      </c>
      <c r="B76" s="552" t="s">
        <v>970</v>
      </c>
      <c r="C76" s="552">
        <f>SUM(C74:C75)</f>
        <v>0</v>
      </c>
      <c r="D76" s="552">
        <f>SUM(D74:D75)</f>
        <v>0</v>
      </c>
      <c r="E76" s="552">
        <f>SUM(E74:E75)</f>
        <v>0</v>
      </c>
    </row>
    <row r="77" spans="1:5" ht="24.75" customHeight="1">
      <c r="A77" s="580" t="s">
        <v>1292</v>
      </c>
      <c r="B77" s="579" t="s">
        <v>1334</v>
      </c>
      <c r="C77" s="579">
        <f>C76+C73+C72+C71+C70</f>
        <v>3202</v>
      </c>
      <c r="D77" s="579">
        <f>D76+D73+D72+D71+D70</f>
        <v>0</v>
      </c>
      <c r="E77" s="579">
        <f>E76+E73+E72+E71+E70</f>
        <v>1580</v>
      </c>
    </row>
    <row r="78" spans="1:10" ht="24.75" customHeight="1">
      <c r="A78" s="587" t="s">
        <v>1299</v>
      </c>
      <c r="B78" s="585" t="s">
        <v>70</v>
      </c>
      <c r="C78" s="579">
        <f>SUM(C77+C69+C66+C47+C43)</f>
        <v>15283</v>
      </c>
      <c r="D78" s="579">
        <f>SUM(D77+D69+D66+D47+D43)</f>
        <v>0</v>
      </c>
      <c r="E78" s="579">
        <f>SUM(E77+E69+E66+E47+E43)</f>
        <v>7665</v>
      </c>
      <c r="F78" s="560"/>
      <c r="G78" s="560"/>
      <c r="H78" s="560"/>
      <c r="I78" s="560"/>
      <c r="J78" s="560"/>
    </row>
    <row r="79" spans="1:10" ht="24.75" customHeight="1">
      <c r="A79" s="98" t="s">
        <v>1307</v>
      </c>
      <c r="B79" s="553" t="s">
        <v>1302</v>
      </c>
      <c r="C79" s="552"/>
      <c r="D79" s="552"/>
      <c r="E79" s="552"/>
      <c r="F79" s="560"/>
      <c r="G79" s="560"/>
      <c r="H79" s="560"/>
      <c r="I79" s="560"/>
      <c r="J79" s="560"/>
    </row>
    <row r="80" spans="1:10" ht="24.75" customHeight="1">
      <c r="A80" s="98" t="s">
        <v>1306</v>
      </c>
      <c r="B80" s="553" t="s">
        <v>1308</v>
      </c>
      <c r="C80" s="552"/>
      <c r="D80" s="552"/>
      <c r="E80" s="552"/>
      <c r="F80" s="560"/>
      <c r="G80" s="560"/>
      <c r="H80" s="560"/>
      <c r="I80" s="560"/>
      <c r="J80" s="560"/>
    </row>
    <row r="81" spans="1:10" ht="24.75" customHeight="1">
      <c r="A81" s="98"/>
      <c r="B81" s="97" t="s">
        <v>1304</v>
      </c>
      <c r="C81" s="552"/>
      <c r="D81" s="552"/>
      <c r="E81" s="552"/>
      <c r="F81" s="560"/>
      <c r="G81" s="560"/>
      <c r="H81" s="560"/>
      <c r="I81" s="560"/>
      <c r="J81" s="560"/>
    </row>
    <row r="82" spans="1:5" ht="18.75">
      <c r="A82" s="98"/>
      <c r="B82" s="97" t="s">
        <v>1303</v>
      </c>
      <c r="C82" s="377"/>
      <c r="D82" s="34"/>
      <c r="E82" s="34"/>
    </row>
    <row r="83" spans="1:5" ht="18.75">
      <c r="A83" s="98"/>
      <c r="B83" s="567" t="s">
        <v>1305</v>
      </c>
      <c r="C83" s="377"/>
      <c r="D83" s="34"/>
      <c r="E83" s="34"/>
    </row>
    <row r="84" spans="1:5" ht="25.5">
      <c r="A84" s="580" t="s">
        <v>1341</v>
      </c>
      <c r="B84" s="579" t="s">
        <v>1337</v>
      </c>
      <c r="C84" s="377">
        <f>SUM(C80:C83)</f>
        <v>0</v>
      </c>
      <c r="D84" s="377">
        <f>SUM(D80:D83)</f>
        <v>0</v>
      </c>
      <c r="E84" s="377">
        <f>SUM(E80:E83)</f>
        <v>0</v>
      </c>
    </row>
    <row r="85" spans="1:5" s="564" customFormat="1" ht="18.75">
      <c r="A85" s="587" t="s">
        <v>1336</v>
      </c>
      <c r="B85" s="587" t="s">
        <v>1340</v>
      </c>
      <c r="C85" s="574">
        <f>SUM(C79+C84)</f>
        <v>0</v>
      </c>
      <c r="D85" s="574">
        <f>SUM(D79+D84)</f>
        <v>0</v>
      </c>
      <c r="E85" s="574">
        <f>SUM(E79+E84)</f>
        <v>0</v>
      </c>
    </row>
    <row r="86" spans="1:5" ht="18.75">
      <c r="A86" s="97" t="s">
        <v>1309</v>
      </c>
      <c r="B86" s="553" t="s">
        <v>1113</v>
      </c>
      <c r="C86" s="553"/>
      <c r="D86" s="553"/>
      <c r="E86" s="553"/>
    </row>
    <row r="87" spans="1:5" s="382" customFormat="1" ht="15">
      <c r="A87" s="97" t="s">
        <v>1310</v>
      </c>
      <c r="B87" s="553" t="s">
        <v>1371</v>
      </c>
      <c r="C87" s="553"/>
      <c r="D87" s="553"/>
      <c r="E87" s="553"/>
    </row>
    <row r="88" spans="1:5" ht="18.75">
      <c r="A88" s="172" t="s">
        <v>1311</v>
      </c>
      <c r="B88" s="553" t="s">
        <v>1117</v>
      </c>
      <c r="C88" s="553"/>
      <c r="D88" s="553"/>
      <c r="E88" s="553"/>
    </row>
    <row r="89" spans="1:5" ht="24" customHeight="1">
      <c r="A89" s="172" t="s">
        <v>1312</v>
      </c>
      <c r="B89" s="553" t="s">
        <v>1118</v>
      </c>
      <c r="C89" s="553"/>
      <c r="D89" s="553"/>
      <c r="E89" s="553"/>
    </row>
    <row r="90" spans="1:5" ht="26.25" customHeight="1">
      <c r="A90" s="172" t="s">
        <v>1313</v>
      </c>
      <c r="B90" s="553" t="s">
        <v>1120</v>
      </c>
      <c r="C90" s="553"/>
      <c r="D90" s="553"/>
      <c r="E90" s="553"/>
    </row>
    <row r="91" spans="1:5" ht="25.5" customHeight="1">
      <c r="A91" s="172" t="s">
        <v>1314</v>
      </c>
      <c r="B91" s="553" t="s">
        <v>1126</v>
      </c>
      <c r="C91" s="553"/>
      <c r="D91" s="553"/>
      <c r="E91" s="553"/>
    </row>
    <row r="92" spans="1:5" ht="18.75">
      <c r="A92" s="584" t="s">
        <v>1315</v>
      </c>
      <c r="B92" s="585" t="s">
        <v>1339</v>
      </c>
      <c r="C92" s="552">
        <f>SUM(C86:C91)</f>
        <v>0</v>
      </c>
      <c r="D92" s="552">
        <f>SUM(D86:D91)</f>
        <v>0</v>
      </c>
      <c r="E92" s="552">
        <f>SUM(E86:E91)</f>
        <v>0</v>
      </c>
    </row>
    <row r="93" spans="1:6" ht="18.75">
      <c r="A93" s="172" t="s">
        <v>1316</v>
      </c>
      <c r="B93" s="553" t="s">
        <v>1130</v>
      </c>
      <c r="C93" s="553"/>
      <c r="D93" s="553"/>
      <c r="E93" s="553"/>
      <c r="F93" s="21" t="s">
        <v>1458</v>
      </c>
    </row>
    <row r="94" spans="1:5" ht="18.75">
      <c r="A94" s="172" t="s">
        <v>1317</v>
      </c>
      <c r="B94" s="553" t="s">
        <v>1132</v>
      </c>
      <c r="C94" s="553"/>
      <c r="D94" s="553"/>
      <c r="E94" s="553"/>
    </row>
    <row r="95" spans="1:5" ht="18.75">
      <c r="A95" s="172" t="s">
        <v>1318</v>
      </c>
      <c r="B95" s="553" t="s">
        <v>1134</v>
      </c>
      <c r="C95" s="553"/>
      <c r="D95" s="553"/>
      <c r="E95" s="553"/>
    </row>
    <row r="96" spans="1:5" ht="24" customHeight="1">
      <c r="A96" s="172" t="s">
        <v>1319</v>
      </c>
      <c r="B96" s="553" t="s">
        <v>1136</v>
      </c>
      <c r="C96" s="553"/>
      <c r="D96" s="553"/>
      <c r="E96" s="553"/>
    </row>
    <row r="97" spans="1:5" ht="18.75">
      <c r="A97" s="584" t="s">
        <v>1320</v>
      </c>
      <c r="B97" s="585" t="s">
        <v>1338</v>
      </c>
      <c r="C97" s="552">
        <f>SUM(C93:C96)</f>
        <v>0</v>
      </c>
      <c r="D97" s="552">
        <f>SUM(D93:D96)</f>
        <v>0</v>
      </c>
      <c r="E97" s="552">
        <f>SUM(E93:E96)</f>
        <v>0</v>
      </c>
    </row>
    <row r="98" spans="1:5" ht="25.5" customHeight="1">
      <c r="A98" s="172" t="s">
        <v>1323</v>
      </c>
      <c r="B98" s="555" t="s">
        <v>1325</v>
      </c>
      <c r="C98" s="555"/>
      <c r="D98" s="555"/>
      <c r="E98" s="555"/>
    </row>
    <row r="99" spans="1:5" ht="27" customHeight="1">
      <c r="A99" s="457" t="s">
        <v>1322</v>
      </c>
      <c r="B99" s="553" t="s">
        <v>1321</v>
      </c>
      <c r="C99" s="553"/>
      <c r="D99" s="553"/>
      <c r="E99" s="553"/>
    </row>
    <row r="100" spans="1:5" ht="18.75">
      <c r="A100" s="584" t="s">
        <v>1326</v>
      </c>
      <c r="B100" s="586" t="s">
        <v>1324</v>
      </c>
      <c r="C100" s="295">
        <f>SUM(C98:C99)</f>
        <v>0</v>
      </c>
      <c r="D100" s="295">
        <f>SUM(D98:D99)</f>
        <v>0</v>
      </c>
      <c r="E100" s="295">
        <f>SUM(E98:E99)</f>
        <v>0</v>
      </c>
    </row>
    <row r="101" spans="1:5" ht="18.75">
      <c r="A101" s="34"/>
      <c r="B101" s="36" t="s">
        <v>118</v>
      </c>
      <c r="C101" s="581">
        <f>SUM(C100+C97+C92+C85+C78+C29+C23)</f>
        <v>19503</v>
      </c>
      <c r="D101" s="581">
        <f>SUM(D100+D97+D92+D85+D78+D29+D23)</f>
        <v>0</v>
      </c>
      <c r="E101" s="581">
        <f>SUM(E100+E97+E92+E85+E78+E29+E23)</f>
        <v>8223</v>
      </c>
    </row>
  </sheetData>
  <sheetProtection/>
  <mergeCells count="1">
    <mergeCell ref="A2:E2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00B050"/>
  </sheetPr>
  <dimension ref="A3:H61"/>
  <sheetViews>
    <sheetView view="pageBreakPreview" zoomScale="60" zoomScalePageLayoutView="0" workbookViewId="0" topLeftCell="A13">
      <selection activeCell="H25" sqref="H25"/>
    </sheetView>
  </sheetViews>
  <sheetFormatPr defaultColWidth="8.66015625" defaultRowHeight="18"/>
  <cols>
    <col min="1" max="1" width="9.08203125" style="21" bestFit="1" customWidth="1"/>
    <col min="2" max="2" width="40.33203125" style="21" customWidth="1"/>
    <col min="3" max="3" width="10.25" style="21" customWidth="1"/>
    <col min="4" max="4" width="9.33203125" style="21" customWidth="1"/>
    <col min="5" max="5" width="11.25" style="3" customWidth="1"/>
    <col min="6" max="6" width="10.33203125" style="21" customWidth="1"/>
    <col min="7" max="16384" width="8.91015625" style="21" customWidth="1"/>
  </cols>
  <sheetData>
    <row r="3" spans="1:2" ht="19.5" thickBot="1">
      <c r="A3" s="21" t="s">
        <v>192</v>
      </c>
      <c r="B3" s="339" t="s">
        <v>195</v>
      </c>
    </row>
    <row r="4" spans="1:2" ht="20.25" thickBot="1" thickTop="1">
      <c r="A4" s="31"/>
      <c r="B4" s="119"/>
    </row>
    <row r="5" spans="1:7" ht="19.5" thickTop="1">
      <c r="A5" s="119"/>
      <c r="B5" s="119"/>
      <c r="C5" s="81" t="s">
        <v>262</v>
      </c>
      <c r="D5" s="81" t="s">
        <v>281</v>
      </c>
      <c r="E5" s="134" t="s">
        <v>614</v>
      </c>
      <c r="F5" s="326" t="s">
        <v>626</v>
      </c>
      <c r="G5" s="448" t="s">
        <v>616</v>
      </c>
    </row>
    <row r="6" spans="1:7" ht="18.75">
      <c r="A6" s="121"/>
      <c r="B6" s="121"/>
      <c r="C6" s="34"/>
      <c r="D6" s="81"/>
      <c r="E6" s="50"/>
      <c r="F6" s="34"/>
      <c r="G6" s="34"/>
    </row>
    <row r="7" spans="1:7" ht="18.75">
      <c r="A7" s="121"/>
      <c r="B7" s="121" t="s">
        <v>156</v>
      </c>
      <c r="C7" s="34"/>
      <c r="D7" s="81"/>
      <c r="E7" s="50"/>
      <c r="F7" s="34"/>
      <c r="G7" s="34"/>
    </row>
    <row r="8" spans="1:7" ht="18.75">
      <c r="A8" s="121"/>
      <c r="B8" s="121" t="s">
        <v>248</v>
      </c>
      <c r="C8" s="118"/>
      <c r="D8" s="118"/>
      <c r="E8" s="50"/>
      <c r="F8" s="34">
        <v>58</v>
      </c>
      <c r="G8" s="34"/>
    </row>
    <row r="9" spans="1:7" ht="18.75">
      <c r="A9" s="121"/>
      <c r="B9" s="121" t="s">
        <v>252</v>
      </c>
      <c r="C9" s="118"/>
      <c r="D9" s="81"/>
      <c r="E9" s="50"/>
      <c r="F9" s="34">
        <v>15</v>
      </c>
      <c r="G9" s="34"/>
    </row>
    <row r="10" spans="1:7" ht="18.75">
      <c r="A10" s="121"/>
      <c r="B10" s="121" t="s">
        <v>231</v>
      </c>
      <c r="C10" s="118"/>
      <c r="D10" s="118"/>
      <c r="E10" s="50"/>
      <c r="F10" s="34"/>
      <c r="G10" s="34"/>
    </row>
    <row r="11" spans="1:7" ht="18.75">
      <c r="A11" s="121"/>
      <c r="B11" s="121" t="s">
        <v>232</v>
      </c>
      <c r="C11" s="118"/>
      <c r="D11" s="118"/>
      <c r="E11" s="50"/>
      <c r="F11" s="34">
        <v>20</v>
      </c>
      <c r="G11" s="34"/>
    </row>
    <row r="12" spans="1:7" ht="18.75">
      <c r="A12" s="121"/>
      <c r="B12" s="121" t="s">
        <v>233</v>
      </c>
      <c r="C12" s="118">
        <f>SUM(C8:C11)</f>
        <v>0</v>
      </c>
      <c r="D12" s="118">
        <f>SUM(D9:D11)</f>
        <v>0</v>
      </c>
      <c r="E12" s="50"/>
      <c r="F12" s="34"/>
      <c r="G12" s="34"/>
    </row>
    <row r="13" spans="1:7" ht="18.75">
      <c r="A13" s="121"/>
      <c r="B13" s="121"/>
      <c r="C13" s="34"/>
      <c r="D13" s="34"/>
      <c r="E13" s="50"/>
      <c r="F13" s="34"/>
      <c r="G13" s="34"/>
    </row>
    <row r="14" spans="1:7" ht="18.75">
      <c r="A14" s="121"/>
      <c r="B14" s="121"/>
      <c r="C14" s="34"/>
      <c r="D14" s="34"/>
      <c r="E14" s="50"/>
      <c r="F14" s="34"/>
      <c r="G14" s="34"/>
    </row>
    <row r="15" spans="1:7" ht="18.75">
      <c r="A15" s="34">
        <v>511112</v>
      </c>
      <c r="B15" s="34" t="s">
        <v>117</v>
      </c>
      <c r="C15" s="34">
        <v>1471</v>
      </c>
      <c r="D15" s="34">
        <v>1471</v>
      </c>
      <c r="E15" s="50">
        <f>'[3]GEVSZ'!$P$11/1000-360</f>
        <v>1610.9</v>
      </c>
      <c r="F15" s="34"/>
      <c r="G15" s="34">
        <v>1504</v>
      </c>
    </row>
    <row r="16" spans="1:8" ht="18.75">
      <c r="A16" s="34"/>
      <c r="B16" s="34" t="s">
        <v>253</v>
      </c>
      <c r="C16" s="34">
        <v>360</v>
      </c>
      <c r="D16" s="34">
        <v>360</v>
      </c>
      <c r="E16" s="50">
        <v>360</v>
      </c>
      <c r="F16" s="34"/>
      <c r="G16" s="34">
        <v>360</v>
      </c>
      <c r="H16" s="21" t="s">
        <v>296</v>
      </c>
    </row>
    <row r="17" spans="1:7" ht="18.75">
      <c r="A17" s="34">
        <v>52211</v>
      </c>
      <c r="B17" s="34" t="s">
        <v>67</v>
      </c>
      <c r="C17" s="34">
        <v>184</v>
      </c>
      <c r="D17" s="34">
        <v>184</v>
      </c>
      <c r="E17" s="50">
        <v>200</v>
      </c>
      <c r="F17" s="34"/>
      <c r="G17" s="34">
        <v>200</v>
      </c>
    </row>
    <row r="18" spans="1:7" ht="18.75">
      <c r="A18" s="34"/>
      <c r="B18" s="41" t="s">
        <v>759</v>
      </c>
      <c r="C18" s="34"/>
      <c r="D18" s="34"/>
      <c r="E18" s="50"/>
      <c r="F18" s="34"/>
      <c r="G18" s="34">
        <v>240</v>
      </c>
    </row>
    <row r="19" spans="1:7" ht="18.75">
      <c r="A19" s="34"/>
      <c r="B19" s="41" t="s">
        <v>220</v>
      </c>
      <c r="C19" s="34"/>
      <c r="D19" s="34"/>
      <c r="E19" s="50">
        <v>45</v>
      </c>
      <c r="F19" s="34"/>
      <c r="G19" s="34">
        <v>29</v>
      </c>
    </row>
    <row r="20" spans="1:7" ht="18.75">
      <c r="A20" s="34">
        <v>513192</v>
      </c>
      <c r="B20" s="41" t="s">
        <v>792</v>
      </c>
      <c r="C20" s="34">
        <v>10</v>
      </c>
      <c r="D20" s="34">
        <v>5</v>
      </c>
      <c r="E20" s="50"/>
      <c r="F20" s="34"/>
      <c r="G20" s="34">
        <v>176</v>
      </c>
    </row>
    <row r="21" spans="1:7" ht="18.75">
      <c r="A21" s="121">
        <v>51414</v>
      </c>
      <c r="B21" s="121" t="s">
        <v>181</v>
      </c>
      <c r="C21" s="34">
        <v>120</v>
      </c>
      <c r="D21" s="34">
        <v>120</v>
      </c>
      <c r="E21" s="50">
        <v>60</v>
      </c>
      <c r="F21" s="34"/>
      <c r="G21" s="34">
        <v>150</v>
      </c>
    </row>
    <row r="22" spans="1:7" ht="18.75">
      <c r="A22" s="121">
        <v>51</v>
      </c>
      <c r="B22" s="121" t="s">
        <v>68</v>
      </c>
      <c r="C22" s="44">
        <f>SUM(C15:C21)</f>
        <v>2145</v>
      </c>
      <c r="D22" s="44">
        <f>SUM(D15:D21)</f>
        <v>2140</v>
      </c>
      <c r="E22" s="50">
        <f>SUM(E15:E21)</f>
        <v>2275.9</v>
      </c>
      <c r="F22" s="50">
        <f>SUM(F15:F21)</f>
        <v>0</v>
      </c>
      <c r="G22" s="50">
        <f>SUM(G15:G21)</f>
        <v>2659</v>
      </c>
    </row>
    <row r="23" spans="1:7" ht="18.75">
      <c r="A23" s="34"/>
      <c r="B23" s="34"/>
      <c r="C23" s="34"/>
      <c r="D23" s="34"/>
      <c r="E23" s="50"/>
      <c r="F23" s="34"/>
      <c r="G23" s="34"/>
    </row>
    <row r="24" spans="1:8" ht="18.75">
      <c r="A24" s="34">
        <v>5331</v>
      </c>
      <c r="B24" s="34" t="s">
        <v>297</v>
      </c>
      <c r="C24" s="34"/>
      <c r="D24" s="118">
        <f>(D22-D21)*27%</f>
        <v>545.4000000000001</v>
      </c>
      <c r="E24" s="50">
        <f>(E22-E21)*27%</f>
        <v>598.2930000000001</v>
      </c>
      <c r="F24" s="34"/>
      <c r="G24" s="118">
        <f>H24*27%</f>
        <v>677.4300000000001</v>
      </c>
      <c r="H24" s="104">
        <f>G22-G21</f>
        <v>2509</v>
      </c>
    </row>
    <row r="25" spans="1:7" ht="18.75">
      <c r="A25" s="34">
        <v>5341</v>
      </c>
      <c r="B25" s="34" t="s">
        <v>575</v>
      </c>
      <c r="C25" s="34"/>
      <c r="D25" s="34"/>
      <c r="E25" s="50">
        <f>E21*16.7%</f>
        <v>10.02</v>
      </c>
      <c r="F25" s="34"/>
      <c r="G25" s="34">
        <v>25</v>
      </c>
    </row>
    <row r="26" spans="1:7" ht="18.75">
      <c r="A26" s="34"/>
      <c r="B26" s="41" t="s">
        <v>629</v>
      </c>
      <c r="C26" s="34"/>
      <c r="D26" s="34"/>
      <c r="E26" s="50"/>
      <c r="F26" s="34"/>
      <c r="G26" s="34">
        <v>29</v>
      </c>
    </row>
    <row r="27" spans="1:7" ht="18.75">
      <c r="A27" s="121">
        <v>53</v>
      </c>
      <c r="B27" s="121" t="s">
        <v>69</v>
      </c>
      <c r="C27" s="44">
        <f>SUM(C24:C25)</f>
        <v>0</v>
      </c>
      <c r="D27" s="44">
        <f>SUM(D24:D25)</f>
        <v>545.4000000000001</v>
      </c>
      <c r="E27" s="50">
        <f>SUM(E24:E25)</f>
        <v>608.3130000000001</v>
      </c>
      <c r="F27" s="50">
        <f>SUM(F24:F25)</f>
        <v>0</v>
      </c>
      <c r="G27" s="50">
        <f>SUM(G24:G26)</f>
        <v>731.4300000000001</v>
      </c>
    </row>
    <row r="28" spans="1:7" ht="18.75">
      <c r="A28" s="121"/>
      <c r="B28" s="121"/>
      <c r="C28" s="34"/>
      <c r="D28" s="34"/>
      <c r="E28" s="50"/>
      <c r="F28" s="34"/>
      <c r="G28" s="34"/>
    </row>
    <row r="29" spans="1:7" ht="18.75">
      <c r="A29" s="121"/>
      <c r="B29" s="121"/>
      <c r="C29" s="34"/>
      <c r="D29" s="34"/>
      <c r="E29" s="50"/>
      <c r="F29" s="34"/>
      <c r="G29" s="34"/>
    </row>
    <row r="30" spans="1:7" ht="18.75">
      <c r="A30" s="34">
        <v>38115</v>
      </c>
      <c r="B30" s="34" t="s">
        <v>119</v>
      </c>
      <c r="C30" s="34">
        <v>668</v>
      </c>
      <c r="D30" s="34">
        <v>2400</v>
      </c>
      <c r="E30" s="50">
        <v>2400</v>
      </c>
      <c r="F30" s="34">
        <v>2400</v>
      </c>
      <c r="G30" s="34">
        <v>2400</v>
      </c>
    </row>
    <row r="31" spans="1:7" ht="18.75">
      <c r="A31" s="34"/>
      <c r="B31" s="34"/>
      <c r="C31" s="34"/>
      <c r="D31" s="34"/>
      <c r="E31" s="50"/>
      <c r="F31" s="34"/>
      <c r="G31" s="34"/>
    </row>
    <row r="32" spans="1:7" ht="18.75">
      <c r="A32" s="25">
        <v>5431</v>
      </c>
      <c r="B32" s="25" t="s">
        <v>78</v>
      </c>
      <c r="C32" s="34">
        <v>40</v>
      </c>
      <c r="D32" s="34">
        <v>50</v>
      </c>
      <c r="E32" s="50">
        <v>65</v>
      </c>
      <c r="F32" s="34">
        <v>172</v>
      </c>
      <c r="G32" s="34">
        <v>175</v>
      </c>
    </row>
    <row r="33" spans="1:7" ht="18.75">
      <c r="A33" s="25">
        <v>54711</v>
      </c>
      <c r="B33" s="25" t="s">
        <v>79</v>
      </c>
      <c r="C33" s="34">
        <v>100</v>
      </c>
      <c r="D33" s="34">
        <v>100</v>
      </c>
      <c r="E33" s="50">
        <v>100</v>
      </c>
      <c r="F33" s="34"/>
      <c r="G33" s="34"/>
    </row>
    <row r="34" spans="1:7" ht="18.75">
      <c r="A34" s="25">
        <v>5481</v>
      </c>
      <c r="B34" s="25" t="s">
        <v>80</v>
      </c>
      <c r="C34" s="34">
        <v>20</v>
      </c>
      <c r="D34" s="34">
        <v>20</v>
      </c>
      <c r="E34" s="50">
        <v>20</v>
      </c>
      <c r="F34" s="34">
        <v>20</v>
      </c>
      <c r="G34" s="34">
        <v>20</v>
      </c>
    </row>
    <row r="35" spans="1:7" ht="18.75">
      <c r="A35" s="25">
        <v>54913</v>
      </c>
      <c r="B35" s="25" t="s">
        <v>90</v>
      </c>
      <c r="C35" s="34">
        <v>100</v>
      </c>
      <c r="D35" s="34">
        <v>100</v>
      </c>
      <c r="E35" s="50">
        <v>20</v>
      </c>
      <c r="F35" s="34"/>
      <c r="G35" s="34">
        <v>20</v>
      </c>
    </row>
    <row r="36" spans="1:7" ht="18.75">
      <c r="A36" s="25">
        <v>54</v>
      </c>
      <c r="B36" s="25" t="s">
        <v>7</v>
      </c>
      <c r="C36" s="34">
        <f>SUM(C32:C35)</f>
        <v>260</v>
      </c>
      <c r="D36" s="34">
        <f>SUM(D32:D35)</f>
        <v>270</v>
      </c>
      <c r="E36" s="50">
        <f>SUM(E32:E35)</f>
        <v>205</v>
      </c>
      <c r="F36" s="50">
        <f>SUM(F32:F35)</f>
        <v>192</v>
      </c>
      <c r="G36" s="50">
        <f>SUM(G32:G35)</f>
        <v>215</v>
      </c>
    </row>
    <row r="37" spans="1:7" ht="18.75">
      <c r="A37" s="25"/>
      <c r="B37" s="25"/>
      <c r="C37" s="34"/>
      <c r="D37" s="34"/>
      <c r="E37" s="50"/>
      <c r="F37" s="34"/>
      <c r="G37" s="34"/>
    </row>
    <row r="38" spans="1:7" ht="18.75">
      <c r="A38" s="25">
        <v>55111</v>
      </c>
      <c r="B38" s="25" t="s">
        <v>81</v>
      </c>
      <c r="C38" s="34">
        <v>200</v>
      </c>
      <c r="D38" s="34">
        <v>300</v>
      </c>
      <c r="E38" s="50">
        <v>200</v>
      </c>
      <c r="F38" s="34">
        <v>224</v>
      </c>
      <c r="G38" s="34">
        <v>240</v>
      </c>
    </row>
    <row r="39" spans="1:7" ht="18.75">
      <c r="A39" s="25">
        <v>55119</v>
      </c>
      <c r="B39" s="25" t="s">
        <v>34</v>
      </c>
      <c r="C39" s="34"/>
      <c r="D39" s="34"/>
      <c r="E39" s="50">
        <v>70</v>
      </c>
      <c r="F39" s="34"/>
      <c r="G39" s="34"/>
    </row>
    <row r="40" spans="1:7" ht="18.75">
      <c r="A40" s="25">
        <v>55212</v>
      </c>
      <c r="B40" s="25" t="s">
        <v>612</v>
      </c>
      <c r="C40" s="34"/>
      <c r="D40" s="34"/>
      <c r="E40" s="50">
        <v>1627</v>
      </c>
      <c r="F40" s="34"/>
      <c r="G40" s="34"/>
    </row>
    <row r="41" spans="1:7" ht="18.75">
      <c r="A41" s="25">
        <v>55214</v>
      </c>
      <c r="B41" s="25" t="s">
        <v>10</v>
      </c>
      <c r="C41" s="34">
        <v>300</v>
      </c>
      <c r="D41" s="34">
        <v>300</v>
      </c>
      <c r="E41" s="50">
        <v>320</v>
      </c>
      <c r="F41" s="34">
        <v>225</v>
      </c>
      <c r="G41" s="34">
        <v>290</v>
      </c>
    </row>
    <row r="42" spans="1:7" ht="18.75">
      <c r="A42" s="25">
        <v>55215</v>
      </c>
      <c r="B42" s="25" t="s">
        <v>11</v>
      </c>
      <c r="C42" s="34">
        <v>250</v>
      </c>
      <c r="D42" s="34">
        <v>250</v>
      </c>
      <c r="E42" s="50">
        <v>110</v>
      </c>
      <c r="F42" s="34">
        <v>80</v>
      </c>
      <c r="G42" s="34">
        <v>90</v>
      </c>
    </row>
    <row r="43" spans="1:7" ht="18.75">
      <c r="A43" s="25">
        <v>55217</v>
      </c>
      <c r="B43" s="25" t="s">
        <v>83</v>
      </c>
      <c r="C43" s="34">
        <v>100</v>
      </c>
      <c r="D43" s="34">
        <v>50</v>
      </c>
      <c r="E43" s="50">
        <v>55</v>
      </c>
      <c r="F43" s="34">
        <v>46</v>
      </c>
      <c r="G43" s="34">
        <v>55</v>
      </c>
    </row>
    <row r="44" spans="1:8" ht="18.75">
      <c r="A44" s="25">
        <v>552181</v>
      </c>
      <c r="B44" s="25" t="s">
        <v>26</v>
      </c>
      <c r="C44" s="44">
        <v>50</v>
      </c>
      <c r="D44" s="44">
        <v>50</v>
      </c>
      <c r="E44" s="50">
        <v>50</v>
      </c>
      <c r="F44" s="34">
        <v>10</v>
      </c>
      <c r="G44" s="34">
        <v>180</v>
      </c>
      <c r="H44" t="s">
        <v>762</v>
      </c>
    </row>
    <row r="45" spans="1:7" ht="18.75">
      <c r="A45" s="25">
        <v>552182</v>
      </c>
      <c r="B45" s="25" t="s">
        <v>85</v>
      </c>
      <c r="C45" s="34">
        <v>30</v>
      </c>
      <c r="D45" s="34">
        <v>30</v>
      </c>
      <c r="E45" s="50">
        <v>50</v>
      </c>
      <c r="F45" s="34">
        <v>10</v>
      </c>
      <c r="G45" s="34">
        <v>20</v>
      </c>
    </row>
    <row r="46" spans="1:7" ht="18.75">
      <c r="A46" s="25">
        <v>55219</v>
      </c>
      <c r="B46" s="25" t="s">
        <v>84</v>
      </c>
      <c r="C46" s="34">
        <v>20</v>
      </c>
      <c r="D46" s="34">
        <v>20</v>
      </c>
      <c r="E46" s="50">
        <v>100</v>
      </c>
      <c r="F46" s="34">
        <f>4</f>
        <v>4</v>
      </c>
      <c r="G46" s="34">
        <v>10</v>
      </c>
    </row>
    <row r="47" spans="1:8" ht="18.75">
      <c r="A47" s="25">
        <v>5531</v>
      </c>
      <c r="B47" s="122" t="s">
        <v>234</v>
      </c>
      <c r="C47" s="34">
        <v>250</v>
      </c>
      <c r="D47" s="34">
        <v>250</v>
      </c>
      <c r="E47" s="50">
        <v>100</v>
      </c>
      <c r="F47" s="34">
        <v>209</v>
      </c>
      <c r="G47" s="34">
        <v>210</v>
      </c>
      <c r="H47" t="s">
        <v>761</v>
      </c>
    </row>
    <row r="48" spans="1:7" ht="18.75">
      <c r="A48" s="25">
        <v>55</v>
      </c>
      <c r="B48" s="122" t="s">
        <v>16</v>
      </c>
      <c r="C48" s="44">
        <f>SUM(C38:C47)</f>
        <v>1200</v>
      </c>
      <c r="D48" s="44">
        <f>SUM(D38:D47)</f>
        <v>1250</v>
      </c>
      <c r="E48" s="50">
        <f>SUM(E38:E47)</f>
        <v>2682</v>
      </c>
      <c r="F48" s="50">
        <f>SUM(F38:F47)</f>
        <v>808</v>
      </c>
      <c r="G48" s="50">
        <f>SUM(G38:G47)</f>
        <v>1095</v>
      </c>
    </row>
    <row r="49" spans="1:7" ht="18.75">
      <c r="A49" s="25"/>
      <c r="B49" s="122"/>
      <c r="C49" s="34"/>
      <c r="D49" s="34"/>
      <c r="E49" s="50"/>
      <c r="F49" s="34"/>
      <c r="G49" s="34"/>
    </row>
    <row r="50" spans="1:8" ht="18.75">
      <c r="A50" s="25">
        <v>56111</v>
      </c>
      <c r="B50" s="122" t="s">
        <v>60</v>
      </c>
      <c r="C50" s="118">
        <f>(C48-C47+C36)*27%</f>
        <v>326.70000000000005</v>
      </c>
      <c r="D50" s="118">
        <f>(D48+D36)*27%</f>
        <v>410.40000000000003</v>
      </c>
      <c r="E50" s="50">
        <f>(E48+E36)*27%</f>
        <v>779.49</v>
      </c>
      <c r="F50" s="34">
        <v>252</v>
      </c>
      <c r="G50" s="118">
        <f>H50*27%</f>
        <v>353.70000000000005</v>
      </c>
      <c r="H50" s="104">
        <f>G48+G36</f>
        <v>1310</v>
      </c>
    </row>
    <row r="51" spans="1:7" ht="18.75">
      <c r="A51" s="25">
        <v>56211</v>
      </c>
      <c r="B51" s="122" t="s">
        <v>18</v>
      </c>
      <c r="C51" s="34">
        <v>60</v>
      </c>
      <c r="D51" s="34">
        <v>60</v>
      </c>
      <c r="E51" s="50">
        <v>60</v>
      </c>
      <c r="F51" s="34"/>
      <c r="G51" s="34">
        <v>60</v>
      </c>
    </row>
    <row r="52" spans="1:7" ht="18.75">
      <c r="A52" s="25">
        <v>56213</v>
      </c>
      <c r="B52" s="122" t="s">
        <v>19</v>
      </c>
      <c r="C52" s="34"/>
      <c r="D52" s="34"/>
      <c r="E52" s="50"/>
      <c r="F52" s="34"/>
      <c r="G52" s="34"/>
    </row>
    <row r="53" spans="1:7" ht="18.75">
      <c r="A53" s="25">
        <v>56</v>
      </c>
      <c r="B53" s="122" t="s">
        <v>20</v>
      </c>
      <c r="C53" s="118">
        <f>SUM(C50:C52)</f>
        <v>386.70000000000005</v>
      </c>
      <c r="D53" s="118">
        <f>SUM(D50:D52)</f>
        <v>470.40000000000003</v>
      </c>
      <c r="E53" s="50">
        <f>SUM(E50:E52)</f>
        <v>839.49</v>
      </c>
      <c r="F53" s="50">
        <f>SUM(F50:F52)</f>
        <v>252</v>
      </c>
      <c r="G53" s="50">
        <f>SUM(G50:G52)</f>
        <v>413.70000000000005</v>
      </c>
    </row>
    <row r="54" spans="1:7" ht="18.75">
      <c r="A54" s="25"/>
      <c r="B54" s="122"/>
      <c r="C54" s="34"/>
      <c r="D54" s="34"/>
      <c r="E54" s="50"/>
      <c r="F54" s="34"/>
      <c r="G54" s="34"/>
    </row>
    <row r="55" spans="1:7" ht="18.75">
      <c r="A55" s="25">
        <v>572192</v>
      </c>
      <c r="B55" s="122" t="s">
        <v>22</v>
      </c>
      <c r="C55" s="34">
        <v>25</v>
      </c>
      <c r="D55" s="34">
        <v>12</v>
      </c>
      <c r="E55" s="50">
        <v>12</v>
      </c>
      <c r="F55" s="34"/>
      <c r="G55" s="34"/>
    </row>
    <row r="56" spans="1:7" ht="18.75">
      <c r="A56" s="25">
        <v>57211</v>
      </c>
      <c r="B56" s="122" t="s">
        <v>214</v>
      </c>
      <c r="C56" s="118">
        <f>C21*0.18</f>
        <v>21.599999999999998</v>
      </c>
      <c r="D56" s="118">
        <v>22</v>
      </c>
      <c r="E56" s="50">
        <f>E21*19.04%</f>
        <v>11.424</v>
      </c>
      <c r="F56" s="34"/>
      <c r="G56" s="34"/>
    </row>
    <row r="57" spans="1:7" ht="18.75">
      <c r="A57" s="25">
        <v>57</v>
      </c>
      <c r="B57" s="122" t="s">
        <v>82</v>
      </c>
      <c r="C57" s="118">
        <f>SUM(C55:C56)</f>
        <v>46.599999999999994</v>
      </c>
      <c r="D57" s="118">
        <f>SUM(D55:D56)</f>
        <v>34</v>
      </c>
      <c r="E57" s="50">
        <f>SUM(E55:E56)</f>
        <v>23.424</v>
      </c>
      <c r="F57" s="50">
        <f>SUM(F55:F56)</f>
        <v>0</v>
      </c>
      <c r="G57" s="50">
        <f>SUM(G55:G56)</f>
        <v>0</v>
      </c>
    </row>
    <row r="58" spans="1:7" ht="18.75">
      <c r="A58" s="25"/>
      <c r="B58" s="122"/>
      <c r="C58" s="34"/>
      <c r="D58" s="34"/>
      <c r="E58" s="50"/>
      <c r="F58" s="34"/>
      <c r="G58" s="34"/>
    </row>
    <row r="59" spans="1:7" ht="18.75">
      <c r="A59" s="25"/>
      <c r="B59" s="122" t="s">
        <v>29</v>
      </c>
      <c r="C59" s="44">
        <f>SUM(C57+C53+C48+C36)</f>
        <v>1893.3000000000002</v>
      </c>
      <c r="D59" s="44">
        <f>SUM(D57+D53+D48+D36)</f>
        <v>2024.4</v>
      </c>
      <c r="E59" s="43">
        <f>SUM(E57+E53+E48+E36)</f>
        <v>3749.9139999999998</v>
      </c>
      <c r="F59" s="43">
        <f>SUM(F57+F53+F48+F36)</f>
        <v>1252</v>
      </c>
      <c r="G59" s="43">
        <f>SUM(G57+G53+G48+G36)</f>
        <v>1723.7</v>
      </c>
    </row>
    <row r="60" spans="1:7" ht="18.75">
      <c r="A60" s="25"/>
      <c r="B60" s="122"/>
      <c r="C60" s="34"/>
      <c r="D60" s="34"/>
      <c r="E60" s="50"/>
      <c r="F60" s="34"/>
      <c r="G60" s="34"/>
    </row>
    <row r="61" spans="1:7" ht="19.5" thickBot="1">
      <c r="A61" s="132"/>
      <c r="B61" s="132" t="s">
        <v>0</v>
      </c>
      <c r="C61" s="44">
        <f>SUM(C59+C27+C22+C12+C30)</f>
        <v>4706.3</v>
      </c>
      <c r="D61" s="44">
        <f>SUM(D59+D27+D22+D12+D30)</f>
        <v>7109.8</v>
      </c>
      <c r="E61" s="43">
        <f>SUM(E59+E27+E22+E12+E30)</f>
        <v>9034.127</v>
      </c>
      <c r="F61" s="43">
        <f>SUM(F59+F27+F22+F12+F30)</f>
        <v>3652</v>
      </c>
      <c r="G61" s="43">
        <f>SUM(G59+G27+G22+G12+G30)</f>
        <v>7514.13</v>
      </c>
    </row>
    <row r="62" ht="19.5" thickTop="1"/>
  </sheetData>
  <sheetProtection/>
  <printOptions/>
  <pageMargins left="0.7" right="0.7" top="0.75" bottom="0.75" header="0.3" footer="0.3"/>
  <pageSetup horizontalDpi="300" verticalDpi="300" orientation="portrait" paperSize="9" scale="5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C00000"/>
  </sheetPr>
  <dimension ref="A2:J101"/>
  <sheetViews>
    <sheetView zoomScalePageLayoutView="0" workbookViewId="0" topLeftCell="A91">
      <selection activeCell="E67" sqref="E67"/>
    </sheetView>
  </sheetViews>
  <sheetFormatPr defaultColWidth="8.41015625" defaultRowHeight="18"/>
  <cols>
    <col min="1" max="1" width="8.41015625" style="21" customWidth="1"/>
    <col min="2" max="2" width="29.41015625" style="21" customWidth="1"/>
    <col min="3" max="3" width="8" style="382" customWidth="1"/>
    <col min="4" max="4" width="7.33203125" style="21" customWidth="1"/>
    <col min="5" max="5" width="7.75" style="21" customWidth="1"/>
    <col min="6" max="249" width="7.08203125" style="21" customWidth="1"/>
    <col min="250" max="16384" width="8.41015625" style="21" customWidth="1"/>
  </cols>
  <sheetData>
    <row r="2" spans="1:5" ht="18.75">
      <c r="A2" s="620" t="s">
        <v>1331</v>
      </c>
      <c r="B2" s="620"/>
      <c r="C2" s="620"/>
      <c r="D2" s="620"/>
      <c r="E2" s="620"/>
    </row>
    <row r="3" ht="19.5" thickBot="1">
      <c r="C3" s="243"/>
    </row>
    <row r="4" spans="1:5" ht="19.5" thickBot="1">
      <c r="A4" s="595">
        <v>862101</v>
      </c>
      <c r="B4" s="245" t="s">
        <v>1396</v>
      </c>
      <c r="C4" s="421" t="s">
        <v>616</v>
      </c>
      <c r="D4" s="41" t="s">
        <v>626</v>
      </c>
      <c r="E4" s="34">
        <v>2016</v>
      </c>
    </row>
    <row r="5" spans="1:5" ht="19.5" thickBot="1">
      <c r="A5" s="596" t="s">
        <v>1397</v>
      </c>
      <c r="B5" s="210" t="s">
        <v>1425</v>
      </c>
      <c r="C5" s="295"/>
      <c r="D5" s="34"/>
      <c r="E5" s="34"/>
    </row>
    <row r="6" spans="1:5" ht="18.75">
      <c r="A6" s="249" t="s">
        <v>819</v>
      </c>
      <c r="B6" s="250" t="s">
        <v>1238</v>
      </c>
      <c r="C6" s="376">
        <v>1864</v>
      </c>
      <c r="D6" s="565"/>
      <c r="E6" s="565">
        <v>1905</v>
      </c>
    </row>
    <row r="7" spans="1:5" ht="18.75">
      <c r="A7" s="253" t="s">
        <v>822</v>
      </c>
      <c r="B7" s="254" t="s">
        <v>821</v>
      </c>
      <c r="C7" s="377"/>
      <c r="D7" s="34"/>
      <c r="E7" s="34"/>
    </row>
    <row r="8" spans="1:5" ht="18.75">
      <c r="A8" s="253" t="s">
        <v>823</v>
      </c>
      <c r="B8" s="254" t="s">
        <v>820</v>
      </c>
      <c r="C8" s="377">
        <v>240</v>
      </c>
      <c r="D8" s="34"/>
      <c r="E8" s="381">
        <v>240</v>
      </c>
    </row>
    <row r="9" spans="1:5" ht="18.75">
      <c r="A9" s="253" t="s">
        <v>825</v>
      </c>
      <c r="B9" s="254" t="s">
        <v>824</v>
      </c>
      <c r="C9" s="377">
        <v>29</v>
      </c>
      <c r="D9" s="34"/>
      <c r="E9" s="34"/>
    </row>
    <row r="10" spans="1:5" ht="18.75">
      <c r="A10" s="253" t="s">
        <v>826</v>
      </c>
      <c r="B10" s="260" t="s">
        <v>1239</v>
      </c>
      <c r="C10" s="377">
        <v>200</v>
      </c>
      <c r="D10" s="34"/>
      <c r="E10" s="34"/>
    </row>
    <row r="11" spans="1:5" ht="18.75">
      <c r="A11" s="253" t="s">
        <v>1233</v>
      </c>
      <c r="B11" s="260" t="s">
        <v>1240</v>
      </c>
      <c r="C11" s="378"/>
      <c r="D11" s="34"/>
      <c r="E11" s="34"/>
    </row>
    <row r="12" spans="1:5" ht="18.75">
      <c r="A12" s="253" t="s">
        <v>1241</v>
      </c>
      <c r="B12" s="262" t="s">
        <v>1234</v>
      </c>
      <c r="C12" s="377">
        <v>150</v>
      </c>
      <c r="D12" s="34"/>
      <c r="E12" s="34">
        <v>96</v>
      </c>
    </row>
    <row r="13" spans="1:5" ht="18.75">
      <c r="A13" s="253" t="s">
        <v>1242</v>
      </c>
      <c r="B13" s="262" t="s">
        <v>1235</v>
      </c>
      <c r="C13" s="377"/>
      <c r="D13" s="34"/>
      <c r="E13" s="34">
        <v>54</v>
      </c>
    </row>
    <row r="14" spans="1:5" ht="18.75">
      <c r="A14" s="253" t="s">
        <v>1243</v>
      </c>
      <c r="B14" s="254" t="s">
        <v>528</v>
      </c>
      <c r="C14" s="377"/>
      <c r="D14" s="34"/>
      <c r="E14" s="34"/>
    </row>
    <row r="15" spans="1:5" ht="18.75">
      <c r="A15" s="253" t="s">
        <v>1244</v>
      </c>
      <c r="B15" s="254" t="s">
        <v>1236</v>
      </c>
      <c r="C15" s="377"/>
      <c r="D15" s="34"/>
      <c r="E15" s="34"/>
    </row>
    <row r="16" spans="1:5" ht="19.5" thickBot="1">
      <c r="A16" s="264" t="s">
        <v>1245</v>
      </c>
      <c r="B16" s="265" t="s">
        <v>791</v>
      </c>
      <c r="C16" s="377">
        <v>176</v>
      </c>
      <c r="D16" s="34"/>
      <c r="E16" s="34">
        <v>159</v>
      </c>
    </row>
    <row r="17" spans="1:5" ht="19.5" thickBot="1">
      <c r="A17" s="568" t="s">
        <v>1327</v>
      </c>
      <c r="B17" s="569" t="s">
        <v>1249</v>
      </c>
      <c r="C17" s="379">
        <f>SUM(C6:C16)</f>
        <v>2659</v>
      </c>
      <c r="D17" s="379">
        <f>SUM(D6:D16)</f>
        <v>0</v>
      </c>
      <c r="E17" s="379">
        <f>SUM(E6:E16)</f>
        <v>2454</v>
      </c>
    </row>
    <row r="18" spans="1:5" ht="19.5" thickBot="1">
      <c r="A18" s="557" t="s">
        <v>1329</v>
      </c>
      <c r="B18" s="558" t="s">
        <v>1248</v>
      </c>
      <c r="C18" s="377"/>
      <c r="D18" s="34"/>
      <c r="E18" s="34"/>
    </row>
    <row r="19" spans="1:5" ht="19.5" thickBot="1">
      <c r="A19" s="557" t="s">
        <v>1328</v>
      </c>
      <c r="B19" s="558" t="s">
        <v>1246</v>
      </c>
      <c r="C19" s="377"/>
      <c r="D19" s="34"/>
      <c r="E19" s="34">
        <v>179</v>
      </c>
    </row>
    <row r="20" spans="1:5" ht="19.5" thickBot="1">
      <c r="A20" s="557" t="s">
        <v>1253</v>
      </c>
      <c r="B20" s="558" t="s">
        <v>19</v>
      </c>
      <c r="C20" s="377"/>
      <c r="D20" s="34"/>
      <c r="E20" s="34"/>
    </row>
    <row r="21" spans="1:7" ht="19.5" thickBot="1">
      <c r="A21" s="557" t="s">
        <v>1254</v>
      </c>
      <c r="B21" s="558" t="s">
        <v>889</v>
      </c>
      <c r="C21" s="377"/>
      <c r="D21" s="34"/>
      <c r="E21" s="34"/>
      <c r="G21" t="s">
        <v>1426</v>
      </c>
    </row>
    <row r="22" spans="1:5" ht="19.5" thickBot="1">
      <c r="A22" s="568" t="s">
        <v>1330</v>
      </c>
      <c r="B22" s="569" t="s">
        <v>1247</v>
      </c>
      <c r="C22" s="377">
        <f>SUM(C18:C21)</f>
        <v>0</v>
      </c>
      <c r="D22" s="377">
        <f>SUM(D18:D21)</f>
        <v>0</v>
      </c>
      <c r="E22" s="377">
        <f>SUM(E18:E21)</f>
        <v>179</v>
      </c>
    </row>
    <row r="23" spans="1:5" ht="27" customHeight="1" thickBot="1">
      <c r="A23" s="268" t="s">
        <v>1250</v>
      </c>
      <c r="B23" s="269" t="s">
        <v>1237</v>
      </c>
      <c r="C23" s="379">
        <f>SUM(C22,C17)</f>
        <v>2659</v>
      </c>
      <c r="D23" s="379">
        <f>SUM(D22,D17)</f>
        <v>0</v>
      </c>
      <c r="E23" s="379">
        <f>SUM(E22,E17)</f>
        <v>2633</v>
      </c>
    </row>
    <row r="24" spans="1:5" ht="19.5" thickBot="1">
      <c r="A24" s="270"/>
      <c r="B24" s="271"/>
      <c r="C24" s="377"/>
      <c r="D24" s="34"/>
      <c r="E24" s="34"/>
    </row>
    <row r="25" spans="1:6" ht="18.75">
      <c r="A25" s="272" t="s">
        <v>1255</v>
      </c>
      <c r="B25" s="97" t="s">
        <v>590</v>
      </c>
      <c r="C25" s="275">
        <v>677</v>
      </c>
      <c r="D25" s="44"/>
      <c r="E25" s="118">
        <f>F25*27%+1</f>
        <v>671.4100000000001</v>
      </c>
      <c r="F25" s="21">
        <f>E6+E7+E8+E9+E10+E11+E16+E22</f>
        <v>2483</v>
      </c>
    </row>
    <row r="26" spans="1:5" ht="18.75">
      <c r="A26" s="559" t="s">
        <v>1256</v>
      </c>
      <c r="B26" s="97" t="s">
        <v>1251</v>
      </c>
      <c r="C26" s="275"/>
      <c r="D26" s="44"/>
      <c r="E26" s="118"/>
    </row>
    <row r="27" spans="1:6" ht="18.75">
      <c r="A27" s="276" t="s">
        <v>1252</v>
      </c>
      <c r="B27" s="255" t="s">
        <v>4</v>
      </c>
      <c r="C27" s="378">
        <v>25</v>
      </c>
      <c r="D27" s="34"/>
      <c r="E27" s="118">
        <f>F27*16.67%</f>
        <v>25.005000000000003</v>
      </c>
      <c r="F27" s="21">
        <f>E12+E13</f>
        <v>150</v>
      </c>
    </row>
    <row r="28" spans="1:5" ht="19.5" thickBot="1">
      <c r="A28" s="462" t="s">
        <v>1257</v>
      </c>
      <c r="B28" s="255" t="s">
        <v>635</v>
      </c>
      <c r="C28" s="378">
        <v>29</v>
      </c>
      <c r="D28" s="34"/>
      <c r="E28" s="118">
        <f>F27*19.04%</f>
        <v>28.56</v>
      </c>
    </row>
    <row r="29" spans="1:5" ht="19.5" thickBot="1">
      <c r="A29" s="582" t="s">
        <v>1258</v>
      </c>
      <c r="B29" s="583" t="s">
        <v>69</v>
      </c>
      <c r="C29" s="378">
        <f>SUM(C25:C28)</f>
        <v>731</v>
      </c>
      <c r="D29" s="378">
        <f>SUM(D25:D28)</f>
        <v>0</v>
      </c>
      <c r="E29" s="378">
        <f>SUM(E25:E28)</f>
        <v>724.975</v>
      </c>
    </row>
    <row r="30" spans="1:5" ht="19.5" thickBot="1">
      <c r="A30" s="282"/>
      <c r="B30" s="283"/>
      <c r="C30" s="377"/>
      <c r="D30" s="34"/>
      <c r="E30" s="34"/>
    </row>
    <row r="31" spans="1:5" ht="18.75">
      <c r="A31" s="249" t="s">
        <v>1259</v>
      </c>
      <c r="B31" s="291" t="s">
        <v>533</v>
      </c>
      <c r="C31" s="377"/>
      <c r="D31" s="34">
        <v>89</v>
      </c>
      <c r="E31" s="34">
        <v>40</v>
      </c>
    </row>
    <row r="32" spans="1:5" ht="18.75">
      <c r="A32" s="253" t="s">
        <v>1260</v>
      </c>
      <c r="B32" s="254" t="s">
        <v>534</v>
      </c>
      <c r="C32" s="377"/>
      <c r="D32" s="41"/>
      <c r="E32" s="34"/>
    </row>
    <row r="33" spans="1:5" ht="18.75">
      <c r="A33" s="253" t="s">
        <v>1262</v>
      </c>
      <c r="B33" s="254" t="s">
        <v>1261</v>
      </c>
      <c r="C33" s="377"/>
      <c r="D33" s="41"/>
      <c r="E33" s="34"/>
    </row>
    <row r="34" spans="1:5" ht="18.75">
      <c r="A34" s="253" t="s">
        <v>1263</v>
      </c>
      <c r="B34" s="254" t="s">
        <v>124</v>
      </c>
      <c r="C34" s="377"/>
      <c r="D34" s="41"/>
      <c r="E34" s="34"/>
    </row>
    <row r="35" spans="1:5" ht="18.75">
      <c r="A35" s="253" t="s">
        <v>1264</v>
      </c>
      <c r="B35" s="254" t="s">
        <v>1265</v>
      </c>
      <c r="C35" s="570"/>
      <c r="D35" s="41"/>
      <c r="E35" s="34"/>
    </row>
    <row r="36" spans="1:5" ht="18.75">
      <c r="A36" s="253" t="s">
        <v>1335</v>
      </c>
      <c r="B36" s="562" t="s">
        <v>548</v>
      </c>
      <c r="C36" s="570">
        <f>SUM(C31:C35)</f>
        <v>0</v>
      </c>
      <c r="D36" s="570">
        <f>SUM(D31:D35)</f>
        <v>89</v>
      </c>
      <c r="E36" s="570">
        <f>SUM(E31:E35)</f>
        <v>40</v>
      </c>
    </row>
    <row r="37" spans="1:5" ht="18.75">
      <c r="A37" s="253" t="s">
        <v>1342</v>
      </c>
      <c r="B37" s="254" t="s">
        <v>1343</v>
      </c>
      <c r="C37" s="570"/>
      <c r="D37" s="570"/>
      <c r="E37" s="570"/>
    </row>
    <row r="38" spans="1:5" ht="18.75">
      <c r="A38" s="253" t="s">
        <v>1344</v>
      </c>
      <c r="B38" s="254" t="s">
        <v>1267</v>
      </c>
      <c r="C38" s="570">
        <v>175</v>
      </c>
      <c r="D38" s="34">
        <v>54</v>
      </c>
      <c r="E38" s="34">
        <v>20</v>
      </c>
    </row>
    <row r="39" spans="1:5" ht="18.75">
      <c r="A39" s="253" t="s">
        <v>1345</v>
      </c>
      <c r="B39" s="254" t="s">
        <v>88</v>
      </c>
      <c r="C39" s="570"/>
      <c r="D39" s="34"/>
      <c r="E39" s="34"/>
    </row>
    <row r="40" spans="1:5" ht="18.75">
      <c r="A40" s="253" t="s">
        <v>1346</v>
      </c>
      <c r="B40" s="254" t="s">
        <v>1268</v>
      </c>
      <c r="C40" s="377">
        <v>20</v>
      </c>
      <c r="D40" s="34">
        <v>19</v>
      </c>
      <c r="E40" s="34">
        <v>20</v>
      </c>
    </row>
    <row r="41" spans="1:5" ht="19.5" thickBot="1">
      <c r="A41" s="288" t="s">
        <v>1347</v>
      </c>
      <c r="B41" s="289" t="s">
        <v>1269</v>
      </c>
      <c r="C41" s="377">
        <v>20</v>
      </c>
      <c r="D41" s="34">
        <v>183</v>
      </c>
      <c r="E41" s="34"/>
    </row>
    <row r="42" spans="1:5" ht="17.25" customHeight="1" thickBot="1">
      <c r="A42" s="268" t="s">
        <v>1266</v>
      </c>
      <c r="B42" s="571" t="s">
        <v>1270</v>
      </c>
      <c r="C42" s="377">
        <f>SUM(C37:C41)</f>
        <v>215</v>
      </c>
      <c r="D42" s="377">
        <f>SUM(D38:D41)</f>
        <v>256</v>
      </c>
      <c r="E42" s="377">
        <f>SUM(E38:E41)</f>
        <v>40</v>
      </c>
    </row>
    <row r="43" spans="1:5" ht="22.5" customHeight="1" thickBot="1">
      <c r="A43" s="572" t="s">
        <v>1300</v>
      </c>
      <c r="B43" s="573" t="s">
        <v>595</v>
      </c>
      <c r="C43" s="574">
        <f>SUM(C42,C36)</f>
        <v>215</v>
      </c>
      <c r="D43" s="574">
        <f>SUM(D42,D36)</f>
        <v>345</v>
      </c>
      <c r="E43" s="574">
        <f>SUM(E42,E36)</f>
        <v>80</v>
      </c>
    </row>
    <row r="44" spans="1:5" ht="18.75">
      <c r="A44" s="249" t="s">
        <v>1271</v>
      </c>
      <c r="B44" s="291" t="s">
        <v>1348</v>
      </c>
      <c r="C44" s="377"/>
      <c r="D44" s="34">
        <v>86</v>
      </c>
      <c r="E44" s="34">
        <v>86</v>
      </c>
    </row>
    <row r="45" spans="1:5" ht="18.75">
      <c r="A45" s="494" t="s">
        <v>1350</v>
      </c>
      <c r="B45" s="590" t="s">
        <v>1351</v>
      </c>
      <c r="C45" s="377"/>
      <c r="D45" s="34"/>
      <c r="E45" s="34"/>
    </row>
    <row r="46" spans="1:5" ht="18.75">
      <c r="A46" s="253" t="s">
        <v>1272</v>
      </c>
      <c r="B46" s="254" t="s">
        <v>1349</v>
      </c>
      <c r="C46" s="295">
        <v>240</v>
      </c>
      <c r="D46" s="566">
        <v>150</v>
      </c>
      <c r="E46" s="34">
        <v>150</v>
      </c>
    </row>
    <row r="47" spans="1:5" ht="18.75">
      <c r="A47" s="575" t="s">
        <v>1301</v>
      </c>
      <c r="B47" s="576" t="s">
        <v>1366</v>
      </c>
      <c r="C47" s="577">
        <f>SUM(C44:C46)</f>
        <v>240</v>
      </c>
      <c r="D47" s="577">
        <f>SUM(D44:D46)</f>
        <v>236</v>
      </c>
      <c r="E47" s="577">
        <f>SUM(E44:E46)</f>
        <v>236</v>
      </c>
    </row>
    <row r="48" spans="1:5" ht="18.75">
      <c r="A48" s="253" t="s">
        <v>1275</v>
      </c>
      <c r="B48" s="254" t="s">
        <v>544</v>
      </c>
      <c r="C48" s="295">
        <v>90</v>
      </c>
      <c r="D48" s="566">
        <v>149</v>
      </c>
      <c r="E48" s="34">
        <v>150</v>
      </c>
    </row>
    <row r="49" spans="1:5" ht="18.75">
      <c r="A49" s="253" t="s">
        <v>1274</v>
      </c>
      <c r="B49" s="254" t="s">
        <v>543</v>
      </c>
      <c r="C49" s="295">
        <v>290</v>
      </c>
      <c r="D49" s="34">
        <v>289</v>
      </c>
      <c r="E49" s="34">
        <v>290</v>
      </c>
    </row>
    <row r="50" spans="1:5" ht="18.75">
      <c r="A50" s="253" t="s">
        <v>1276</v>
      </c>
      <c r="B50" s="254" t="s">
        <v>503</v>
      </c>
      <c r="C50" s="295">
        <v>55</v>
      </c>
      <c r="D50" s="34">
        <v>21</v>
      </c>
      <c r="E50" s="34">
        <v>25</v>
      </c>
    </row>
    <row r="51" spans="1:5" ht="18.75">
      <c r="A51" s="575" t="s">
        <v>1273</v>
      </c>
      <c r="B51" s="576" t="s">
        <v>1277</v>
      </c>
      <c r="C51" s="577">
        <f>SUM(C48:C50)</f>
        <v>435</v>
      </c>
      <c r="D51" s="577">
        <f>SUM(D48:D50)</f>
        <v>459</v>
      </c>
      <c r="E51" s="577">
        <f>SUM(E48:E50)</f>
        <v>465</v>
      </c>
    </row>
    <row r="52" spans="1:5" ht="18.75">
      <c r="A52" s="253" t="s">
        <v>1332</v>
      </c>
      <c r="B52" s="254" t="s">
        <v>1278</v>
      </c>
      <c r="C52" s="295"/>
      <c r="D52" s="34"/>
      <c r="E52" s="34"/>
    </row>
    <row r="53" spans="1:6" ht="18.75">
      <c r="A53" s="253" t="s">
        <v>1280</v>
      </c>
      <c r="B53" s="254" t="s">
        <v>26</v>
      </c>
      <c r="C53" s="295">
        <v>180</v>
      </c>
      <c r="D53" s="41">
        <v>13</v>
      </c>
      <c r="E53" s="34">
        <v>145</v>
      </c>
      <c r="F53" s="21" t="s">
        <v>762</v>
      </c>
    </row>
    <row r="54" spans="1:5" ht="18.75">
      <c r="A54" s="253" t="s">
        <v>1281</v>
      </c>
      <c r="B54" s="254" t="s">
        <v>1352</v>
      </c>
      <c r="C54" s="377">
        <v>20</v>
      </c>
      <c r="D54" s="34">
        <v>10</v>
      </c>
      <c r="E54" s="34">
        <v>50</v>
      </c>
    </row>
    <row r="55" spans="1:5" ht="18.75">
      <c r="A55" s="575" t="s">
        <v>1283</v>
      </c>
      <c r="B55" s="576" t="s">
        <v>1282</v>
      </c>
      <c r="C55" s="574">
        <f>SUM(C53:C54)</f>
        <v>200</v>
      </c>
      <c r="D55" s="574">
        <f>SUM(D53:D54)</f>
        <v>23</v>
      </c>
      <c r="E55" s="574">
        <f>SUM(E53:E54)</f>
        <v>195</v>
      </c>
    </row>
    <row r="56" spans="1:5" ht="18.75">
      <c r="A56" s="575" t="s">
        <v>1284</v>
      </c>
      <c r="B56" s="588" t="s">
        <v>1333</v>
      </c>
      <c r="C56" s="589"/>
      <c r="D56" s="589"/>
      <c r="E56" s="589"/>
    </row>
    <row r="57" spans="1:5" ht="18.75">
      <c r="A57" s="288"/>
      <c r="B57" s="554" t="s">
        <v>943</v>
      </c>
      <c r="C57" s="554"/>
      <c r="D57" s="554"/>
      <c r="E57" s="554"/>
    </row>
    <row r="58" spans="1:6" ht="18.75">
      <c r="A58" s="288" t="s">
        <v>1353</v>
      </c>
      <c r="B58" s="554" t="s">
        <v>547</v>
      </c>
      <c r="C58" s="554">
        <v>210</v>
      </c>
      <c r="D58" s="554">
        <v>5489</v>
      </c>
      <c r="E58" s="554">
        <v>2720</v>
      </c>
      <c r="F58" s="21" t="s">
        <v>1530</v>
      </c>
    </row>
    <row r="59" spans="1:5" ht="18.75">
      <c r="A59" s="288" t="s">
        <v>1354</v>
      </c>
      <c r="B59" s="554" t="s">
        <v>1355</v>
      </c>
      <c r="C59" s="554"/>
      <c r="D59" s="554"/>
      <c r="E59" s="554"/>
    </row>
    <row r="60" spans="1:5" ht="27" customHeight="1">
      <c r="A60" s="561" t="s">
        <v>1285</v>
      </c>
      <c r="B60" s="552" t="s">
        <v>945</v>
      </c>
      <c r="C60" s="591">
        <f>SUM(C58:C59)</f>
        <v>210</v>
      </c>
      <c r="D60" s="591">
        <f>SUM(D58:D59)</f>
        <v>5489</v>
      </c>
      <c r="E60" s="591">
        <f>SUM(E58:E59)</f>
        <v>2720</v>
      </c>
    </row>
    <row r="61" spans="1:5" ht="23.25" customHeight="1">
      <c r="A61" s="462" t="s">
        <v>1356</v>
      </c>
      <c r="B61" s="553" t="s">
        <v>1362</v>
      </c>
      <c r="C61" s="591"/>
      <c r="D61" s="591">
        <v>16</v>
      </c>
      <c r="E61" s="591">
        <v>16</v>
      </c>
    </row>
    <row r="62" spans="1:5" ht="23.25" customHeight="1">
      <c r="A62" s="462" t="s">
        <v>1357</v>
      </c>
      <c r="B62" s="553" t="s">
        <v>1358</v>
      </c>
      <c r="C62" s="591"/>
      <c r="D62" s="591"/>
      <c r="E62" s="591"/>
    </row>
    <row r="63" spans="1:5" ht="23.25" customHeight="1">
      <c r="A63" s="462" t="s">
        <v>1359</v>
      </c>
      <c r="B63" s="553" t="s">
        <v>9</v>
      </c>
      <c r="C63" s="591"/>
      <c r="D63" s="591"/>
      <c r="E63" s="591"/>
    </row>
    <row r="64" spans="1:6" ht="23.25" customHeight="1" thickBot="1">
      <c r="A64" s="462" t="s">
        <v>1360</v>
      </c>
      <c r="B64" s="553" t="s">
        <v>1361</v>
      </c>
      <c r="C64" s="591">
        <v>10</v>
      </c>
      <c r="D64" s="591"/>
      <c r="E64" s="591">
        <v>200</v>
      </c>
      <c r="F64" s="21" t="s">
        <v>1531</v>
      </c>
    </row>
    <row r="65" spans="1:5" ht="17.25" customHeight="1" thickBot="1">
      <c r="A65" s="298" t="s">
        <v>1286</v>
      </c>
      <c r="B65" s="552" t="s">
        <v>948</v>
      </c>
      <c r="C65" s="591">
        <f>SUM(C61:C64)</f>
        <v>10</v>
      </c>
      <c r="D65" s="591">
        <f>SUM(D61:D64)</f>
        <v>16</v>
      </c>
      <c r="E65" s="591">
        <f>SUM(E61:E64)</f>
        <v>216</v>
      </c>
    </row>
    <row r="66" spans="1:5" ht="25.5" customHeight="1">
      <c r="A66" s="578" t="s">
        <v>1279</v>
      </c>
      <c r="B66" s="579" t="s">
        <v>1287</v>
      </c>
      <c r="C66" s="603">
        <f>SUM(C65+C60+C56+C55+C52+C51)</f>
        <v>855</v>
      </c>
      <c r="D66" s="603">
        <f>SUM(D65+D60+D56+D55+D52+D51)</f>
        <v>5987</v>
      </c>
      <c r="E66" s="603">
        <f>SUM(E65+E60+E56+E55+E51)</f>
        <v>3596</v>
      </c>
    </row>
    <row r="67" spans="1:5" ht="18.75">
      <c r="A67" s="253" t="s">
        <v>1288</v>
      </c>
      <c r="B67" s="553" t="s">
        <v>952</v>
      </c>
      <c r="C67" s="553">
        <v>60</v>
      </c>
      <c r="D67" s="553">
        <v>50</v>
      </c>
      <c r="E67" s="553">
        <v>60</v>
      </c>
    </row>
    <row r="68" spans="1:5" ht="18.75">
      <c r="A68" s="253" t="s">
        <v>1289</v>
      </c>
      <c r="B68" s="553" t="s">
        <v>954</v>
      </c>
      <c r="C68" s="553"/>
      <c r="D68" s="553">
        <v>222</v>
      </c>
      <c r="E68" s="553"/>
    </row>
    <row r="69" spans="1:5" ht="24" customHeight="1">
      <c r="A69" s="575" t="s">
        <v>1291</v>
      </c>
      <c r="B69" s="579" t="s">
        <v>1290</v>
      </c>
      <c r="C69" s="579">
        <f>SUM(C67:C68)</f>
        <v>60</v>
      </c>
      <c r="D69" s="579">
        <f>SUM(D67:D68)</f>
        <v>272</v>
      </c>
      <c r="E69" s="579">
        <f>SUM(E67:E68)</f>
        <v>60</v>
      </c>
    </row>
    <row r="70" spans="1:7" ht="26.25" customHeight="1" thickBot="1">
      <c r="A70" s="561" t="s">
        <v>1294</v>
      </c>
      <c r="B70" s="552" t="s">
        <v>958</v>
      </c>
      <c r="C70" s="552">
        <v>354</v>
      </c>
      <c r="D70" s="552">
        <v>358</v>
      </c>
      <c r="E70" s="552">
        <v>318</v>
      </c>
      <c r="F70" s="597">
        <f>E43+E47+E51+E55+E56+E60+E64-E58</f>
        <v>1176</v>
      </c>
      <c r="G70" s="21">
        <f>F70*27%</f>
        <v>317.52000000000004</v>
      </c>
    </row>
    <row r="71" spans="1:5" ht="27" customHeight="1" thickBot="1">
      <c r="A71" s="268" t="s">
        <v>1295</v>
      </c>
      <c r="B71" s="552" t="s">
        <v>960</v>
      </c>
      <c r="C71" s="552"/>
      <c r="D71" s="552"/>
      <c r="E71" s="552"/>
    </row>
    <row r="72" spans="1:5" ht="19.5" thickBot="1">
      <c r="A72" s="210" t="s">
        <v>1296</v>
      </c>
      <c r="B72" s="552" t="s">
        <v>1293</v>
      </c>
      <c r="C72" s="552"/>
      <c r="D72" s="552"/>
      <c r="E72" s="552"/>
    </row>
    <row r="73" spans="1:5" ht="24.75" customHeight="1">
      <c r="A73" s="593" t="s">
        <v>1298</v>
      </c>
      <c r="B73" s="594" t="s">
        <v>1363</v>
      </c>
      <c r="C73" s="594"/>
      <c r="D73" s="552"/>
      <c r="E73" s="552"/>
    </row>
    <row r="74" spans="1:6" ht="24.75" customHeight="1">
      <c r="A74" s="592" t="s">
        <v>1364</v>
      </c>
      <c r="B74" s="563" t="s">
        <v>1365</v>
      </c>
      <c r="C74" s="563"/>
      <c r="D74" s="553"/>
      <c r="E74" s="553"/>
      <c r="F74" s="21" t="s">
        <v>1369</v>
      </c>
    </row>
    <row r="75" spans="1:5" ht="24.75" customHeight="1">
      <c r="A75" s="592" t="s">
        <v>1370</v>
      </c>
      <c r="B75" s="563" t="s">
        <v>1367</v>
      </c>
      <c r="C75" s="563"/>
      <c r="D75" s="553"/>
      <c r="E75" s="553"/>
    </row>
    <row r="76" spans="1:5" ht="18.75">
      <c r="A76" s="98" t="s">
        <v>1297</v>
      </c>
      <c r="B76" s="552" t="s">
        <v>970</v>
      </c>
      <c r="C76" s="552">
        <f>SUM(C74:C75)</f>
        <v>0</v>
      </c>
      <c r="D76" s="552">
        <f>SUM(D74:D75)</f>
        <v>0</v>
      </c>
      <c r="E76" s="552">
        <f>SUM(E74:E75)</f>
        <v>0</v>
      </c>
    </row>
    <row r="77" spans="1:5" ht="24.75" customHeight="1">
      <c r="A77" s="580" t="s">
        <v>1292</v>
      </c>
      <c r="B77" s="579" t="s">
        <v>1334</v>
      </c>
      <c r="C77" s="579">
        <f>C76+C73+C72+C71+C70</f>
        <v>354</v>
      </c>
      <c r="D77" s="579">
        <f>D76+D73+D72+D71+D70</f>
        <v>358</v>
      </c>
      <c r="E77" s="579">
        <f>E76+E73+E72+E71+E70</f>
        <v>318</v>
      </c>
    </row>
    <row r="78" spans="1:10" ht="24.75" customHeight="1">
      <c r="A78" s="587" t="s">
        <v>1299</v>
      </c>
      <c r="B78" s="585" t="s">
        <v>70</v>
      </c>
      <c r="C78" s="579">
        <f>SUM(C77+C69+C66+C47+C43)</f>
        <v>1724</v>
      </c>
      <c r="D78" s="579">
        <f>SUM(D77+D69+D66+D47+D43)</f>
        <v>7198</v>
      </c>
      <c r="E78" s="579">
        <f>SUM(E77+E69+E66+E47+E43)</f>
        <v>4290</v>
      </c>
      <c r="F78" s="560"/>
      <c r="G78" s="560"/>
      <c r="H78" s="560"/>
      <c r="I78" s="560"/>
      <c r="J78" s="560"/>
    </row>
    <row r="79" spans="1:10" ht="24.75" customHeight="1">
      <c r="A79" s="98" t="s">
        <v>1307</v>
      </c>
      <c r="B79" s="553" t="s">
        <v>1302</v>
      </c>
      <c r="C79" s="552"/>
      <c r="D79" s="552"/>
      <c r="E79" s="552"/>
      <c r="F79" s="560"/>
      <c r="G79" s="560"/>
      <c r="H79" s="560"/>
      <c r="I79" s="560"/>
      <c r="J79" s="560"/>
    </row>
    <row r="80" spans="1:10" ht="24.75" customHeight="1">
      <c r="A80" s="98" t="s">
        <v>1306</v>
      </c>
      <c r="B80" s="553" t="s">
        <v>1308</v>
      </c>
      <c r="C80" s="552"/>
      <c r="D80" s="552"/>
      <c r="E80" s="552"/>
      <c r="F80" s="560"/>
      <c r="G80" s="560"/>
      <c r="H80" s="560"/>
      <c r="I80" s="560"/>
      <c r="J80" s="560"/>
    </row>
    <row r="81" spans="1:10" ht="24.75" customHeight="1">
      <c r="A81" s="98"/>
      <c r="B81" s="97" t="s">
        <v>1304</v>
      </c>
      <c r="C81" s="552"/>
      <c r="D81" s="552"/>
      <c r="E81" s="552"/>
      <c r="F81" s="560"/>
      <c r="G81" s="560"/>
      <c r="H81" s="560"/>
      <c r="I81" s="560"/>
      <c r="J81" s="560"/>
    </row>
    <row r="82" spans="1:5" ht="18.75">
      <c r="A82" s="98"/>
      <c r="B82" s="97" t="s">
        <v>1303</v>
      </c>
      <c r="C82" s="377"/>
      <c r="D82" s="34"/>
      <c r="E82" s="34"/>
    </row>
    <row r="83" spans="1:5" ht="18.75">
      <c r="A83" s="98"/>
      <c r="B83" s="567" t="s">
        <v>1305</v>
      </c>
      <c r="C83" s="377">
        <v>2400</v>
      </c>
      <c r="D83" s="34">
        <v>600</v>
      </c>
      <c r="E83" s="34"/>
    </row>
    <row r="84" spans="1:5" ht="25.5">
      <c r="A84" s="580" t="s">
        <v>1341</v>
      </c>
      <c r="B84" s="579" t="s">
        <v>1337</v>
      </c>
      <c r="C84" s="377">
        <f>SUM(C80:C83)</f>
        <v>2400</v>
      </c>
      <c r="D84" s="377">
        <f>SUM(D80:D83)</f>
        <v>600</v>
      </c>
      <c r="E84" s="377">
        <f>SUM(E80:E83)</f>
        <v>0</v>
      </c>
    </row>
    <row r="85" spans="1:5" s="564" customFormat="1" ht="18.75">
      <c r="A85" s="587" t="s">
        <v>1336</v>
      </c>
      <c r="B85" s="587" t="s">
        <v>1340</v>
      </c>
      <c r="C85" s="574">
        <f>SUM(C79+C84)</f>
        <v>2400</v>
      </c>
      <c r="D85" s="574">
        <f>SUM(D79+D84)</f>
        <v>600</v>
      </c>
      <c r="E85" s="574">
        <f>SUM(E79+E84)</f>
        <v>0</v>
      </c>
    </row>
    <row r="86" spans="1:5" ht="18.75">
      <c r="A86" s="97" t="s">
        <v>1309</v>
      </c>
      <c r="B86" s="553" t="s">
        <v>1113</v>
      </c>
      <c r="C86" s="553"/>
      <c r="D86" s="553"/>
      <c r="E86" s="553"/>
    </row>
    <row r="87" spans="1:5" s="382" customFormat="1" ht="15">
      <c r="A87" s="97" t="s">
        <v>1310</v>
      </c>
      <c r="B87" s="553" t="s">
        <v>1371</v>
      </c>
      <c r="C87" s="553"/>
      <c r="D87" s="553"/>
      <c r="E87" s="553"/>
    </row>
    <row r="88" spans="1:5" ht="18.75">
      <c r="A88" s="172" t="s">
        <v>1311</v>
      </c>
      <c r="B88" s="553" t="s">
        <v>1117</v>
      </c>
      <c r="C88" s="553"/>
      <c r="D88" s="553"/>
      <c r="E88" s="553"/>
    </row>
    <row r="89" spans="1:5" ht="24" customHeight="1">
      <c r="A89" s="172" t="s">
        <v>1312</v>
      </c>
      <c r="B89" s="553" t="s">
        <v>1118</v>
      </c>
      <c r="C89" s="553"/>
      <c r="D89" s="553"/>
      <c r="E89" s="553"/>
    </row>
    <row r="90" spans="1:5" ht="26.25" customHeight="1">
      <c r="A90" s="172" t="s">
        <v>1313</v>
      </c>
      <c r="B90" s="553" t="s">
        <v>1120</v>
      </c>
      <c r="C90" s="553"/>
      <c r="D90" s="553"/>
      <c r="E90" s="553"/>
    </row>
    <row r="91" spans="1:5" ht="25.5" customHeight="1">
      <c r="A91" s="172" t="s">
        <v>1314</v>
      </c>
      <c r="B91" s="553" t="s">
        <v>1126</v>
      </c>
      <c r="C91" s="553"/>
      <c r="D91" s="553"/>
      <c r="E91" s="553"/>
    </row>
    <row r="92" spans="1:5" ht="18.75">
      <c r="A92" s="584" t="s">
        <v>1315</v>
      </c>
      <c r="B92" s="585" t="s">
        <v>1339</v>
      </c>
      <c r="C92" s="552">
        <f>SUM(C86:C91)</f>
        <v>0</v>
      </c>
      <c r="D92" s="552">
        <f>SUM(D86:D91)</f>
        <v>0</v>
      </c>
      <c r="E92" s="552">
        <f>SUM(E86:E91)</f>
        <v>0</v>
      </c>
    </row>
    <row r="93" spans="1:5" ht="18.75">
      <c r="A93" s="172" t="s">
        <v>1316</v>
      </c>
      <c r="B93" s="553" t="s">
        <v>1130</v>
      </c>
      <c r="C93" s="553"/>
      <c r="D93" s="553"/>
      <c r="E93" s="553"/>
    </row>
    <row r="94" spans="1:5" ht="18.75">
      <c r="A94" s="172" t="s">
        <v>1317</v>
      </c>
      <c r="B94" s="553" t="s">
        <v>1132</v>
      </c>
      <c r="C94" s="553"/>
      <c r="D94" s="553"/>
      <c r="E94" s="553"/>
    </row>
    <row r="95" spans="1:5" ht="18.75">
      <c r="A95" s="172" t="s">
        <v>1318</v>
      </c>
      <c r="B95" s="553" t="s">
        <v>1134</v>
      </c>
      <c r="C95" s="553"/>
      <c r="D95" s="553"/>
      <c r="E95" s="553"/>
    </row>
    <row r="96" spans="1:5" ht="24" customHeight="1">
      <c r="A96" s="172" t="s">
        <v>1319</v>
      </c>
      <c r="B96" s="553" t="s">
        <v>1136</v>
      </c>
      <c r="C96" s="553"/>
      <c r="D96" s="553"/>
      <c r="E96" s="553"/>
    </row>
    <row r="97" spans="1:5" ht="18.75">
      <c r="A97" s="584" t="s">
        <v>1320</v>
      </c>
      <c r="B97" s="585" t="s">
        <v>1338</v>
      </c>
      <c r="C97" s="552">
        <f>SUM(C93:C96)</f>
        <v>0</v>
      </c>
      <c r="D97" s="552">
        <f>SUM(D93:D96)</f>
        <v>0</v>
      </c>
      <c r="E97" s="552">
        <f>SUM(E93:E96)</f>
        <v>0</v>
      </c>
    </row>
    <row r="98" spans="1:5" ht="25.5" customHeight="1">
      <c r="A98" s="172" t="s">
        <v>1323</v>
      </c>
      <c r="B98" s="555" t="s">
        <v>1325</v>
      </c>
      <c r="C98" s="555"/>
      <c r="D98" s="555"/>
      <c r="E98" s="555"/>
    </row>
    <row r="99" spans="1:5" ht="27" customHeight="1">
      <c r="A99" s="457" t="s">
        <v>1322</v>
      </c>
      <c r="B99" s="553" t="s">
        <v>1321</v>
      </c>
      <c r="C99" s="553"/>
      <c r="D99" s="553"/>
      <c r="E99" s="553"/>
    </row>
    <row r="100" spans="1:5" ht="18.75">
      <c r="A100" s="584" t="s">
        <v>1326</v>
      </c>
      <c r="B100" s="586" t="s">
        <v>1324</v>
      </c>
      <c r="C100" s="295">
        <f>SUM(C98:C99)</f>
        <v>0</v>
      </c>
      <c r="D100" s="295">
        <f>SUM(D98:D99)</f>
        <v>0</v>
      </c>
      <c r="E100" s="295">
        <f>SUM(E98:E99)</f>
        <v>0</v>
      </c>
    </row>
    <row r="101" spans="1:5" ht="18.75">
      <c r="A101" s="34"/>
      <c r="B101" s="36" t="s">
        <v>118</v>
      </c>
      <c r="C101" s="581">
        <f>SUM(C100+C97+C92+C85+C78+C29+C23)</f>
        <v>7514</v>
      </c>
      <c r="D101" s="581">
        <f>SUM(D100+D97+D92+D85+D78+D29+D23)</f>
        <v>7798</v>
      </c>
      <c r="E101" s="581">
        <f>SUM(E100+E97+E92+E85+E78+E29+E23)</f>
        <v>7647.975</v>
      </c>
    </row>
  </sheetData>
  <sheetProtection/>
  <mergeCells count="1">
    <mergeCell ref="A2:E2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00B050"/>
  </sheetPr>
  <dimension ref="A2:G47"/>
  <sheetViews>
    <sheetView view="pageBreakPreview" zoomScale="60" zoomScalePageLayoutView="0" workbookViewId="0" topLeftCell="A1">
      <selection activeCell="F11" sqref="F11"/>
    </sheetView>
  </sheetViews>
  <sheetFormatPr defaultColWidth="8.66015625" defaultRowHeight="18"/>
  <cols>
    <col min="1" max="1" width="9" style="21" bestFit="1" customWidth="1"/>
    <col min="2" max="2" width="34" style="21" customWidth="1"/>
    <col min="3" max="4" width="7.75" style="21" customWidth="1"/>
    <col min="5" max="5" width="11.33203125" style="21" customWidth="1"/>
    <col min="6" max="16384" width="8.91015625" style="21" customWidth="1"/>
  </cols>
  <sheetData>
    <row r="2" ht="19.5" thickBot="1">
      <c r="C2" s="23"/>
    </row>
    <row r="3" spans="1:3" ht="18.75">
      <c r="A3" s="21">
        <v>862102</v>
      </c>
      <c r="B3" s="124" t="s">
        <v>208</v>
      </c>
      <c r="C3" s="23"/>
    </row>
    <row r="4" spans="1:7" ht="18.75">
      <c r="A4" s="47"/>
      <c r="B4" s="47"/>
      <c r="C4" s="81" t="s">
        <v>262</v>
      </c>
      <c r="D4" s="340" t="s">
        <v>281</v>
      </c>
      <c r="E4" s="134">
        <v>41695</v>
      </c>
      <c r="F4" s="41" t="s">
        <v>626</v>
      </c>
      <c r="G4" s="41" t="s">
        <v>616</v>
      </c>
    </row>
    <row r="5" spans="1:7" ht="18.75">
      <c r="A5" s="35"/>
      <c r="B5" s="35"/>
      <c r="C5" s="34"/>
      <c r="D5" s="125"/>
      <c r="E5" s="36"/>
      <c r="F5" s="34"/>
      <c r="G5" s="34"/>
    </row>
    <row r="6" spans="1:7" ht="18.75">
      <c r="A6" s="47"/>
      <c r="B6" s="85"/>
      <c r="C6" s="34"/>
      <c r="D6" s="125"/>
      <c r="E6" s="36"/>
      <c r="F6" s="34"/>
      <c r="G6" s="34"/>
    </row>
    <row r="7" spans="1:7" ht="18.75">
      <c r="A7" s="47">
        <v>5531</v>
      </c>
      <c r="B7" s="85" t="s">
        <v>207</v>
      </c>
      <c r="C7" s="34">
        <v>700</v>
      </c>
      <c r="D7" s="125">
        <v>700</v>
      </c>
      <c r="E7" s="36">
        <v>700</v>
      </c>
      <c r="F7" s="34">
        <v>647</v>
      </c>
      <c r="G7" s="34">
        <v>700</v>
      </c>
    </row>
    <row r="8" spans="1:7" ht="18.75">
      <c r="A8" s="47"/>
      <c r="B8" s="85" t="s">
        <v>607</v>
      </c>
      <c r="C8" s="34"/>
      <c r="D8" s="125"/>
      <c r="E8" s="36">
        <v>500</v>
      </c>
      <c r="F8" s="34">
        <v>500</v>
      </c>
      <c r="G8" s="34">
        <v>500</v>
      </c>
    </row>
    <row r="9" spans="1:7" ht="18.75">
      <c r="A9" s="47" t="s">
        <v>73</v>
      </c>
      <c r="B9" s="47" t="s">
        <v>64</v>
      </c>
      <c r="C9" s="48">
        <f>SUM(C6:C7)</f>
        <v>700</v>
      </c>
      <c r="D9" s="341">
        <f>SUM(D6:D7)</f>
        <v>700</v>
      </c>
      <c r="E9" s="37">
        <f>SUM(E7:E8)</f>
        <v>1200</v>
      </c>
      <c r="F9" s="37">
        <f>SUM(F7:F8)</f>
        <v>1147</v>
      </c>
      <c r="G9" s="37">
        <f>SUM(G7:G8)</f>
        <v>1200</v>
      </c>
    </row>
    <row r="10" spans="1:7" ht="18.75">
      <c r="A10" s="47"/>
      <c r="B10" s="47"/>
      <c r="C10" s="34"/>
      <c r="D10" s="125"/>
      <c r="E10" s="36"/>
      <c r="F10" s="34"/>
      <c r="G10" s="34"/>
    </row>
    <row r="11" spans="1:7" ht="18.75">
      <c r="A11" s="47"/>
      <c r="B11" s="35"/>
      <c r="C11" s="34"/>
      <c r="D11" s="125"/>
      <c r="E11" s="36"/>
      <c r="F11" s="34"/>
      <c r="G11" s="34"/>
    </row>
    <row r="12" spans="1:7" ht="18.75">
      <c r="A12" s="47"/>
      <c r="B12" s="47" t="s">
        <v>74</v>
      </c>
      <c r="C12" s="48">
        <f>SUM(C9)</f>
        <v>700</v>
      </c>
      <c r="D12" s="48">
        <f>SUM(D9)</f>
        <v>700</v>
      </c>
      <c r="E12" s="37">
        <f>SUM(E9)</f>
        <v>1200</v>
      </c>
      <c r="F12" s="37">
        <f>SUM(F9)</f>
        <v>1147</v>
      </c>
      <c r="G12" s="37">
        <f>SUM(G9)</f>
        <v>1200</v>
      </c>
    </row>
    <row r="13" spans="1:3" ht="18.75">
      <c r="A13" s="84"/>
      <c r="B13" s="84"/>
      <c r="C13" s="23"/>
    </row>
    <row r="22" ht="18.75">
      <c r="B22" s="87"/>
    </row>
    <row r="23" ht="18.75">
      <c r="B23" s="87"/>
    </row>
    <row r="32" ht="18.75">
      <c r="B32" s="89"/>
    </row>
    <row r="35" ht="18.75">
      <c r="B35" s="89"/>
    </row>
    <row r="40" ht="18.75">
      <c r="B40" s="89"/>
    </row>
    <row r="42" ht="18.75">
      <c r="B42" s="106"/>
    </row>
    <row r="47" ht="18.75">
      <c r="B47" s="89"/>
    </row>
  </sheetData>
  <sheetProtection/>
  <printOptions/>
  <pageMargins left="0.7" right="0.7" top="0.75" bottom="0.75" header="0.3" footer="0.3"/>
  <pageSetup horizontalDpi="300" verticalDpi="300" orientation="portrait" paperSize="9" scale="75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C00000"/>
  </sheetPr>
  <dimension ref="A2:J101"/>
  <sheetViews>
    <sheetView zoomScalePageLayoutView="0" workbookViewId="0" topLeftCell="A88">
      <selection activeCell="D61" sqref="D61"/>
    </sheetView>
  </sheetViews>
  <sheetFormatPr defaultColWidth="8.41015625" defaultRowHeight="18"/>
  <cols>
    <col min="1" max="1" width="8.41015625" style="21" customWidth="1"/>
    <col min="2" max="2" width="29.41015625" style="21" customWidth="1"/>
    <col min="3" max="3" width="8" style="382" customWidth="1"/>
    <col min="4" max="4" width="7.33203125" style="21" customWidth="1"/>
    <col min="5" max="5" width="7.75" style="21" customWidth="1"/>
    <col min="6" max="249" width="7.08203125" style="21" customWidth="1"/>
    <col min="250" max="16384" width="8.41015625" style="21" customWidth="1"/>
  </cols>
  <sheetData>
    <row r="2" spans="1:5" ht="18.75">
      <c r="A2" s="620" t="s">
        <v>1331</v>
      </c>
      <c r="B2" s="620"/>
      <c r="C2" s="620"/>
      <c r="D2" s="620"/>
      <c r="E2" s="620"/>
    </row>
    <row r="3" ht="19.5" thickBot="1">
      <c r="C3" s="243"/>
    </row>
    <row r="4" spans="1:5" ht="19.5" thickBot="1">
      <c r="A4" s="595">
        <v>862102</v>
      </c>
      <c r="B4" s="245" t="s">
        <v>1398</v>
      </c>
      <c r="C4" s="421" t="s">
        <v>616</v>
      </c>
      <c r="D4" s="41" t="s">
        <v>626</v>
      </c>
      <c r="E4" s="34">
        <v>2016</v>
      </c>
    </row>
    <row r="5" spans="1:5" ht="19.5" thickBot="1">
      <c r="A5" s="596" t="s">
        <v>1399</v>
      </c>
      <c r="B5" s="210"/>
      <c r="C5" s="295"/>
      <c r="D5" s="34"/>
      <c r="E5" s="34"/>
    </row>
    <row r="6" spans="1:5" ht="18.75">
      <c r="A6" s="249" t="s">
        <v>819</v>
      </c>
      <c r="B6" s="250" t="s">
        <v>1238</v>
      </c>
      <c r="C6" s="376"/>
      <c r="D6" s="565"/>
      <c r="E6" s="565"/>
    </row>
    <row r="7" spans="1:5" ht="18.75">
      <c r="A7" s="253" t="s">
        <v>822</v>
      </c>
      <c r="B7" s="254" t="s">
        <v>821</v>
      </c>
      <c r="C7" s="377"/>
      <c r="D7" s="34"/>
      <c r="E7" s="34"/>
    </row>
    <row r="8" spans="1:5" ht="18.75">
      <c r="A8" s="253" t="s">
        <v>823</v>
      </c>
      <c r="B8" s="254" t="s">
        <v>820</v>
      </c>
      <c r="C8" s="377"/>
      <c r="D8" s="34"/>
      <c r="E8" s="381"/>
    </row>
    <row r="9" spans="1:5" ht="18.75">
      <c r="A9" s="253" t="s">
        <v>825</v>
      </c>
      <c r="B9" s="254" t="s">
        <v>824</v>
      </c>
      <c r="C9" s="377"/>
      <c r="D9" s="34"/>
      <c r="E9" s="34"/>
    </row>
    <row r="10" spans="1:5" ht="18.75">
      <c r="A10" s="253" t="s">
        <v>826</v>
      </c>
      <c r="B10" s="260" t="s">
        <v>1239</v>
      </c>
      <c r="C10" s="377"/>
      <c r="D10" s="34"/>
      <c r="E10" s="34"/>
    </row>
    <row r="11" spans="1:5" ht="18.75">
      <c r="A11" s="253" t="s">
        <v>1233</v>
      </c>
      <c r="B11" s="260" t="s">
        <v>1240</v>
      </c>
      <c r="C11" s="378"/>
      <c r="D11" s="34"/>
      <c r="E11" s="34"/>
    </row>
    <row r="12" spans="1:5" ht="18.75">
      <c r="A12" s="253" t="s">
        <v>1241</v>
      </c>
      <c r="B12" s="262" t="s">
        <v>1234</v>
      </c>
      <c r="C12" s="377"/>
      <c r="D12" s="34"/>
      <c r="E12" s="34"/>
    </row>
    <row r="13" spans="1:5" ht="18.75">
      <c r="A13" s="253" t="s">
        <v>1242</v>
      </c>
      <c r="B13" s="262" t="s">
        <v>1235</v>
      </c>
      <c r="C13" s="377"/>
      <c r="D13" s="34"/>
      <c r="E13" s="34"/>
    </row>
    <row r="14" spans="1:5" ht="18.75">
      <c r="A14" s="253" t="s">
        <v>1243</v>
      </c>
      <c r="B14" s="254" t="s">
        <v>528</v>
      </c>
      <c r="C14" s="377"/>
      <c r="D14" s="34"/>
      <c r="E14" s="34"/>
    </row>
    <row r="15" spans="1:5" ht="18.75">
      <c r="A15" s="253" t="s">
        <v>1244</v>
      </c>
      <c r="B15" s="254" t="s">
        <v>1236</v>
      </c>
      <c r="C15" s="377"/>
      <c r="D15" s="34"/>
      <c r="E15" s="34"/>
    </row>
    <row r="16" spans="1:5" ht="19.5" thickBot="1">
      <c r="A16" s="264" t="s">
        <v>1245</v>
      </c>
      <c r="B16" s="265" t="s">
        <v>791</v>
      </c>
      <c r="C16" s="377"/>
      <c r="D16" s="34"/>
      <c r="E16" s="34"/>
    </row>
    <row r="17" spans="1:5" ht="19.5" thickBot="1">
      <c r="A17" s="568" t="s">
        <v>1327</v>
      </c>
      <c r="B17" s="569" t="s">
        <v>1249</v>
      </c>
      <c r="C17" s="379">
        <f>SUM(C6:C16)</f>
        <v>0</v>
      </c>
      <c r="D17" s="379">
        <f>SUM(D6:D16)</f>
        <v>0</v>
      </c>
      <c r="E17" s="379">
        <f>SUM(E6:E16)</f>
        <v>0</v>
      </c>
    </row>
    <row r="18" spans="1:5" ht="19.5" thickBot="1">
      <c r="A18" s="557" t="s">
        <v>1329</v>
      </c>
      <c r="B18" s="558" t="s">
        <v>1248</v>
      </c>
      <c r="C18" s="377"/>
      <c r="D18" s="34"/>
      <c r="E18" s="34"/>
    </row>
    <row r="19" spans="1:5" ht="19.5" thickBot="1">
      <c r="A19" s="557" t="s">
        <v>1328</v>
      </c>
      <c r="B19" s="558" t="s">
        <v>1246</v>
      </c>
      <c r="C19" s="377"/>
      <c r="D19" s="34"/>
      <c r="E19" s="34"/>
    </row>
    <row r="20" spans="1:5" ht="19.5" thickBot="1">
      <c r="A20" s="557" t="s">
        <v>1253</v>
      </c>
      <c r="B20" s="558" t="s">
        <v>19</v>
      </c>
      <c r="C20" s="377"/>
      <c r="D20" s="34"/>
      <c r="E20" s="34"/>
    </row>
    <row r="21" spans="1:5" ht="19.5" thickBot="1">
      <c r="A21" s="557" t="s">
        <v>1254</v>
      </c>
      <c r="B21" s="558" t="s">
        <v>889</v>
      </c>
      <c r="C21" s="377"/>
      <c r="D21" s="34"/>
      <c r="E21" s="34"/>
    </row>
    <row r="22" spans="1:5" ht="19.5" thickBot="1">
      <c r="A22" s="568" t="s">
        <v>1330</v>
      </c>
      <c r="B22" s="569" t="s">
        <v>1247</v>
      </c>
      <c r="C22" s="377">
        <f>SUM(C18:C21)</f>
        <v>0</v>
      </c>
      <c r="D22" s="377">
        <f>SUM(D18:D21)</f>
        <v>0</v>
      </c>
      <c r="E22" s="377">
        <f>SUM(E18:E21)</f>
        <v>0</v>
      </c>
    </row>
    <row r="23" spans="1:5" ht="27" customHeight="1" thickBot="1">
      <c r="A23" s="268" t="s">
        <v>1250</v>
      </c>
      <c r="B23" s="269" t="s">
        <v>1237</v>
      </c>
      <c r="C23" s="379">
        <f>SUM(C22,C17)</f>
        <v>0</v>
      </c>
      <c r="D23" s="379">
        <f>SUM(D22,D17)</f>
        <v>0</v>
      </c>
      <c r="E23" s="379">
        <f>SUM(E22,E17)</f>
        <v>0</v>
      </c>
    </row>
    <row r="24" spans="1:5" ht="19.5" thickBot="1">
      <c r="A24" s="270"/>
      <c r="B24" s="271"/>
      <c r="C24" s="377"/>
      <c r="D24" s="34"/>
      <c r="E24" s="34"/>
    </row>
    <row r="25" spans="1:5" ht="18.75">
      <c r="A25" s="272" t="s">
        <v>1255</v>
      </c>
      <c r="B25" s="97" t="s">
        <v>590</v>
      </c>
      <c r="C25" s="275"/>
      <c r="D25" s="44"/>
      <c r="E25" s="34"/>
    </row>
    <row r="26" spans="1:5" ht="18.75">
      <c r="A26" s="559" t="s">
        <v>1256</v>
      </c>
      <c r="B26" s="97" t="s">
        <v>1251</v>
      </c>
      <c r="C26" s="275"/>
      <c r="D26" s="44"/>
      <c r="E26" s="34"/>
    </row>
    <row r="27" spans="1:5" ht="18.75">
      <c r="A27" s="276" t="s">
        <v>1252</v>
      </c>
      <c r="B27" s="255" t="s">
        <v>4</v>
      </c>
      <c r="C27" s="378"/>
      <c r="D27" s="34"/>
      <c r="E27" s="34"/>
    </row>
    <row r="28" spans="1:5" ht="19.5" thickBot="1">
      <c r="A28" s="462" t="s">
        <v>1257</v>
      </c>
      <c r="B28" s="255" t="s">
        <v>635</v>
      </c>
      <c r="C28" s="378"/>
      <c r="D28" s="34"/>
      <c r="E28" s="34"/>
    </row>
    <row r="29" spans="1:5" ht="19.5" thickBot="1">
      <c r="A29" s="582" t="s">
        <v>1258</v>
      </c>
      <c r="B29" s="583" t="s">
        <v>69</v>
      </c>
      <c r="C29" s="378">
        <f>SUM(C25:C28)</f>
        <v>0</v>
      </c>
      <c r="D29" s="378">
        <f>SUM(D25:D28)</f>
        <v>0</v>
      </c>
      <c r="E29" s="378">
        <f>SUM(E25:E28)</f>
        <v>0</v>
      </c>
    </row>
    <row r="30" spans="1:5" ht="19.5" thickBot="1">
      <c r="A30" s="282"/>
      <c r="B30" s="283"/>
      <c r="C30" s="377"/>
      <c r="D30" s="34"/>
      <c r="E30" s="34"/>
    </row>
    <row r="31" spans="1:5" ht="18.75">
      <c r="A31" s="249" t="s">
        <v>1259</v>
      </c>
      <c r="B31" s="291" t="s">
        <v>533</v>
      </c>
      <c r="C31" s="377"/>
      <c r="D31" s="34"/>
      <c r="E31" s="34"/>
    </row>
    <row r="32" spans="1:5" ht="18.75">
      <c r="A32" s="253" t="s">
        <v>1260</v>
      </c>
      <c r="B32" s="254" t="s">
        <v>534</v>
      </c>
      <c r="C32" s="377"/>
      <c r="D32" s="41"/>
      <c r="E32" s="34"/>
    </row>
    <row r="33" spans="1:5" ht="18.75">
      <c r="A33" s="253" t="s">
        <v>1262</v>
      </c>
      <c r="B33" s="254" t="s">
        <v>1261</v>
      </c>
      <c r="C33" s="377"/>
      <c r="D33" s="41"/>
      <c r="E33" s="34"/>
    </row>
    <row r="34" spans="1:5" ht="18.75">
      <c r="A34" s="253" t="s">
        <v>1263</v>
      </c>
      <c r="B34" s="254" t="s">
        <v>124</v>
      </c>
      <c r="C34" s="377"/>
      <c r="D34" s="41"/>
      <c r="E34" s="34"/>
    </row>
    <row r="35" spans="1:5" ht="18.75">
      <c r="A35" s="253" t="s">
        <v>1264</v>
      </c>
      <c r="B35" s="254" t="s">
        <v>1265</v>
      </c>
      <c r="C35" s="570"/>
      <c r="D35" s="41"/>
      <c r="E35" s="34"/>
    </row>
    <row r="36" spans="1:5" ht="18.75">
      <c r="A36" s="253" t="s">
        <v>1335</v>
      </c>
      <c r="B36" s="562" t="s">
        <v>548</v>
      </c>
      <c r="C36" s="570">
        <f>SUM(C31:C35)</f>
        <v>0</v>
      </c>
      <c r="D36" s="570">
        <f>SUM(D31:D35)</f>
        <v>0</v>
      </c>
      <c r="E36" s="570">
        <f>SUM(E31:E35)</f>
        <v>0</v>
      </c>
    </row>
    <row r="37" spans="1:5" ht="18.75">
      <c r="A37" s="253" t="s">
        <v>1342</v>
      </c>
      <c r="B37" s="254" t="s">
        <v>1343</v>
      </c>
      <c r="C37" s="570"/>
      <c r="D37" s="570"/>
      <c r="E37" s="570"/>
    </row>
    <row r="38" spans="1:5" ht="18.75">
      <c r="A38" s="253" t="s">
        <v>1344</v>
      </c>
      <c r="B38" s="254" t="s">
        <v>1267</v>
      </c>
      <c r="C38" s="570"/>
      <c r="D38" s="34"/>
      <c r="E38" s="34"/>
    </row>
    <row r="39" spans="1:5" ht="18.75">
      <c r="A39" s="253" t="s">
        <v>1345</v>
      </c>
      <c r="B39" s="254" t="s">
        <v>88</v>
      </c>
      <c r="C39" s="570"/>
      <c r="D39" s="34"/>
      <c r="E39" s="34"/>
    </row>
    <row r="40" spans="1:5" ht="18.75">
      <c r="A40" s="253" t="s">
        <v>1346</v>
      </c>
      <c r="B40" s="254" t="s">
        <v>1268</v>
      </c>
      <c r="C40" s="377"/>
      <c r="D40" s="34"/>
      <c r="E40" s="34"/>
    </row>
    <row r="41" spans="1:5" ht="19.5" thickBot="1">
      <c r="A41" s="288" t="s">
        <v>1347</v>
      </c>
      <c r="B41" s="289" t="s">
        <v>1269</v>
      </c>
      <c r="C41" s="377"/>
      <c r="D41" s="34"/>
      <c r="E41" s="34"/>
    </row>
    <row r="42" spans="1:5" ht="17.25" customHeight="1" thickBot="1">
      <c r="A42" s="268" t="s">
        <v>1266</v>
      </c>
      <c r="B42" s="571" t="s">
        <v>1270</v>
      </c>
      <c r="C42" s="377">
        <f>SUM(C37:C41)</f>
        <v>0</v>
      </c>
      <c r="D42" s="377">
        <f>SUM(D38:D41)</f>
        <v>0</v>
      </c>
      <c r="E42" s="377">
        <f>SUM(E38:E41)</f>
        <v>0</v>
      </c>
    </row>
    <row r="43" spans="1:5" ht="22.5" customHeight="1" thickBot="1">
      <c r="A43" s="572" t="s">
        <v>1300</v>
      </c>
      <c r="B43" s="573" t="s">
        <v>595</v>
      </c>
      <c r="C43" s="574">
        <f>SUM(C42,C36)</f>
        <v>0</v>
      </c>
      <c r="D43" s="574">
        <f>SUM(D42,D36)</f>
        <v>0</v>
      </c>
      <c r="E43" s="574">
        <f>SUM(E42,E36)</f>
        <v>0</v>
      </c>
    </row>
    <row r="44" spans="1:5" ht="18.75">
      <c r="A44" s="249" t="s">
        <v>1271</v>
      </c>
      <c r="B44" s="291" t="s">
        <v>1348</v>
      </c>
      <c r="C44" s="377"/>
      <c r="D44" s="34"/>
      <c r="E44" s="34"/>
    </row>
    <row r="45" spans="1:5" ht="18.75">
      <c r="A45" s="494" t="s">
        <v>1350</v>
      </c>
      <c r="B45" s="590" t="s">
        <v>1351</v>
      </c>
      <c r="C45" s="377"/>
      <c r="D45" s="34"/>
      <c r="E45" s="34"/>
    </row>
    <row r="46" spans="1:5" ht="18.75">
      <c r="A46" s="253" t="s">
        <v>1272</v>
      </c>
      <c r="B46" s="254" t="s">
        <v>1349</v>
      </c>
      <c r="C46" s="295"/>
      <c r="D46" s="566"/>
      <c r="E46" s="34"/>
    </row>
    <row r="47" spans="1:5" ht="18.75">
      <c r="A47" s="575" t="s">
        <v>1301</v>
      </c>
      <c r="B47" s="576" t="s">
        <v>1366</v>
      </c>
      <c r="C47" s="577">
        <f>SUM(C44:C46)</f>
        <v>0</v>
      </c>
      <c r="D47" s="577">
        <f>SUM(D44:D46)</f>
        <v>0</v>
      </c>
      <c r="E47" s="577">
        <f>SUM(E44:E46)</f>
        <v>0</v>
      </c>
    </row>
    <row r="48" spans="1:5" ht="18.75">
      <c r="A48" s="253" t="s">
        <v>1275</v>
      </c>
      <c r="B48" s="254" t="s">
        <v>544</v>
      </c>
      <c r="C48" s="295"/>
      <c r="D48" s="566"/>
      <c r="E48" s="34"/>
    </row>
    <row r="49" spans="1:5" ht="18.75">
      <c r="A49" s="253" t="s">
        <v>1274</v>
      </c>
      <c r="B49" s="254" t="s">
        <v>543</v>
      </c>
      <c r="C49" s="295"/>
      <c r="D49" s="34"/>
      <c r="E49" s="34"/>
    </row>
    <row r="50" spans="1:5" ht="18.75">
      <c r="A50" s="253" t="s">
        <v>1276</v>
      </c>
      <c r="B50" s="254" t="s">
        <v>503</v>
      </c>
      <c r="C50" s="295"/>
      <c r="D50" s="34"/>
      <c r="E50" s="34"/>
    </row>
    <row r="51" spans="1:5" ht="18.75">
      <c r="A51" s="575" t="s">
        <v>1273</v>
      </c>
      <c r="B51" s="576" t="s">
        <v>1277</v>
      </c>
      <c r="C51" s="577">
        <f>SUM(C48:C50)</f>
        <v>0</v>
      </c>
      <c r="D51" s="577">
        <f>SUM(D48:D50)</f>
        <v>0</v>
      </c>
      <c r="E51" s="577">
        <f>SUM(E48:E50)</f>
        <v>0</v>
      </c>
    </row>
    <row r="52" spans="1:5" ht="18.75">
      <c r="A52" s="253" t="s">
        <v>1332</v>
      </c>
      <c r="B52" s="254" t="s">
        <v>1278</v>
      </c>
      <c r="C52" s="295"/>
      <c r="D52" s="34"/>
      <c r="E52" s="34"/>
    </row>
    <row r="53" spans="1:5" ht="18.75">
      <c r="A53" s="253" t="s">
        <v>1280</v>
      </c>
      <c r="B53" s="254" t="s">
        <v>26</v>
      </c>
      <c r="C53" s="295"/>
      <c r="D53" s="41"/>
      <c r="E53" s="34"/>
    </row>
    <row r="54" spans="1:5" ht="18.75">
      <c r="A54" s="253" t="s">
        <v>1281</v>
      </c>
      <c r="B54" s="254" t="s">
        <v>1352</v>
      </c>
      <c r="C54" s="377"/>
      <c r="D54" s="34"/>
      <c r="E54" s="34"/>
    </row>
    <row r="55" spans="1:5" ht="18.75">
      <c r="A55" s="575" t="s">
        <v>1283</v>
      </c>
      <c r="B55" s="576" t="s">
        <v>1282</v>
      </c>
      <c r="C55" s="574">
        <f>SUM(C53:C54)</f>
        <v>0</v>
      </c>
      <c r="D55" s="574">
        <f>SUM(D53:D54)</f>
        <v>0</v>
      </c>
      <c r="E55" s="574">
        <f>SUM(E53:E54)</f>
        <v>0</v>
      </c>
    </row>
    <row r="56" spans="1:5" ht="18.75">
      <c r="A56" s="575" t="s">
        <v>1284</v>
      </c>
      <c r="B56" s="588" t="s">
        <v>1333</v>
      </c>
      <c r="C56" s="589"/>
      <c r="D56" s="589"/>
      <c r="E56" s="589"/>
    </row>
    <row r="57" spans="1:5" ht="18.75">
      <c r="A57" s="288"/>
      <c r="B57" s="554" t="s">
        <v>943</v>
      </c>
      <c r="C57" s="554"/>
      <c r="D57" s="554"/>
      <c r="E57" s="554"/>
    </row>
    <row r="58" spans="1:6" ht="18.75">
      <c r="A58" s="288" t="s">
        <v>1353</v>
      </c>
      <c r="B58" s="554" t="s">
        <v>547</v>
      </c>
      <c r="C58" s="554">
        <v>1334</v>
      </c>
      <c r="D58" s="554">
        <v>1124</v>
      </c>
      <c r="E58" s="554">
        <v>1550</v>
      </c>
      <c r="F58" s="21" t="s">
        <v>1532</v>
      </c>
    </row>
    <row r="59" spans="1:5" ht="18.75">
      <c r="A59" s="288" t="s">
        <v>1354</v>
      </c>
      <c r="B59" s="554" t="s">
        <v>1355</v>
      </c>
      <c r="C59" s="554"/>
      <c r="D59" s="554"/>
      <c r="E59" s="554"/>
    </row>
    <row r="60" spans="1:5" ht="27" customHeight="1">
      <c r="A60" s="561" t="s">
        <v>1285</v>
      </c>
      <c r="B60" s="552" t="s">
        <v>945</v>
      </c>
      <c r="C60" s="591">
        <f>SUM(C58:C59)</f>
        <v>1334</v>
      </c>
      <c r="D60" s="591">
        <f>SUM(D58:D59)</f>
        <v>1124</v>
      </c>
      <c r="E60" s="591">
        <f>SUM(E58:E59)</f>
        <v>1550</v>
      </c>
    </row>
    <row r="61" spans="1:5" ht="23.25" customHeight="1">
      <c r="A61" s="462" t="s">
        <v>1356</v>
      </c>
      <c r="B61" s="553" t="s">
        <v>1362</v>
      </c>
      <c r="C61" s="591"/>
      <c r="D61" s="591"/>
      <c r="E61" s="591"/>
    </row>
    <row r="62" spans="1:5" ht="23.25" customHeight="1">
      <c r="A62" s="462" t="s">
        <v>1357</v>
      </c>
      <c r="B62" s="553" t="s">
        <v>1358</v>
      </c>
      <c r="C62" s="591"/>
      <c r="D62" s="591"/>
      <c r="E62" s="591"/>
    </row>
    <row r="63" spans="1:5" ht="23.25" customHeight="1">
      <c r="A63" s="462" t="s">
        <v>1359</v>
      </c>
      <c r="B63" s="553" t="s">
        <v>9</v>
      </c>
      <c r="C63" s="591"/>
      <c r="D63" s="591"/>
      <c r="E63" s="591"/>
    </row>
    <row r="64" spans="1:6" ht="23.25" customHeight="1" thickBot="1">
      <c r="A64" s="462" t="s">
        <v>1360</v>
      </c>
      <c r="B64" s="553" t="s">
        <v>1361</v>
      </c>
      <c r="C64" s="591"/>
      <c r="D64" s="591"/>
      <c r="E64" s="591"/>
      <c r="F64" s="21" t="s">
        <v>1368</v>
      </c>
    </row>
    <row r="65" spans="1:5" ht="17.25" customHeight="1" thickBot="1">
      <c r="A65" s="298" t="s">
        <v>1286</v>
      </c>
      <c r="B65" s="552" t="s">
        <v>948</v>
      </c>
      <c r="C65" s="591">
        <f>SUM(C61:C64)</f>
        <v>0</v>
      </c>
      <c r="D65" s="591">
        <f>SUM(D61:D64)</f>
        <v>0</v>
      </c>
      <c r="E65" s="591">
        <f>SUM(E61:E64)</f>
        <v>0</v>
      </c>
    </row>
    <row r="66" spans="1:5" ht="25.5" customHeight="1">
      <c r="A66" s="578" t="s">
        <v>1279</v>
      </c>
      <c r="B66" s="579" t="s">
        <v>1287</v>
      </c>
      <c r="C66" s="579">
        <f>SUM(C65+C60+C56+C55+C52)</f>
        <v>1334</v>
      </c>
      <c r="D66" s="579">
        <f>SUM(D65+D60+D56+D55+D52)</f>
        <v>1124</v>
      </c>
      <c r="E66" s="579">
        <f>SUM(E65+E60+E56+E55+E52)</f>
        <v>1550</v>
      </c>
    </row>
    <row r="67" spans="1:5" ht="18.75">
      <c r="A67" s="253" t="s">
        <v>1288</v>
      </c>
      <c r="B67" s="553" t="s">
        <v>952</v>
      </c>
      <c r="C67" s="553"/>
      <c r="D67" s="553"/>
      <c r="E67" s="553"/>
    </row>
    <row r="68" spans="1:5" ht="18.75">
      <c r="A68" s="253" t="s">
        <v>1289</v>
      </c>
      <c r="B68" s="553" t="s">
        <v>954</v>
      </c>
      <c r="C68" s="553"/>
      <c r="D68" s="553"/>
      <c r="E68" s="553"/>
    </row>
    <row r="69" spans="1:5" ht="24" customHeight="1">
      <c r="A69" s="575" t="s">
        <v>1291</v>
      </c>
      <c r="B69" s="579" t="s">
        <v>1290</v>
      </c>
      <c r="C69" s="579">
        <f>SUM(C67:C68)</f>
        <v>0</v>
      </c>
      <c r="D69" s="579">
        <f>SUM(D67:D68)</f>
        <v>0</v>
      </c>
      <c r="E69" s="579">
        <f>SUM(E67:E68)</f>
        <v>0</v>
      </c>
    </row>
    <row r="70" spans="1:5" ht="26.25" customHeight="1" thickBot="1">
      <c r="A70" s="561" t="s">
        <v>1294</v>
      </c>
      <c r="B70" s="552" t="s">
        <v>958</v>
      </c>
      <c r="C70" s="552"/>
      <c r="D70" s="552"/>
      <c r="E70" s="552"/>
    </row>
    <row r="71" spans="1:5" ht="27" customHeight="1" thickBot="1">
      <c r="A71" s="268" t="s">
        <v>1295</v>
      </c>
      <c r="B71" s="552" t="s">
        <v>960</v>
      </c>
      <c r="C71" s="552"/>
      <c r="D71" s="552"/>
      <c r="E71" s="552"/>
    </row>
    <row r="72" spans="1:5" ht="19.5" thickBot="1">
      <c r="A72" s="210" t="s">
        <v>1296</v>
      </c>
      <c r="B72" s="552" t="s">
        <v>1293</v>
      </c>
      <c r="C72" s="552"/>
      <c r="D72" s="552"/>
      <c r="E72" s="552"/>
    </row>
    <row r="73" spans="1:5" ht="24.75" customHeight="1">
      <c r="A73" s="593" t="s">
        <v>1298</v>
      </c>
      <c r="B73" s="594" t="s">
        <v>1363</v>
      </c>
      <c r="C73" s="594"/>
      <c r="D73" s="552"/>
      <c r="E73" s="552"/>
    </row>
    <row r="74" spans="1:6" ht="24.75" customHeight="1">
      <c r="A74" s="592" t="s">
        <v>1364</v>
      </c>
      <c r="B74" s="563" t="s">
        <v>1365</v>
      </c>
      <c r="C74" s="563"/>
      <c r="D74" s="553"/>
      <c r="E74" s="553"/>
      <c r="F74" s="21" t="s">
        <v>1369</v>
      </c>
    </row>
    <row r="75" spans="1:5" ht="24.75" customHeight="1">
      <c r="A75" s="592" t="s">
        <v>1370</v>
      </c>
      <c r="B75" s="563" t="s">
        <v>1367</v>
      </c>
      <c r="C75" s="563"/>
      <c r="D75" s="553"/>
      <c r="E75" s="553"/>
    </row>
    <row r="76" spans="1:5" ht="18.75">
      <c r="A76" s="98" t="s">
        <v>1297</v>
      </c>
      <c r="B76" s="552" t="s">
        <v>970</v>
      </c>
      <c r="C76" s="552">
        <f>SUM(C74:C75)</f>
        <v>0</v>
      </c>
      <c r="D76" s="552">
        <f>SUM(D74:D75)</f>
        <v>0</v>
      </c>
      <c r="E76" s="552">
        <f>SUM(E74:E75)</f>
        <v>0</v>
      </c>
    </row>
    <row r="77" spans="1:5" ht="24.75" customHeight="1">
      <c r="A77" s="580" t="s">
        <v>1292</v>
      </c>
      <c r="B77" s="579" t="s">
        <v>1334</v>
      </c>
      <c r="C77" s="579">
        <f>C76+C73+C72+C71+C70</f>
        <v>0</v>
      </c>
      <c r="D77" s="579">
        <f>D76+D73+D72+D71+D70</f>
        <v>0</v>
      </c>
      <c r="E77" s="579">
        <f>E76+E73+E72+E71+E70</f>
        <v>0</v>
      </c>
    </row>
    <row r="78" spans="1:10" ht="24.75" customHeight="1">
      <c r="A78" s="587" t="s">
        <v>1299</v>
      </c>
      <c r="B78" s="585" t="s">
        <v>70</v>
      </c>
      <c r="C78" s="579">
        <f>SUM(C77+C69+C66+C47+C43)</f>
        <v>1334</v>
      </c>
      <c r="D78" s="579">
        <f>SUM(D77+D69+D66+D47+D43)</f>
        <v>1124</v>
      </c>
      <c r="E78" s="579">
        <f>SUM(E77+E69+E66+E47+E43)</f>
        <v>1550</v>
      </c>
      <c r="F78" s="560"/>
      <c r="G78" s="560"/>
      <c r="H78" s="560"/>
      <c r="I78" s="560"/>
      <c r="J78" s="560"/>
    </row>
    <row r="79" spans="1:10" ht="24.75" customHeight="1">
      <c r="A79" s="98" t="s">
        <v>1307</v>
      </c>
      <c r="B79" s="553" t="s">
        <v>1302</v>
      </c>
      <c r="C79" s="552"/>
      <c r="D79" s="552"/>
      <c r="E79" s="552"/>
      <c r="F79" s="560"/>
      <c r="G79" s="560"/>
      <c r="H79" s="560"/>
      <c r="I79" s="560"/>
      <c r="J79" s="560"/>
    </row>
    <row r="80" spans="1:10" ht="24.75" customHeight="1">
      <c r="A80" s="98" t="s">
        <v>1306</v>
      </c>
      <c r="B80" s="553" t="s">
        <v>1308</v>
      </c>
      <c r="C80" s="552"/>
      <c r="D80" s="552"/>
      <c r="E80" s="552"/>
      <c r="F80" s="560"/>
      <c r="G80" s="560"/>
      <c r="H80" s="560"/>
      <c r="I80" s="560"/>
      <c r="J80" s="560"/>
    </row>
    <row r="81" spans="1:10" ht="24.75" customHeight="1">
      <c r="A81" s="98"/>
      <c r="B81" s="97" t="s">
        <v>1304</v>
      </c>
      <c r="C81" s="552"/>
      <c r="D81" s="552"/>
      <c r="E81" s="552"/>
      <c r="F81" s="560"/>
      <c r="G81" s="560"/>
      <c r="H81" s="560"/>
      <c r="I81" s="560"/>
      <c r="J81" s="560"/>
    </row>
    <row r="82" spans="1:5" ht="18.75">
      <c r="A82" s="98"/>
      <c r="B82" s="97" t="s">
        <v>1303</v>
      </c>
      <c r="C82" s="377"/>
      <c r="D82" s="34"/>
      <c r="E82" s="34"/>
    </row>
    <row r="83" spans="1:5" ht="18.75">
      <c r="A83" s="98"/>
      <c r="B83" s="567" t="s">
        <v>1305</v>
      </c>
      <c r="C83" s="377"/>
      <c r="D83" s="34"/>
      <c r="E83" s="34"/>
    </row>
    <row r="84" spans="1:5" ht="25.5">
      <c r="A84" s="580" t="s">
        <v>1341</v>
      </c>
      <c r="B84" s="579" t="s">
        <v>1337</v>
      </c>
      <c r="C84" s="377">
        <f>SUM(C80:C83)</f>
        <v>0</v>
      </c>
      <c r="D84" s="377">
        <f>SUM(D80:D83)</f>
        <v>0</v>
      </c>
      <c r="E84" s="377">
        <f>SUM(E80:E83)</f>
        <v>0</v>
      </c>
    </row>
    <row r="85" spans="1:5" s="564" customFormat="1" ht="18.75">
      <c r="A85" s="587" t="s">
        <v>1336</v>
      </c>
      <c r="B85" s="587" t="s">
        <v>1340</v>
      </c>
      <c r="C85" s="574">
        <f>SUM(C79+C84)</f>
        <v>0</v>
      </c>
      <c r="D85" s="574">
        <f>SUM(D79+D84)</f>
        <v>0</v>
      </c>
      <c r="E85" s="574">
        <f>SUM(E79+E84)</f>
        <v>0</v>
      </c>
    </row>
    <row r="86" spans="1:5" ht="18.75">
      <c r="A86" s="97" t="s">
        <v>1309</v>
      </c>
      <c r="B86" s="553" t="s">
        <v>1113</v>
      </c>
      <c r="C86" s="553"/>
      <c r="D86" s="553"/>
      <c r="E86" s="553"/>
    </row>
    <row r="87" spans="1:5" s="382" customFormat="1" ht="15">
      <c r="A87" s="97" t="s">
        <v>1310</v>
      </c>
      <c r="B87" s="553" t="s">
        <v>1371</v>
      </c>
      <c r="C87" s="553"/>
      <c r="D87" s="553"/>
      <c r="E87" s="553"/>
    </row>
    <row r="88" spans="1:5" ht="18.75">
      <c r="A88" s="172" t="s">
        <v>1311</v>
      </c>
      <c r="B88" s="553" t="s">
        <v>1117</v>
      </c>
      <c r="C88" s="553"/>
      <c r="D88" s="553"/>
      <c r="E88" s="553"/>
    </row>
    <row r="89" spans="1:5" ht="24" customHeight="1">
      <c r="A89" s="172" t="s">
        <v>1312</v>
      </c>
      <c r="B89" s="553" t="s">
        <v>1118</v>
      </c>
      <c r="C89" s="553"/>
      <c r="D89" s="553"/>
      <c r="E89" s="553"/>
    </row>
    <row r="90" spans="1:5" ht="26.25" customHeight="1">
      <c r="A90" s="172" t="s">
        <v>1313</v>
      </c>
      <c r="B90" s="553" t="s">
        <v>1120</v>
      </c>
      <c r="C90" s="553"/>
      <c r="D90" s="553"/>
      <c r="E90" s="553"/>
    </row>
    <row r="91" spans="1:5" ht="25.5" customHeight="1">
      <c r="A91" s="172" t="s">
        <v>1314</v>
      </c>
      <c r="B91" s="553" t="s">
        <v>1126</v>
      </c>
      <c r="C91" s="553"/>
      <c r="D91" s="553"/>
      <c r="E91" s="553"/>
    </row>
    <row r="92" spans="1:5" ht="18.75">
      <c r="A92" s="584" t="s">
        <v>1315</v>
      </c>
      <c r="B92" s="585" t="s">
        <v>1339</v>
      </c>
      <c r="C92" s="552">
        <f>SUM(C86:C91)</f>
        <v>0</v>
      </c>
      <c r="D92" s="552">
        <f>SUM(D86:D91)</f>
        <v>0</v>
      </c>
      <c r="E92" s="552">
        <f>SUM(E86:E91)</f>
        <v>0</v>
      </c>
    </row>
    <row r="93" spans="1:5" ht="18.75">
      <c r="A93" s="172" t="s">
        <v>1316</v>
      </c>
      <c r="B93" s="553" t="s">
        <v>1130</v>
      </c>
      <c r="C93" s="553"/>
      <c r="D93" s="553"/>
      <c r="E93" s="553"/>
    </row>
    <row r="94" spans="1:5" ht="18.75">
      <c r="A94" s="172" t="s">
        <v>1317</v>
      </c>
      <c r="B94" s="553" t="s">
        <v>1132</v>
      </c>
      <c r="C94" s="553"/>
      <c r="D94" s="553"/>
      <c r="E94" s="553"/>
    </row>
    <row r="95" spans="1:5" ht="18.75">
      <c r="A95" s="172" t="s">
        <v>1318</v>
      </c>
      <c r="B95" s="553" t="s">
        <v>1134</v>
      </c>
      <c r="C95" s="553"/>
      <c r="D95" s="553"/>
      <c r="E95" s="553"/>
    </row>
    <row r="96" spans="1:5" ht="24" customHeight="1">
      <c r="A96" s="172" t="s">
        <v>1319</v>
      </c>
      <c r="B96" s="553" t="s">
        <v>1136</v>
      </c>
      <c r="C96" s="553"/>
      <c r="D96" s="553"/>
      <c r="E96" s="553"/>
    </row>
    <row r="97" spans="1:5" ht="18.75">
      <c r="A97" s="584" t="s">
        <v>1320</v>
      </c>
      <c r="B97" s="585" t="s">
        <v>1338</v>
      </c>
      <c r="C97" s="552">
        <f>SUM(C93:C96)</f>
        <v>0</v>
      </c>
      <c r="D97" s="552">
        <f>SUM(D93:D96)</f>
        <v>0</v>
      </c>
      <c r="E97" s="552">
        <f>SUM(E93:E96)</f>
        <v>0</v>
      </c>
    </row>
    <row r="98" spans="1:5" ht="25.5" customHeight="1">
      <c r="A98" s="172" t="s">
        <v>1323</v>
      </c>
      <c r="B98" s="555" t="s">
        <v>1325</v>
      </c>
      <c r="C98" s="555"/>
      <c r="D98" s="555"/>
      <c r="E98" s="555"/>
    </row>
    <row r="99" spans="1:5" ht="27" customHeight="1">
      <c r="A99" s="457" t="s">
        <v>1322</v>
      </c>
      <c r="B99" s="553" t="s">
        <v>1321</v>
      </c>
      <c r="C99" s="553"/>
      <c r="D99" s="553"/>
      <c r="E99" s="553"/>
    </row>
    <row r="100" spans="1:5" ht="18.75">
      <c r="A100" s="584" t="s">
        <v>1326</v>
      </c>
      <c r="B100" s="586" t="s">
        <v>1324</v>
      </c>
      <c r="C100" s="295">
        <f>SUM(C98:C99)</f>
        <v>0</v>
      </c>
      <c r="D100" s="295">
        <f>SUM(D98:D99)</f>
        <v>0</v>
      </c>
      <c r="E100" s="295">
        <f>SUM(E98:E99)</f>
        <v>0</v>
      </c>
    </row>
    <row r="101" spans="1:5" ht="18.75">
      <c r="A101" s="34"/>
      <c r="B101" s="36" t="s">
        <v>118</v>
      </c>
      <c r="C101" s="581">
        <f>SUM(C100+C97+C92+C85+C78+C29+C23)</f>
        <v>1334</v>
      </c>
      <c r="D101" s="581">
        <f>SUM(D100+D97+D92+D85+D78+D29+D23)</f>
        <v>1124</v>
      </c>
      <c r="E101" s="581">
        <f>SUM(E100+E97+E92+E85+E78+E29+E23)</f>
        <v>1550</v>
      </c>
    </row>
  </sheetData>
  <sheetProtection/>
  <mergeCells count="1">
    <mergeCell ref="A2:E2"/>
  </mergeCells>
  <printOptions/>
  <pageMargins left="0.7" right="0.7" top="0.75" bottom="0.75" header="0.3" footer="0.3"/>
  <pageSetup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00B050"/>
  </sheetPr>
  <dimension ref="A3:H47"/>
  <sheetViews>
    <sheetView view="pageBreakPreview" zoomScale="60" zoomScalePageLayoutView="0" workbookViewId="0" topLeftCell="A1">
      <selection activeCell="F18" sqref="F18"/>
    </sheetView>
  </sheetViews>
  <sheetFormatPr defaultColWidth="8.66015625" defaultRowHeight="18"/>
  <cols>
    <col min="1" max="1" width="9.08203125" style="11" bestFit="1" customWidth="1"/>
    <col min="2" max="2" width="33" style="11" customWidth="1"/>
    <col min="3" max="3" width="6.08203125" style="11" customWidth="1"/>
    <col min="4" max="4" width="8.58203125" style="11" customWidth="1"/>
    <col min="5" max="5" width="11.91015625" style="11" customWidth="1"/>
    <col min="6" max="16384" width="8.91015625" style="11" customWidth="1"/>
  </cols>
  <sheetData>
    <row r="3" spans="1:2" ht="16.5" thickBot="1">
      <c r="A3" s="12">
        <v>862231</v>
      </c>
      <c r="B3" s="10" t="s">
        <v>138</v>
      </c>
    </row>
    <row r="4" spans="1:7" ht="31.5" thickTop="1">
      <c r="A4" s="13"/>
      <c r="B4" s="14"/>
      <c r="C4" s="130" t="s">
        <v>262</v>
      </c>
      <c r="D4" s="46" t="s">
        <v>281</v>
      </c>
      <c r="E4" s="342">
        <v>41666</v>
      </c>
      <c r="F4" s="25" t="s">
        <v>615</v>
      </c>
      <c r="G4" s="25" t="s">
        <v>616</v>
      </c>
    </row>
    <row r="5" spans="1:7" ht="15.75">
      <c r="A5" s="25">
        <v>55</v>
      </c>
      <c r="B5" s="122" t="s">
        <v>71</v>
      </c>
      <c r="C5" s="25"/>
      <c r="D5" s="25"/>
      <c r="E5" s="28"/>
      <c r="F5" s="25"/>
      <c r="G5" s="25"/>
    </row>
    <row r="6" spans="1:8" ht="21" customHeight="1">
      <c r="A6" s="25">
        <v>5531</v>
      </c>
      <c r="B6" s="335" t="s">
        <v>294</v>
      </c>
      <c r="C6" s="25">
        <v>119</v>
      </c>
      <c r="D6" s="25">
        <v>300</v>
      </c>
      <c r="E6" s="28">
        <v>160</v>
      </c>
      <c r="F6" s="25">
        <v>280</v>
      </c>
      <c r="G6" s="25">
        <v>300</v>
      </c>
      <c r="H6" s="11" t="s">
        <v>797</v>
      </c>
    </row>
    <row r="7" spans="1:7" ht="26.25" customHeight="1">
      <c r="A7" s="25">
        <v>5531</v>
      </c>
      <c r="B7" s="335" t="s">
        <v>293</v>
      </c>
      <c r="C7" s="25">
        <v>36</v>
      </c>
      <c r="D7" s="25">
        <v>50</v>
      </c>
      <c r="E7" s="28"/>
      <c r="F7" s="25"/>
      <c r="G7" s="25"/>
    </row>
    <row r="8" spans="1:7" ht="25.5" customHeight="1">
      <c r="A8" s="25">
        <v>5531</v>
      </c>
      <c r="B8" s="335" t="s">
        <v>72</v>
      </c>
      <c r="C8" s="25">
        <v>100</v>
      </c>
      <c r="D8" s="25"/>
      <c r="E8" s="28"/>
      <c r="F8" s="25"/>
      <c r="G8" s="25"/>
    </row>
    <row r="9" spans="1:7" ht="25.5" customHeight="1">
      <c r="A9" s="25">
        <v>5531</v>
      </c>
      <c r="B9" s="335" t="s">
        <v>299</v>
      </c>
      <c r="C9" s="25"/>
      <c r="D9" s="25"/>
      <c r="E9" s="28"/>
      <c r="F9" s="25"/>
      <c r="G9" s="25"/>
    </row>
    <row r="10" spans="1:7" ht="15.75">
      <c r="A10" s="28" t="s">
        <v>73</v>
      </c>
      <c r="B10" s="123" t="s">
        <v>64</v>
      </c>
      <c r="C10" s="30">
        <f>SUM(C6:C8)</f>
        <v>255</v>
      </c>
      <c r="D10" s="30">
        <f>SUM(D6:D9)</f>
        <v>350</v>
      </c>
      <c r="E10" s="29">
        <f>SUM(E6:E8)</f>
        <v>160</v>
      </c>
      <c r="F10" s="29">
        <f>SUM(F6:F8)</f>
        <v>280</v>
      </c>
      <c r="G10" s="29">
        <f>SUM(G6:G8)</f>
        <v>300</v>
      </c>
    </row>
    <row r="11" spans="1:7" ht="15.75">
      <c r="A11" s="28"/>
      <c r="B11" s="123"/>
      <c r="C11" s="25"/>
      <c r="D11" s="25"/>
      <c r="E11" s="28"/>
      <c r="F11" s="25"/>
      <c r="G11" s="25"/>
    </row>
    <row r="12" spans="1:7" ht="15.75">
      <c r="A12" s="28"/>
      <c r="B12" s="123" t="s">
        <v>74</v>
      </c>
      <c r="C12" s="30">
        <f>SUM(C10)</f>
        <v>255</v>
      </c>
      <c r="D12" s="30">
        <f>SUM(D10)</f>
        <v>350</v>
      </c>
      <c r="E12" s="29">
        <f>SUM(E10)</f>
        <v>160</v>
      </c>
      <c r="F12" s="29">
        <f>SUM(F10)</f>
        <v>280</v>
      </c>
      <c r="G12" s="29">
        <f>SUM(G10)</f>
        <v>300</v>
      </c>
    </row>
    <row r="13" spans="1:2" ht="15">
      <c r="A13" s="13"/>
      <c r="B13" s="13"/>
    </row>
    <row r="22" ht="15">
      <c r="B22" s="126"/>
    </row>
    <row r="23" ht="15">
      <c r="B23" s="126"/>
    </row>
    <row r="32" ht="15.75">
      <c r="B32" s="12"/>
    </row>
    <row r="35" ht="15.75">
      <c r="B35" s="12"/>
    </row>
    <row r="40" ht="15.75">
      <c r="B40" s="12"/>
    </row>
    <row r="42" ht="15">
      <c r="B42" s="112"/>
    </row>
    <row r="47" ht="15.75">
      <c r="B47" s="12"/>
    </row>
  </sheetData>
  <sheetProtection/>
  <printOptions/>
  <pageMargins left="0.7" right="0.7" top="0.75" bottom="0.75" header="0.3" footer="0.3"/>
  <pageSetup horizontalDpi="300" verticalDpi="300" orientation="portrait" paperSize="9" scale="73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C00000"/>
  </sheetPr>
  <dimension ref="A2:J101"/>
  <sheetViews>
    <sheetView zoomScalePageLayoutView="0" workbookViewId="0" topLeftCell="A94">
      <selection activeCell="E60" sqref="E60"/>
    </sheetView>
  </sheetViews>
  <sheetFormatPr defaultColWidth="8.41015625" defaultRowHeight="18"/>
  <cols>
    <col min="1" max="1" width="8.41015625" style="21" customWidth="1"/>
    <col min="2" max="2" width="29.41015625" style="21" customWidth="1"/>
    <col min="3" max="3" width="8" style="382" customWidth="1"/>
    <col min="4" max="4" width="7.33203125" style="21" customWidth="1"/>
    <col min="5" max="5" width="7.75" style="21" customWidth="1"/>
    <col min="6" max="249" width="7.08203125" style="21" customWidth="1"/>
    <col min="250" max="16384" width="8.41015625" style="21" customWidth="1"/>
  </cols>
  <sheetData>
    <row r="2" spans="1:5" ht="18.75">
      <c r="A2" s="620" t="s">
        <v>1331</v>
      </c>
      <c r="B2" s="620"/>
      <c r="C2" s="620"/>
      <c r="D2" s="620"/>
      <c r="E2" s="620"/>
    </row>
    <row r="3" ht="19.5" thickBot="1">
      <c r="C3" s="243"/>
    </row>
    <row r="4" spans="1:5" ht="19.5" thickBot="1">
      <c r="A4" s="595">
        <v>862231</v>
      </c>
      <c r="B4" s="245" t="s">
        <v>1400</v>
      </c>
      <c r="C4" s="421" t="s">
        <v>616</v>
      </c>
      <c r="D4" s="41" t="s">
        <v>626</v>
      </c>
      <c r="E4" s="34">
        <v>2016</v>
      </c>
    </row>
    <row r="5" spans="1:5" ht="19.5" thickBot="1">
      <c r="A5" s="596" t="s">
        <v>1401</v>
      </c>
      <c r="B5" s="210"/>
      <c r="C5" s="295"/>
      <c r="D5" s="34"/>
      <c r="E5" s="34"/>
    </row>
    <row r="6" spans="1:5" ht="18.75">
      <c r="A6" s="249" t="s">
        <v>819</v>
      </c>
      <c r="B6" s="250" t="s">
        <v>1238</v>
      </c>
      <c r="C6" s="376"/>
      <c r="D6" s="565"/>
      <c r="E6" s="565"/>
    </row>
    <row r="7" spans="1:5" ht="18.75">
      <c r="A7" s="253" t="s">
        <v>822</v>
      </c>
      <c r="B7" s="254" t="s">
        <v>821</v>
      </c>
      <c r="C7" s="377"/>
      <c r="D7" s="34"/>
      <c r="E7" s="34"/>
    </row>
    <row r="8" spans="1:5" ht="18.75">
      <c r="A8" s="253" t="s">
        <v>823</v>
      </c>
      <c r="B8" s="254" t="s">
        <v>820</v>
      </c>
      <c r="C8" s="377"/>
      <c r="D8" s="34"/>
      <c r="E8" s="381"/>
    </row>
    <row r="9" spans="1:5" ht="18.75">
      <c r="A9" s="253" t="s">
        <v>825</v>
      </c>
      <c r="B9" s="254" t="s">
        <v>824</v>
      </c>
      <c r="C9" s="377"/>
      <c r="D9" s="34"/>
      <c r="E9" s="34"/>
    </row>
    <row r="10" spans="1:5" ht="18.75">
      <c r="A10" s="253" t="s">
        <v>826</v>
      </c>
      <c r="B10" s="260" t="s">
        <v>1239</v>
      </c>
      <c r="C10" s="377"/>
      <c r="D10" s="34"/>
      <c r="E10" s="34"/>
    </row>
    <row r="11" spans="1:5" ht="18.75">
      <c r="A11" s="253" t="s">
        <v>1233</v>
      </c>
      <c r="B11" s="260" t="s">
        <v>1240</v>
      </c>
      <c r="C11" s="378"/>
      <c r="D11" s="34"/>
      <c r="E11" s="34"/>
    </row>
    <row r="12" spans="1:5" ht="18.75">
      <c r="A12" s="253" t="s">
        <v>1241</v>
      </c>
      <c r="B12" s="262" t="s">
        <v>1234</v>
      </c>
      <c r="C12" s="377"/>
      <c r="D12" s="34"/>
      <c r="E12" s="34"/>
    </row>
    <row r="13" spans="1:5" ht="18.75">
      <c r="A13" s="253" t="s">
        <v>1242</v>
      </c>
      <c r="B13" s="262" t="s">
        <v>1235</v>
      </c>
      <c r="C13" s="377"/>
      <c r="D13" s="34"/>
      <c r="E13" s="34"/>
    </row>
    <row r="14" spans="1:5" ht="18.75">
      <c r="A14" s="253" t="s">
        <v>1243</v>
      </c>
      <c r="B14" s="254" t="s">
        <v>528</v>
      </c>
      <c r="C14" s="377"/>
      <c r="D14" s="34"/>
      <c r="E14" s="34"/>
    </row>
    <row r="15" spans="1:5" ht="18.75">
      <c r="A15" s="253" t="s">
        <v>1244</v>
      </c>
      <c r="B15" s="254" t="s">
        <v>1236</v>
      </c>
      <c r="C15" s="377"/>
      <c r="D15" s="34"/>
      <c r="E15" s="34"/>
    </row>
    <row r="16" spans="1:5" ht="19.5" thickBot="1">
      <c r="A16" s="264" t="s">
        <v>1245</v>
      </c>
      <c r="B16" s="265" t="s">
        <v>791</v>
      </c>
      <c r="C16" s="377"/>
      <c r="D16" s="34"/>
      <c r="E16" s="34"/>
    </row>
    <row r="17" spans="1:5" ht="19.5" thickBot="1">
      <c r="A17" s="568" t="s">
        <v>1327</v>
      </c>
      <c r="B17" s="569" t="s">
        <v>1249</v>
      </c>
      <c r="C17" s="379">
        <f>SUM(C6:C16)</f>
        <v>0</v>
      </c>
      <c r="D17" s="379">
        <f>SUM(D6:D16)</f>
        <v>0</v>
      </c>
      <c r="E17" s="379">
        <f>SUM(E6:E16)</f>
        <v>0</v>
      </c>
    </row>
    <row r="18" spans="1:5" ht="19.5" thickBot="1">
      <c r="A18" s="557" t="s">
        <v>1329</v>
      </c>
      <c r="B18" s="558" t="s">
        <v>1248</v>
      </c>
      <c r="C18" s="377"/>
      <c r="D18" s="34"/>
      <c r="E18" s="34"/>
    </row>
    <row r="19" spans="1:5" ht="19.5" thickBot="1">
      <c r="A19" s="557" t="s">
        <v>1328</v>
      </c>
      <c r="B19" s="558" t="s">
        <v>1246</v>
      </c>
      <c r="C19" s="377"/>
      <c r="D19" s="34"/>
      <c r="E19" s="34"/>
    </row>
    <row r="20" spans="1:5" ht="19.5" thickBot="1">
      <c r="A20" s="557" t="s">
        <v>1253</v>
      </c>
      <c r="B20" s="558" t="s">
        <v>19</v>
      </c>
      <c r="C20" s="377"/>
      <c r="D20" s="34"/>
      <c r="E20" s="34"/>
    </row>
    <row r="21" spans="1:5" ht="19.5" thickBot="1">
      <c r="A21" s="557" t="s">
        <v>1254</v>
      </c>
      <c r="B21" s="558" t="s">
        <v>889</v>
      </c>
      <c r="C21" s="377"/>
      <c r="D21" s="34"/>
      <c r="E21" s="34"/>
    </row>
    <row r="22" spans="1:5" ht="19.5" thickBot="1">
      <c r="A22" s="568" t="s">
        <v>1330</v>
      </c>
      <c r="B22" s="569" t="s">
        <v>1247</v>
      </c>
      <c r="C22" s="377">
        <f>SUM(C18:C21)</f>
        <v>0</v>
      </c>
      <c r="D22" s="377">
        <f>SUM(D18:D21)</f>
        <v>0</v>
      </c>
      <c r="E22" s="377">
        <f>SUM(E18:E21)</f>
        <v>0</v>
      </c>
    </row>
    <row r="23" spans="1:5" ht="27" customHeight="1" thickBot="1">
      <c r="A23" s="268" t="s">
        <v>1250</v>
      </c>
      <c r="B23" s="269" t="s">
        <v>1237</v>
      </c>
      <c r="C23" s="379">
        <f>SUM(C22,C17)</f>
        <v>0</v>
      </c>
      <c r="D23" s="379">
        <f>SUM(D22,D17)</f>
        <v>0</v>
      </c>
      <c r="E23" s="379">
        <f>SUM(E22,E17)</f>
        <v>0</v>
      </c>
    </row>
    <row r="24" spans="1:5" ht="19.5" thickBot="1">
      <c r="A24" s="270"/>
      <c r="B24" s="271"/>
      <c r="C24" s="377"/>
      <c r="D24" s="34"/>
      <c r="E24" s="34"/>
    </row>
    <row r="25" spans="1:5" ht="18.75">
      <c r="A25" s="272" t="s">
        <v>1255</v>
      </c>
      <c r="B25" s="97" t="s">
        <v>590</v>
      </c>
      <c r="C25" s="275"/>
      <c r="D25" s="44"/>
      <c r="E25" s="34"/>
    </row>
    <row r="26" spans="1:5" ht="18.75">
      <c r="A26" s="559" t="s">
        <v>1256</v>
      </c>
      <c r="B26" s="97" t="s">
        <v>1251</v>
      </c>
      <c r="C26" s="275"/>
      <c r="D26" s="44"/>
      <c r="E26" s="34"/>
    </row>
    <row r="27" spans="1:5" ht="18.75">
      <c r="A27" s="276" t="s">
        <v>1252</v>
      </c>
      <c r="B27" s="255" t="s">
        <v>4</v>
      </c>
      <c r="C27" s="378"/>
      <c r="D27" s="34"/>
      <c r="E27" s="34"/>
    </row>
    <row r="28" spans="1:5" ht="19.5" thickBot="1">
      <c r="A28" s="462" t="s">
        <v>1257</v>
      </c>
      <c r="B28" s="255" t="s">
        <v>635</v>
      </c>
      <c r="C28" s="378"/>
      <c r="D28" s="34"/>
      <c r="E28" s="34"/>
    </row>
    <row r="29" spans="1:5" ht="19.5" thickBot="1">
      <c r="A29" s="582" t="s">
        <v>1258</v>
      </c>
      <c r="B29" s="583" t="s">
        <v>69</v>
      </c>
      <c r="C29" s="378">
        <f>SUM(C25:C28)</f>
        <v>0</v>
      </c>
      <c r="D29" s="378">
        <f>SUM(D25:D28)</f>
        <v>0</v>
      </c>
      <c r="E29" s="378">
        <f>SUM(E25:E28)</f>
        <v>0</v>
      </c>
    </row>
    <row r="30" spans="1:5" ht="19.5" thickBot="1">
      <c r="A30" s="282"/>
      <c r="B30" s="283"/>
      <c r="C30" s="377"/>
      <c r="D30" s="34"/>
      <c r="E30" s="34"/>
    </row>
    <row r="31" spans="1:5" ht="18.75">
      <c r="A31" s="249" t="s">
        <v>1259</v>
      </c>
      <c r="B31" s="291" t="s">
        <v>533</v>
      </c>
      <c r="C31" s="377"/>
      <c r="D31" s="34"/>
      <c r="E31" s="34"/>
    </row>
    <row r="32" spans="1:5" ht="18.75">
      <c r="A32" s="253" t="s">
        <v>1260</v>
      </c>
      <c r="B32" s="254" t="s">
        <v>534</v>
      </c>
      <c r="C32" s="377"/>
      <c r="D32" s="41"/>
      <c r="E32" s="34"/>
    </row>
    <row r="33" spans="1:5" ht="18.75">
      <c r="A33" s="253" t="s">
        <v>1262</v>
      </c>
      <c r="B33" s="254" t="s">
        <v>1261</v>
      </c>
      <c r="C33" s="377"/>
      <c r="D33" s="41"/>
      <c r="E33" s="34"/>
    </row>
    <row r="34" spans="1:5" ht="18.75">
      <c r="A34" s="253" t="s">
        <v>1263</v>
      </c>
      <c r="B34" s="254" t="s">
        <v>124</v>
      </c>
      <c r="C34" s="377"/>
      <c r="D34" s="41"/>
      <c r="E34" s="34"/>
    </row>
    <row r="35" spans="1:5" ht="18.75">
      <c r="A35" s="253" t="s">
        <v>1264</v>
      </c>
      <c r="B35" s="254" t="s">
        <v>1265</v>
      </c>
      <c r="C35" s="570"/>
      <c r="D35" s="41"/>
      <c r="E35" s="34"/>
    </row>
    <row r="36" spans="1:5" ht="18.75">
      <c r="A36" s="253" t="s">
        <v>1335</v>
      </c>
      <c r="B36" s="562" t="s">
        <v>548</v>
      </c>
      <c r="C36" s="570">
        <f>SUM(C31:C35)</f>
        <v>0</v>
      </c>
      <c r="D36" s="570">
        <f>SUM(D31:D35)</f>
        <v>0</v>
      </c>
      <c r="E36" s="570">
        <f>SUM(E31:E35)</f>
        <v>0</v>
      </c>
    </row>
    <row r="37" spans="1:5" ht="18.75">
      <c r="A37" s="253" t="s">
        <v>1342</v>
      </c>
      <c r="B37" s="254" t="s">
        <v>1343</v>
      </c>
      <c r="C37" s="570"/>
      <c r="D37" s="570"/>
      <c r="E37" s="570"/>
    </row>
    <row r="38" spans="1:5" ht="18.75">
      <c r="A38" s="253" t="s">
        <v>1344</v>
      </c>
      <c r="B38" s="254" t="s">
        <v>1267</v>
      </c>
      <c r="C38" s="570"/>
      <c r="D38" s="34"/>
      <c r="E38" s="34"/>
    </row>
    <row r="39" spans="1:5" ht="18.75">
      <c r="A39" s="253" t="s">
        <v>1345</v>
      </c>
      <c r="B39" s="254" t="s">
        <v>88</v>
      </c>
      <c r="C39" s="570"/>
      <c r="D39" s="34"/>
      <c r="E39" s="34"/>
    </row>
    <row r="40" spans="1:5" ht="18.75">
      <c r="A40" s="253" t="s">
        <v>1346</v>
      </c>
      <c r="B40" s="254" t="s">
        <v>1268</v>
      </c>
      <c r="C40" s="377"/>
      <c r="D40" s="34"/>
      <c r="E40" s="34"/>
    </row>
    <row r="41" spans="1:5" ht="19.5" thickBot="1">
      <c r="A41" s="288" t="s">
        <v>1347</v>
      </c>
      <c r="B41" s="289" t="s">
        <v>1269</v>
      </c>
      <c r="C41" s="377"/>
      <c r="D41" s="34"/>
      <c r="E41" s="34"/>
    </row>
    <row r="42" spans="1:5" ht="17.25" customHeight="1" thickBot="1">
      <c r="A42" s="268" t="s">
        <v>1266</v>
      </c>
      <c r="B42" s="571" t="s">
        <v>1270</v>
      </c>
      <c r="C42" s="377">
        <f>SUM(C37:C41)</f>
        <v>0</v>
      </c>
      <c r="D42" s="377">
        <f>SUM(D38:D41)</f>
        <v>0</v>
      </c>
      <c r="E42" s="377">
        <f>SUM(E38:E41)</f>
        <v>0</v>
      </c>
    </row>
    <row r="43" spans="1:5" ht="22.5" customHeight="1" thickBot="1">
      <c r="A43" s="572" t="s">
        <v>1300</v>
      </c>
      <c r="B43" s="573" t="s">
        <v>595</v>
      </c>
      <c r="C43" s="574">
        <f>SUM(C42,C36)</f>
        <v>0</v>
      </c>
      <c r="D43" s="574">
        <f>SUM(D42,D36)</f>
        <v>0</v>
      </c>
      <c r="E43" s="574">
        <f>SUM(E42,E36)</f>
        <v>0</v>
      </c>
    </row>
    <row r="44" spans="1:5" ht="18.75">
      <c r="A44" s="249" t="s">
        <v>1271</v>
      </c>
      <c r="B44" s="291" t="s">
        <v>1348</v>
      </c>
      <c r="C44" s="377"/>
      <c r="D44" s="34"/>
      <c r="E44" s="34"/>
    </row>
    <row r="45" spans="1:5" ht="18.75">
      <c r="A45" s="494" t="s">
        <v>1350</v>
      </c>
      <c r="B45" s="590" t="s">
        <v>1351</v>
      </c>
      <c r="C45" s="377"/>
      <c r="D45" s="34"/>
      <c r="E45" s="34"/>
    </row>
    <row r="46" spans="1:5" ht="18.75">
      <c r="A46" s="253" t="s">
        <v>1272</v>
      </c>
      <c r="B46" s="254" t="s">
        <v>1349</v>
      </c>
      <c r="C46" s="295"/>
      <c r="D46" s="566"/>
      <c r="E46" s="34"/>
    </row>
    <row r="47" spans="1:5" ht="18.75">
      <c r="A47" s="575" t="s">
        <v>1301</v>
      </c>
      <c r="B47" s="576" t="s">
        <v>1366</v>
      </c>
      <c r="C47" s="577">
        <f>SUM(C44:C46)</f>
        <v>0</v>
      </c>
      <c r="D47" s="577">
        <f>SUM(D44:D46)</f>
        <v>0</v>
      </c>
      <c r="E47" s="577">
        <f>SUM(E44:E46)</f>
        <v>0</v>
      </c>
    </row>
    <row r="48" spans="1:5" ht="18.75">
      <c r="A48" s="253" t="s">
        <v>1275</v>
      </c>
      <c r="B48" s="254" t="s">
        <v>544</v>
      </c>
      <c r="C48" s="295"/>
      <c r="D48" s="566"/>
      <c r="E48" s="34"/>
    </row>
    <row r="49" spans="1:5" ht="18.75">
      <c r="A49" s="253" t="s">
        <v>1274</v>
      </c>
      <c r="B49" s="254" t="s">
        <v>543</v>
      </c>
      <c r="C49" s="295"/>
      <c r="D49" s="34"/>
      <c r="E49" s="34"/>
    </row>
    <row r="50" spans="1:5" ht="18.75">
      <c r="A50" s="253" t="s">
        <v>1276</v>
      </c>
      <c r="B50" s="254" t="s">
        <v>503</v>
      </c>
      <c r="C50" s="295"/>
      <c r="D50" s="34"/>
      <c r="E50" s="34"/>
    </row>
    <row r="51" spans="1:5" ht="18.75">
      <c r="A51" s="575" t="s">
        <v>1273</v>
      </c>
      <c r="B51" s="576" t="s">
        <v>1277</v>
      </c>
      <c r="C51" s="577">
        <f>SUM(C48:C50)</f>
        <v>0</v>
      </c>
      <c r="D51" s="577">
        <f>SUM(D48:D50)</f>
        <v>0</v>
      </c>
      <c r="E51" s="577">
        <f>SUM(E48:E50)</f>
        <v>0</v>
      </c>
    </row>
    <row r="52" spans="1:5" ht="18.75">
      <c r="A52" s="253" t="s">
        <v>1332</v>
      </c>
      <c r="B52" s="254" t="s">
        <v>1278</v>
      </c>
      <c r="C52" s="295"/>
      <c r="D52" s="34"/>
      <c r="E52" s="34"/>
    </row>
    <row r="53" spans="1:5" ht="18.75">
      <c r="A53" s="253" t="s">
        <v>1280</v>
      </c>
      <c r="B53" s="254" t="s">
        <v>26</v>
      </c>
      <c r="C53" s="295"/>
      <c r="D53" s="41"/>
      <c r="E53" s="34"/>
    </row>
    <row r="54" spans="1:5" ht="18.75">
      <c r="A54" s="253" t="s">
        <v>1281</v>
      </c>
      <c r="B54" s="254" t="s">
        <v>1352</v>
      </c>
      <c r="C54" s="377"/>
      <c r="D54" s="34"/>
      <c r="E54" s="34"/>
    </row>
    <row r="55" spans="1:5" ht="18.75">
      <c r="A55" s="575" t="s">
        <v>1283</v>
      </c>
      <c r="B55" s="576" t="s">
        <v>1282</v>
      </c>
      <c r="C55" s="574">
        <f>SUM(C53:C54)</f>
        <v>0</v>
      </c>
      <c r="D55" s="574">
        <f>SUM(D53:D54)</f>
        <v>0</v>
      </c>
      <c r="E55" s="574">
        <f>SUM(E53:E54)</f>
        <v>0</v>
      </c>
    </row>
    <row r="56" spans="1:5" ht="18.75">
      <c r="A56" s="575" t="s">
        <v>1284</v>
      </c>
      <c r="B56" s="588" t="s">
        <v>1333</v>
      </c>
      <c r="C56" s="589"/>
      <c r="D56" s="589"/>
      <c r="E56" s="589"/>
    </row>
    <row r="57" spans="1:5" ht="18.75">
      <c r="A57" s="288"/>
      <c r="B57" s="554" t="s">
        <v>943</v>
      </c>
      <c r="C57" s="554"/>
      <c r="D57" s="554"/>
      <c r="E57" s="554"/>
    </row>
    <row r="58" spans="1:5" ht="18.75">
      <c r="A58" s="288" t="s">
        <v>1353</v>
      </c>
      <c r="B58" s="554" t="s">
        <v>547</v>
      </c>
      <c r="C58" s="554">
        <v>300</v>
      </c>
      <c r="D58" s="554">
        <v>0</v>
      </c>
      <c r="E58" s="554">
        <v>300</v>
      </c>
    </row>
    <row r="59" spans="1:5" ht="18.75">
      <c r="A59" s="288" t="s">
        <v>1354</v>
      </c>
      <c r="B59" s="554" t="s">
        <v>1355</v>
      </c>
      <c r="C59" s="554"/>
      <c r="D59" s="554"/>
      <c r="E59" s="554"/>
    </row>
    <row r="60" spans="1:5" ht="27" customHeight="1">
      <c r="A60" s="561" t="s">
        <v>1285</v>
      </c>
      <c r="B60" s="552" t="s">
        <v>945</v>
      </c>
      <c r="C60" s="591">
        <f>SUM(C58:C59)</f>
        <v>300</v>
      </c>
      <c r="D60" s="591">
        <f>SUM(D58:D59)</f>
        <v>0</v>
      </c>
      <c r="E60" s="591">
        <f>SUM(E58:E59)</f>
        <v>300</v>
      </c>
    </row>
    <row r="61" spans="1:5" ht="23.25" customHeight="1">
      <c r="A61" s="462" t="s">
        <v>1356</v>
      </c>
      <c r="B61" s="553" t="s">
        <v>1362</v>
      </c>
      <c r="C61" s="591"/>
      <c r="D61" s="591"/>
      <c r="E61" s="591"/>
    </row>
    <row r="62" spans="1:5" ht="23.25" customHeight="1">
      <c r="A62" s="462" t="s">
        <v>1357</v>
      </c>
      <c r="B62" s="553" t="s">
        <v>1358</v>
      </c>
      <c r="C62" s="591"/>
      <c r="D62" s="591"/>
      <c r="E62" s="591"/>
    </row>
    <row r="63" spans="1:5" ht="23.25" customHeight="1">
      <c r="A63" s="462" t="s">
        <v>1359</v>
      </c>
      <c r="B63" s="553" t="s">
        <v>9</v>
      </c>
      <c r="C63" s="591"/>
      <c r="D63" s="591"/>
      <c r="E63" s="591"/>
    </row>
    <row r="64" spans="1:6" ht="23.25" customHeight="1" thickBot="1">
      <c r="A64" s="462" t="s">
        <v>1360</v>
      </c>
      <c r="B64" s="553" t="s">
        <v>1361</v>
      </c>
      <c r="C64" s="591"/>
      <c r="D64" s="591"/>
      <c r="E64" s="591"/>
      <c r="F64" s="21" t="s">
        <v>1368</v>
      </c>
    </row>
    <row r="65" spans="1:5" ht="17.25" customHeight="1" thickBot="1">
      <c r="A65" s="298" t="s">
        <v>1286</v>
      </c>
      <c r="B65" s="552" t="s">
        <v>948</v>
      </c>
      <c r="C65" s="591">
        <f>SUM(C61:C64)</f>
        <v>0</v>
      </c>
      <c r="D65" s="591">
        <f>SUM(D61:D64)</f>
        <v>0</v>
      </c>
      <c r="E65" s="591">
        <f>SUM(E61:E64)</f>
        <v>0</v>
      </c>
    </row>
    <row r="66" spans="1:5" ht="25.5" customHeight="1">
      <c r="A66" s="578" t="s">
        <v>1279</v>
      </c>
      <c r="B66" s="579" t="s">
        <v>1287</v>
      </c>
      <c r="C66" s="579">
        <f>SUM(C65+C60+C56+C55+C52)</f>
        <v>300</v>
      </c>
      <c r="D66" s="579">
        <f>SUM(D65+D60+D56+D55+D52)</f>
        <v>0</v>
      </c>
      <c r="E66" s="579">
        <f>SUM(E65+E60+E56+E55+E52)</f>
        <v>300</v>
      </c>
    </row>
    <row r="67" spans="1:5" ht="18.75">
      <c r="A67" s="253" t="s">
        <v>1288</v>
      </c>
      <c r="B67" s="553" t="s">
        <v>952</v>
      </c>
      <c r="C67" s="553"/>
      <c r="D67" s="553"/>
      <c r="E67" s="553"/>
    </row>
    <row r="68" spans="1:5" ht="18.75">
      <c r="A68" s="253" t="s">
        <v>1289</v>
      </c>
      <c r="B68" s="553" t="s">
        <v>954</v>
      </c>
      <c r="C68" s="553"/>
      <c r="D68" s="553"/>
      <c r="E68" s="553"/>
    </row>
    <row r="69" spans="1:5" ht="24" customHeight="1">
      <c r="A69" s="575" t="s">
        <v>1291</v>
      </c>
      <c r="B69" s="579" t="s">
        <v>1290</v>
      </c>
      <c r="C69" s="579">
        <f>SUM(C67:C68)</f>
        <v>0</v>
      </c>
      <c r="D69" s="579">
        <f>SUM(D67:D68)</f>
        <v>0</v>
      </c>
      <c r="E69" s="579">
        <f>SUM(E67:E68)</f>
        <v>0</v>
      </c>
    </row>
    <row r="70" spans="1:5" ht="26.25" customHeight="1" thickBot="1">
      <c r="A70" s="561" t="s">
        <v>1294</v>
      </c>
      <c r="B70" s="552" t="s">
        <v>958</v>
      </c>
      <c r="C70" s="552"/>
      <c r="D70" s="552"/>
      <c r="E70" s="552"/>
    </row>
    <row r="71" spans="1:5" ht="27" customHeight="1" thickBot="1">
      <c r="A71" s="268" t="s">
        <v>1295</v>
      </c>
      <c r="B71" s="552" t="s">
        <v>960</v>
      </c>
      <c r="C71" s="552"/>
      <c r="D71" s="552"/>
      <c r="E71" s="552"/>
    </row>
    <row r="72" spans="1:5" ht="19.5" thickBot="1">
      <c r="A72" s="210" t="s">
        <v>1296</v>
      </c>
      <c r="B72" s="552" t="s">
        <v>1293</v>
      </c>
      <c r="C72" s="552"/>
      <c r="D72" s="552"/>
      <c r="E72" s="552"/>
    </row>
    <row r="73" spans="1:5" ht="24.75" customHeight="1">
      <c r="A73" s="593" t="s">
        <v>1298</v>
      </c>
      <c r="B73" s="594" t="s">
        <v>1363</v>
      </c>
      <c r="C73" s="594"/>
      <c r="D73" s="552"/>
      <c r="E73" s="552"/>
    </row>
    <row r="74" spans="1:6" ht="24.75" customHeight="1">
      <c r="A74" s="592" t="s">
        <v>1364</v>
      </c>
      <c r="B74" s="563" t="s">
        <v>1365</v>
      </c>
      <c r="C74" s="563"/>
      <c r="D74" s="553"/>
      <c r="E74" s="553"/>
      <c r="F74" s="21" t="s">
        <v>1369</v>
      </c>
    </row>
    <row r="75" spans="1:5" ht="24.75" customHeight="1">
      <c r="A75" s="592" t="s">
        <v>1370</v>
      </c>
      <c r="B75" s="563" t="s">
        <v>1367</v>
      </c>
      <c r="C75" s="563"/>
      <c r="D75" s="553"/>
      <c r="E75" s="553"/>
    </row>
    <row r="76" spans="1:5" ht="18.75">
      <c r="A76" s="98" t="s">
        <v>1297</v>
      </c>
      <c r="B76" s="552" t="s">
        <v>970</v>
      </c>
      <c r="C76" s="552">
        <f>SUM(C74:C75)</f>
        <v>0</v>
      </c>
      <c r="D76" s="552">
        <f>SUM(D74:D75)</f>
        <v>0</v>
      </c>
      <c r="E76" s="552">
        <f>SUM(E74:E75)</f>
        <v>0</v>
      </c>
    </row>
    <row r="77" spans="1:5" ht="24.75" customHeight="1">
      <c r="A77" s="580" t="s">
        <v>1292</v>
      </c>
      <c r="B77" s="579" t="s">
        <v>1334</v>
      </c>
      <c r="C77" s="579">
        <f>C76+C73+C72+C71+C70</f>
        <v>0</v>
      </c>
      <c r="D77" s="579">
        <f>D76+D73+D72+D71+D70</f>
        <v>0</v>
      </c>
      <c r="E77" s="579">
        <f>E76+E73+E72+E71+E70</f>
        <v>0</v>
      </c>
    </row>
    <row r="78" spans="1:10" ht="24.75" customHeight="1">
      <c r="A78" s="587" t="s">
        <v>1299</v>
      </c>
      <c r="B78" s="585" t="s">
        <v>70</v>
      </c>
      <c r="C78" s="579">
        <f>SUM(C77+C69+C66+C47+C43)</f>
        <v>300</v>
      </c>
      <c r="D78" s="579">
        <f>SUM(D77+D69+D66+D47+D43)</f>
        <v>0</v>
      </c>
      <c r="E78" s="579">
        <f>SUM(E77+E69+E66+E47+E43)</f>
        <v>300</v>
      </c>
      <c r="F78" s="560"/>
      <c r="G78" s="560"/>
      <c r="H78" s="560"/>
      <c r="I78" s="560"/>
      <c r="J78" s="560"/>
    </row>
    <row r="79" spans="1:10" ht="24.75" customHeight="1">
      <c r="A79" s="98" t="s">
        <v>1307</v>
      </c>
      <c r="B79" s="553" t="s">
        <v>1302</v>
      </c>
      <c r="C79" s="552"/>
      <c r="D79" s="552"/>
      <c r="E79" s="552"/>
      <c r="F79" s="560"/>
      <c r="G79" s="560"/>
      <c r="H79" s="560"/>
      <c r="I79" s="560"/>
      <c r="J79" s="560"/>
    </row>
    <row r="80" spans="1:10" ht="24.75" customHeight="1">
      <c r="A80" s="98" t="s">
        <v>1306</v>
      </c>
      <c r="B80" s="553" t="s">
        <v>1308</v>
      </c>
      <c r="C80" s="552"/>
      <c r="D80" s="552"/>
      <c r="E80" s="552"/>
      <c r="F80" s="560"/>
      <c r="G80" s="560"/>
      <c r="H80" s="560"/>
      <c r="I80" s="560"/>
      <c r="J80" s="560"/>
    </row>
    <row r="81" spans="1:10" ht="24.75" customHeight="1">
      <c r="A81" s="98"/>
      <c r="B81" s="97" t="s">
        <v>1304</v>
      </c>
      <c r="C81" s="552"/>
      <c r="D81" s="552"/>
      <c r="E81" s="552"/>
      <c r="F81" s="560"/>
      <c r="G81" s="560"/>
      <c r="H81" s="560"/>
      <c r="I81" s="560"/>
      <c r="J81" s="560"/>
    </row>
    <row r="82" spans="1:5" ht="18.75">
      <c r="A82" s="98"/>
      <c r="B82" s="97" t="s">
        <v>1303</v>
      </c>
      <c r="C82" s="377"/>
      <c r="D82" s="34"/>
      <c r="E82" s="34"/>
    </row>
    <row r="83" spans="1:5" ht="18.75">
      <c r="A83" s="98"/>
      <c r="B83" s="567" t="s">
        <v>1305</v>
      </c>
      <c r="C83" s="377"/>
      <c r="D83" s="34"/>
      <c r="E83" s="34"/>
    </row>
    <row r="84" spans="1:5" ht="25.5">
      <c r="A84" s="580" t="s">
        <v>1341</v>
      </c>
      <c r="B84" s="579" t="s">
        <v>1337</v>
      </c>
      <c r="C84" s="377">
        <f>SUM(C80:C83)</f>
        <v>0</v>
      </c>
      <c r="D84" s="377">
        <f>SUM(D80:D83)</f>
        <v>0</v>
      </c>
      <c r="E84" s="377">
        <f>SUM(E80:E83)</f>
        <v>0</v>
      </c>
    </row>
    <row r="85" spans="1:5" s="564" customFormat="1" ht="18.75">
      <c r="A85" s="587" t="s">
        <v>1336</v>
      </c>
      <c r="B85" s="587" t="s">
        <v>1340</v>
      </c>
      <c r="C85" s="574">
        <f>SUM(C79+C84)</f>
        <v>0</v>
      </c>
      <c r="D85" s="574">
        <f>SUM(D79+D84)</f>
        <v>0</v>
      </c>
      <c r="E85" s="574">
        <f>SUM(E79+E84)</f>
        <v>0</v>
      </c>
    </row>
    <row r="86" spans="1:5" ht="18.75">
      <c r="A86" s="97" t="s">
        <v>1309</v>
      </c>
      <c r="B86" s="553" t="s">
        <v>1113</v>
      </c>
      <c r="C86" s="553"/>
      <c r="D86" s="553"/>
      <c r="E86" s="553"/>
    </row>
    <row r="87" spans="1:5" s="382" customFormat="1" ht="15">
      <c r="A87" s="97" t="s">
        <v>1310</v>
      </c>
      <c r="B87" s="553" t="s">
        <v>1371</v>
      </c>
      <c r="C87" s="553"/>
      <c r="D87" s="553"/>
      <c r="E87" s="553"/>
    </row>
    <row r="88" spans="1:5" ht="18.75">
      <c r="A88" s="172" t="s">
        <v>1311</v>
      </c>
      <c r="B88" s="553" t="s">
        <v>1117</v>
      </c>
      <c r="C88" s="553"/>
      <c r="D88" s="553"/>
      <c r="E88" s="553"/>
    </row>
    <row r="89" spans="1:5" ht="24" customHeight="1">
      <c r="A89" s="172" t="s">
        <v>1312</v>
      </c>
      <c r="B89" s="553" t="s">
        <v>1118</v>
      </c>
      <c r="C89" s="553"/>
      <c r="D89" s="553"/>
      <c r="E89" s="553"/>
    </row>
    <row r="90" spans="1:5" ht="26.25" customHeight="1">
      <c r="A90" s="172" t="s">
        <v>1313</v>
      </c>
      <c r="B90" s="553" t="s">
        <v>1120</v>
      </c>
      <c r="C90" s="553"/>
      <c r="D90" s="553"/>
      <c r="E90" s="553"/>
    </row>
    <row r="91" spans="1:5" ht="25.5" customHeight="1">
      <c r="A91" s="172" t="s">
        <v>1314</v>
      </c>
      <c r="B91" s="553" t="s">
        <v>1126</v>
      </c>
      <c r="C91" s="553"/>
      <c r="D91" s="553"/>
      <c r="E91" s="553"/>
    </row>
    <row r="92" spans="1:5" ht="18.75">
      <c r="A92" s="584" t="s">
        <v>1315</v>
      </c>
      <c r="B92" s="585" t="s">
        <v>1339</v>
      </c>
      <c r="C92" s="552">
        <f>SUM(C86:C91)</f>
        <v>0</v>
      </c>
      <c r="D92" s="552">
        <f>SUM(D86:D91)</f>
        <v>0</v>
      </c>
      <c r="E92" s="552">
        <f>SUM(E86:E91)</f>
        <v>0</v>
      </c>
    </row>
    <row r="93" spans="1:5" ht="18.75">
      <c r="A93" s="172" t="s">
        <v>1316</v>
      </c>
      <c r="B93" s="553" t="s">
        <v>1130</v>
      </c>
      <c r="C93" s="553"/>
      <c r="D93" s="553"/>
      <c r="E93" s="553"/>
    </row>
    <row r="94" spans="1:5" ht="18.75">
      <c r="A94" s="172" t="s">
        <v>1317</v>
      </c>
      <c r="B94" s="553" t="s">
        <v>1132</v>
      </c>
      <c r="C94" s="553"/>
      <c r="D94" s="553"/>
      <c r="E94" s="553"/>
    </row>
    <row r="95" spans="1:5" ht="18.75">
      <c r="A95" s="172" t="s">
        <v>1318</v>
      </c>
      <c r="B95" s="553" t="s">
        <v>1134</v>
      </c>
      <c r="C95" s="553"/>
      <c r="D95" s="553"/>
      <c r="E95" s="553"/>
    </row>
    <row r="96" spans="1:5" ht="24" customHeight="1">
      <c r="A96" s="172" t="s">
        <v>1319</v>
      </c>
      <c r="B96" s="553" t="s">
        <v>1136</v>
      </c>
      <c r="C96" s="553"/>
      <c r="D96" s="553"/>
      <c r="E96" s="553"/>
    </row>
    <row r="97" spans="1:5" ht="18.75">
      <c r="A97" s="584" t="s">
        <v>1320</v>
      </c>
      <c r="B97" s="585" t="s">
        <v>1338</v>
      </c>
      <c r="C97" s="552">
        <f>SUM(C93:C96)</f>
        <v>0</v>
      </c>
      <c r="D97" s="552">
        <f>SUM(D93:D96)</f>
        <v>0</v>
      </c>
      <c r="E97" s="552">
        <f>SUM(E93:E96)</f>
        <v>0</v>
      </c>
    </row>
    <row r="98" spans="1:5" ht="25.5" customHeight="1">
      <c r="A98" s="172" t="s">
        <v>1323</v>
      </c>
      <c r="B98" s="555" t="s">
        <v>1325</v>
      </c>
      <c r="C98" s="555"/>
      <c r="D98" s="555"/>
      <c r="E98" s="555"/>
    </row>
    <row r="99" spans="1:5" ht="27" customHeight="1">
      <c r="A99" s="457" t="s">
        <v>1322</v>
      </c>
      <c r="B99" s="553" t="s">
        <v>1321</v>
      </c>
      <c r="C99" s="553"/>
      <c r="D99" s="553"/>
      <c r="E99" s="553"/>
    </row>
    <row r="100" spans="1:5" ht="18.75">
      <c r="A100" s="584" t="s">
        <v>1326</v>
      </c>
      <c r="B100" s="586" t="s">
        <v>1324</v>
      </c>
      <c r="C100" s="295">
        <f>SUM(C98:C99)</f>
        <v>0</v>
      </c>
      <c r="D100" s="295">
        <f>SUM(D98:D99)</f>
        <v>0</v>
      </c>
      <c r="E100" s="295">
        <f>SUM(E98:E99)</f>
        <v>0</v>
      </c>
    </row>
    <row r="101" spans="1:5" ht="18.75">
      <c r="A101" s="34"/>
      <c r="B101" s="36" t="s">
        <v>118</v>
      </c>
      <c r="C101" s="581">
        <f>SUM(C100+C97+C92+C85+C78+C29+C23)</f>
        <v>300</v>
      </c>
      <c r="D101" s="581">
        <f>SUM(D100+D97+D92+D85+D78+D29+D23)</f>
        <v>0</v>
      </c>
      <c r="E101" s="581">
        <f>SUM(E100+E97+E92+E85+E78+E29+E23)</f>
        <v>300</v>
      </c>
    </row>
  </sheetData>
  <sheetProtection/>
  <mergeCells count="1">
    <mergeCell ref="A2:E2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00B050"/>
  </sheetPr>
  <dimension ref="A2:G46"/>
  <sheetViews>
    <sheetView view="pageBreakPreview" zoomScale="60" zoomScalePageLayoutView="0" workbookViewId="0" topLeftCell="A1">
      <selection activeCell="G8" sqref="G8"/>
    </sheetView>
  </sheetViews>
  <sheetFormatPr defaultColWidth="8.66015625" defaultRowHeight="18"/>
  <cols>
    <col min="1" max="1" width="9.08203125" style="21" bestFit="1" customWidth="1"/>
    <col min="2" max="2" width="34" style="21" customWidth="1"/>
    <col min="3" max="3" width="10.33203125" style="21" bestFit="1" customWidth="1"/>
    <col min="4" max="4" width="7.75" style="21" customWidth="1"/>
    <col min="5" max="5" width="11.33203125" style="21" customWidth="1"/>
    <col min="6" max="16384" width="8.91015625" style="21" customWidth="1"/>
  </cols>
  <sheetData>
    <row r="2" ht="19.5" thickBot="1">
      <c r="C2" s="23"/>
    </row>
    <row r="3" spans="1:3" ht="18.75">
      <c r="A3" s="21">
        <v>862301</v>
      </c>
      <c r="B3" s="124" t="s">
        <v>206</v>
      </c>
      <c r="C3" s="23"/>
    </row>
    <row r="4" spans="1:7" ht="18.75">
      <c r="A4" s="47"/>
      <c r="B4" s="47"/>
      <c r="C4" s="81" t="s">
        <v>262</v>
      </c>
      <c r="D4" s="327" t="s">
        <v>281</v>
      </c>
      <c r="E4" s="81">
        <v>41666</v>
      </c>
      <c r="F4" s="41" t="s">
        <v>626</v>
      </c>
      <c r="G4" s="41" t="s">
        <v>616</v>
      </c>
    </row>
    <row r="5" spans="1:7" ht="18.75">
      <c r="A5" s="35"/>
      <c r="B5" s="35"/>
      <c r="C5" s="34"/>
      <c r="D5" s="34"/>
      <c r="E5" s="34"/>
      <c r="F5" s="34"/>
      <c r="G5" s="34"/>
    </row>
    <row r="6" spans="1:7" ht="18.75">
      <c r="A6" s="47">
        <v>5531</v>
      </c>
      <c r="B6" s="85" t="s">
        <v>207</v>
      </c>
      <c r="C6" s="34">
        <v>1105</v>
      </c>
      <c r="D6" s="36">
        <v>1200</v>
      </c>
      <c r="E6" s="34">
        <v>1200</v>
      </c>
      <c r="F6" s="34"/>
      <c r="G6" s="34">
        <v>1200</v>
      </c>
    </row>
    <row r="7" spans="1:7" ht="18.75">
      <c r="A7" s="47"/>
      <c r="B7" s="85"/>
      <c r="C7" s="34"/>
      <c r="D7" s="36"/>
      <c r="E7" s="34"/>
      <c r="F7" s="34"/>
      <c r="G7" s="34"/>
    </row>
    <row r="8" spans="1:7" ht="18.75">
      <c r="A8" s="47" t="s">
        <v>73</v>
      </c>
      <c r="B8" s="47" t="s">
        <v>64</v>
      </c>
      <c r="C8" s="48">
        <f>SUM(C6:C7)</f>
        <v>1105</v>
      </c>
      <c r="D8" s="37">
        <f>SUM(D6:D7)</f>
        <v>1200</v>
      </c>
      <c r="E8" s="37">
        <f>SUM(E6:E7)</f>
        <v>1200</v>
      </c>
      <c r="F8" s="37">
        <f>SUM(F6:F7)</f>
        <v>0</v>
      </c>
      <c r="G8" s="37">
        <f>SUM(G6:G7)</f>
        <v>1200</v>
      </c>
    </row>
    <row r="9" spans="1:7" ht="18.75">
      <c r="A9" s="47"/>
      <c r="B9" s="47"/>
      <c r="C9" s="34"/>
      <c r="D9" s="34"/>
      <c r="E9" s="34"/>
      <c r="F9" s="34"/>
      <c r="G9" s="34"/>
    </row>
    <row r="10" spans="1:7" ht="18.75">
      <c r="A10" s="127"/>
      <c r="B10" s="128"/>
      <c r="C10" s="129"/>
      <c r="D10" s="129"/>
      <c r="E10" s="34"/>
      <c r="F10" s="34"/>
      <c r="G10" s="34"/>
    </row>
    <row r="11" spans="1:7" ht="18.75">
      <c r="A11" s="47"/>
      <c r="B11" s="47" t="s">
        <v>74</v>
      </c>
      <c r="C11" s="48">
        <f>SUM(C8)</f>
        <v>1105</v>
      </c>
      <c r="D11" s="37">
        <f>SUM(D8)</f>
        <v>1200</v>
      </c>
      <c r="E11" s="37">
        <f>SUM(E8)</f>
        <v>1200</v>
      </c>
      <c r="F11" s="37">
        <f>SUM(F8)</f>
        <v>0</v>
      </c>
      <c r="G11" s="37">
        <f>SUM(G8)</f>
        <v>1200</v>
      </c>
    </row>
    <row r="12" spans="1:3" ht="18.75">
      <c r="A12" s="84"/>
      <c r="B12" s="84"/>
      <c r="C12" s="23"/>
    </row>
    <row r="21" ht="18.75">
      <c r="B21" s="87"/>
    </row>
    <row r="22" ht="18.75">
      <c r="B22" s="87"/>
    </row>
    <row r="31" ht="18.75">
      <c r="B31" s="89"/>
    </row>
    <row r="34" ht="18.75">
      <c r="B34" s="89"/>
    </row>
    <row r="39" ht="18.75">
      <c r="B39" s="89"/>
    </row>
    <row r="41" ht="18.75">
      <c r="B41" s="106"/>
    </row>
    <row r="46" ht="18.75">
      <c r="B46" s="89"/>
    </row>
  </sheetData>
  <sheetProtection/>
  <printOptions/>
  <pageMargins left="0.7" right="0.7" top="0.75" bottom="0.75" header="0.3" footer="0.3"/>
  <pageSetup horizontalDpi="300" verticalDpi="3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2:J98"/>
  <sheetViews>
    <sheetView view="pageBreakPreview" zoomScale="80" zoomScaleSheetLayoutView="80" zoomScalePageLayoutView="0" workbookViewId="0" topLeftCell="A37">
      <selection activeCell="J68" sqref="J68"/>
    </sheetView>
  </sheetViews>
  <sheetFormatPr defaultColWidth="8.41015625" defaultRowHeight="18"/>
  <cols>
    <col min="1" max="1" width="8.41015625" style="21" customWidth="1"/>
    <col min="2" max="2" width="7.08203125" style="21" customWidth="1"/>
    <col min="3" max="3" width="8.25" style="21" customWidth="1"/>
    <col min="4" max="4" width="13.66015625" style="21" bestFit="1" customWidth="1"/>
    <col min="5" max="5" width="13.33203125" style="382" customWidth="1"/>
    <col min="6" max="8" width="9.58203125" style="382" customWidth="1"/>
    <col min="9" max="9" width="7.33203125" style="21" customWidth="1"/>
    <col min="10" max="10" width="6.66015625" style="21" customWidth="1"/>
    <col min="11" max="254" width="7.08203125" style="21" customWidth="1"/>
    <col min="255" max="16384" width="8.41015625" style="21" customWidth="1"/>
  </cols>
  <sheetData>
    <row r="2" spans="1:8" ht="18.75">
      <c r="A2" s="242" t="s">
        <v>519</v>
      </c>
      <c r="B2" s="242"/>
      <c r="C2" s="242"/>
      <c r="D2" s="242"/>
      <c r="E2" s="374"/>
      <c r="F2" s="374"/>
      <c r="G2" s="374"/>
      <c r="H2" s="374"/>
    </row>
    <row r="3" spans="4:8" ht="19.5" thickBot="1">
      <c r="D3" t="s">
        <v>798</v>
      </c>
      <c r="E3" s="243"/>
      <c r="F3" s="243"/>
      <c r="G3" s="243"/>
      <c r="H3" s="243"/>
    </row>
    <row r="4" spans="1:8" ht="19.5" thickBot="1">
      <c r="A4" s="244">
        <v>851011</v>
      </c>
      <c r="B4" s="245" t="s">
        <v>520</v>
      </c>
      <c r="C4" s="246"/>
      <c r="D4" s="246"/>
      <c r="E4" s="375" t="s">
        <v>281</v>
      </c>
      <c r="F4" s="428" t="s">
        <v>614</v>
      </c>
      <c r="G4" s="421" t="s">
        <v>615</v>
      </c>
      <c r="H4" s="421" t="s">
        <v>616</v>
      </c>
    </row>
    <row r="5" spans="1:8" ht="19.5" thickBot="1">
      <c r="A5" s="210"/>
      <c r="B5" s="210"/>
      <c r="C5" s="247"/>
      <c r="D5" s="247"/>
      <c r="E5" s="295"/>
      <c r="F5" s="429"/>
      <c r="G5" s="295"/>
      <c r="H5" s="295"/>
    </row>
    <row r="6" spans="1:10" ht="18.75">
      <c r="A6" s="249">
        <v>511112</v>
      </c>
      <c r="B6" s="250" t="s">
        <v>521</v>
      </c>
      <c r="C6" s="251"/>
      <c r="D6" s="251"/>
      <c r="E6" s="376">
        <v>11632</v>
      </c>
      <c r="F6" s="430">
        <f>'[3]Óvoda'!$P$9/1000-742</f>
        <v>15840.137999999999</v>
      </c>
      <c r="G6" s="376"/>
      <c r="H6" s="376">
        <v>15029</v>
      </c>
      <c r="I6" s="252"/>
      <c r="J6" s="252"/>
    </row>
    <row r="7" spans="1:10" ht="18.75">
      <c r="A7" s="494"/>
      <c r="B7" s="495" t="s">
        <v>750</v>
      </c>
      <c r="C7" s="496"/>
      <c r="D7" s="496"/>
      <c r="E7" s="376"/>
      <c r="F7" s="430"/>
      <c r="G7" s="376"/>
      <c r="H7" s="376">
        <v>100</v>
      </c>
      <c r="I7" s="252" t="s">
        <v>751</v>
      </c>
      <c r="J7" s="252"/>
    </row>
    <row r="8" spans="1:10" ht="18.75">
      <c r="A8" s="253"/>
      <c r="B8" s="254" t="s">
        <v>736</v>
      </c>
      <c r="C8" s="255"/>
      <c r="D8" s="312"/>
      <c r="E8" s="377"/>
      <c r="F8" s="385"/>
      <c r="G8" s="377"/>
      <c r="H8" s="377">
        <v>796</v>
      </c>
      <c r="J8" s="21">
        <v>66300</v>
      </c>
    </row>
    <row r="9" spans="1:10" ht="18.75">
      <c r="A9" s="253">
        <v>511142</v>
      </c>
      <c r="B9" s="254" t="s">
        <v>737</v>
      </c>
      <c r="C9" s="257"/>
      <c r="D9" s="365"/>
      <c r="E9" s="377">
        <v>600</v>
      </c>
      <c r="F9" s="385">
        <v>742</v>
      </c>
      <c r="G9" s="377"/>
      <c r="H9" s="377">
        <v>83</v>
      </c>
      <c r="J9" s="490">
        <v>6900</v>
      </c>
    </row>
    <row r="10" spans="1:8" ht="18.75">
      <c r="A10" s="253">
        <v>512142</v>
      </c>
      <c r="B10" s="258" t="s">
        <v>522</v>
      </c>
      <c r="C10" s="259"/>
      <c r="D10" s="366"/>
      <c r="E10" s="377">
        <v>200</v>
      </c>
      <c r="F10" s="385">
        <v>200</v>
      </c>
      <c r="G10" s="377"/>
      <c r="H10" s="377">
        <v>200</v>
      </c>
    </row>
    <row r="11" spans="1:8" ht="18.75">
      <c r="A11" s="253"/>
      <c r="B11" s="254" t="s">
        <v>215</v>
      </c>
      <c r="C11" s="255"/>
      <c r="D11" s="312"/>
      <c r="E11" s="377"/>
      <c r="F11" s="385">
        <v>50</v>
      </c>
      <c r="G11" s="377"/>
      <c r="H11" s="377">
        <v>115</v>
      </c>
    </row>
    <row r="12" spans="1:8" ht="18.75">
      <c r="A12" s="253"/>
      <c r="B12" s="260" t="s">
        <v>523</v>
      </c>
      <c r="C12" s="261"/>
      <c r="D12" s="261"/>
      <c r="E12" s="377">
        <v>342</v>
      </c>
      <c r="F12" s="431">
        <f>'[3]Óvoda'!$Q$7/1000</f>
        <v>1481.5</v>
      </c>
      <c r="G12" s="378"/>
      <c r="H12" s="378"/>
    </row>
    <row r="13" spans="1:8" ht="18.75">
      <c r="A13" s="253">
        <v>51219</v>
      </c>
      <c r="B13" s="262" t="s">
        <v>524</v>
      </c>
      <c r="C13" s="172"/>
      <c r="D13" s="256"/>
      <c r="E13" s="377"/>
      <c r="F13" s="385"/>
      <c r="G13" s="377"/>
      <c r="H13" s="377"/>
    </row>
    <row r="14" spans="1:8" ht="18.75">
      <c r="A14" s="253">
        <v>51219</v>
      </c>
      <c r="B14" s="262" t="s">
        <v>525</v>
      </c>
      <c r="C14" s="172"/>
      <c r="D14" s="256"/>
      <c r="E14" s="377">
        <v>137</v>
      </c>
      <c r="F14" s="385"/>
      <c r="G14" s="377"/>
      <c r="H14" s="377"/>
    </row>
    <row r="15" spans="1:8" ht="18.75">
      <c r="A15" s="253">
        <v>51219</v>
      </c>
      <c r="B15" s="254" t="s">
        <v>526</v>
      </c>
      <c r="C15" s="255"/>
      <c r="D15" s="312"/>
      <c r="E15" s="377"/>
      <c r="F15" s="385"/>
      <c r="G15" s="377"/>
      <c r="H15" s="377"/>
    </row>
    <row r="16" spans="1:8" ht="18.75">
      <c r="A16" s="253">
        <v>51319</v>
      </c>
      <c r="B16" s="254" t="s">
        <v>388</v>
      </c>
      <c r="C16" s="255"/>
      <c r="D16" s="312"/>
      <c r="E16" s="377"/>
      <c r="F16" s="385"/>
      <c r="G16" s="377"/>
      <c r="H16" s="377"/>
    </row>
    <row r="17" spans="1:8" ht="18.75">
      <c r="A17" s="253">
        <v>51319</v>
      </c>
      <c r="B17" s="254" t="s">
        <v>24</v>
      </c>
      <c r="C17" s="255"/>
      <c r="D17" s="312"/>
      <c r="E17" s="377"/>
      <c r="F17" s="385">
        <v>50</v>
      </c>
      <c r="G17" s="377"/>
      <c r="H17" s="377">
        <v>60</v>
      </c>
    </row>
    <row r="18" spans="1:8" ht="18.75">
      <c r="A18" s="253">
        <v>51323</v>
      </c>
      <c r="B18" s="254" t="s">
        <v>165</v>
      </c>
      <c r="C18" s="255"/>
      <c r="D18" s="312"/>
      <c r="E18" s="377"/>
      <c r="F18" s="385"/>
      <c r="G18" s="377"/>
      <c r="H18" s="377"/>
    </row>
    <row r="19" spans="1:8" ht="18.75">
      <c r="A19" s="253">
        <v>51421</v>
      </c>
      <c r="B19" s="254" t="s">
        <v>527</v>
      </c>
      <c r="C19" s="255"/>
      <c r="D19" s="312"/>
      <c r="E19" s="377"/>
      <c r="F19" s="385"/>
      <c r="G19" s="377"/>
      <c r="H19" s="377"/>
    </row>
    <row r="20" spans="1:8" ht="18.75">
      <c r="A20" s="253">
        <v>51423</v>
      </c>
      <c r="B20" s="254" t="s">
        <v>528</v>
      </c>
      <c r="C20" s="255"/>
      <c r="D20" s="312"/>
      <c r="E20" s="377">
        <v>176</v>
      </c>
      <c r="F20" s="385">
        <v>176</v>
      </c>
      <c r="G20" s="377"/>
      <c r="H20" s="377">
        <v>120</v>
      </c>
    </row>
    <row r="21" spans="1:8" ht="18.75">
      <c r="A21" s="253"/>
      <c r="B21" s="263" t="s">
        <v>529</v>
      </c>
      <c r="C21" s="171"/>
      <c r="D21" s="367"/>
      <c r="E21" s="377"/>
      <c r="F21" s="385"/>
      <c r="G21" s="377"/>
      <c r="H21" s="377"/>
    </row>
    <row r="22" spans="1:8" ht="18.75">
      <c r="A22" s="253"/>
      <c r="B22" s="263" t="s">
        <v>530</v>
      </c>
      <c r="C22" s="171"/>
      <c r="D22" s="367"/>
      <c r="E22" s="377"/>
      <c r="F22" s="385"/>
      <c r="G22" s="377"/>
      <c r="H22" s="377"/>
    </row>
    <row r="23" spans="1:9" ht="18.75">
      <c r="A23" s="253">
        <v>514142</v>
      </c>
      <c r="B23" s="254" t="s">
        <v>738</v>
      </c>
      <c r="C23" s="255"/>
      <c r="D23" s="312"/>
      <c r="E23" s="377">
        <v>840</v>
      </c>
      <c r="F23" s="385">
        <v>840</v>
      </c>
      <c r="G23" s="377"/>
      <c r="H23" s="377">
        <v>1050</v>
      </c>
      <c r="I23" t="s">
        <v>739</v>
      </c>
    </row>
    <row r="24" spans="1:8" ht="18.75">
      <c r="A24" s="253">
        <v>51429</v>
      </c>
      <c r="B24" s="254" t="s">
        <v>531</v>
      </c>
      <c r="C24" s="255"/>
      <c r="D24" s="312"/>
      <c r="E24" s="377"/>
      <c r="F24" s="385"/>
      <c r="G24" s="377"/>
      <c r="H24" s="377"/>
    </row>
    <row r="25" spans="1:8" ht="19.5" thickBot="1">
      <c r="A25" s="264">
        <v>516</v>
      </c>
      <c r="B25" s="265" t="s">
        <v>791</v>
      </c>
      <c r="C25" s="266"/>
      <c r="D25" s="368"/>
      <c r="E25" s="377"/>
      <c r="F25" s="385"/>
      <c r="G25" s="377"/>
      <c r="H25" s="377">
        <v>1327</v>
      </c>
    </row>
    <row r="26" spans="1:10" ht="27" customHeight="1" thickBot="1">
      <c r="A26" s="268">
        <v>51</v>
      </c>
      <c r="B26" s="269" t="s">
        <v>532</v>
      </c>
      <c r="C26" s="269"/>
      <c r="D26" s="269"/>
      <c r="E26" s="379">
        <f>SUM(E6:E25)</f>
        <v>13927</v>
      </c>
      <c r="F26" s="432">
        <f>SUM(F6:F25)</f>
        <v>19379.638</v>
      </c>
      <c r="G26" s="432">
        <f>SUM(G6:G25)</f>
        <v>0</v>
      </c>
      <c r="H26" s="379">
        <f>SUM(H6:H25)</f>
        <v>18880</v>
      </c>
      <c r="I26" s="20"/>
      <c r="J26" s="380"/>
    </row>
    <row r="27" spans="1:8" ht="19.5" thickBot="1">
      <c r="A27" s="270"/>
      <c r="B27" s="271"/>
      <c r="C27" s="271"/>
      <c r="D27" s="271"/>
      <c r="E27" s="377"/>
      <c r="F27" s="385"/>
      <c r="G27" s="377"/>
      <c r="H27" s="377"/>
    </row>
    <row r="28" spans="1:9" ht="18.75">
      <c r="A28" s="272">
        <v>5311</v>
      </c>
      <c r="B28" s="273" t="s">
        <v>590</v>
      </c>
      <c r="C28" s="274"/>
      <c r="D28" s="274"/>
      <c r="E28" s="275">
        <v>3394</v>
      </c>
      <c r="F28" s="433">
        <f>(F26-F23-F20-F17)*27%</f>
        <v>4944.6822600000005</v>
      </c>
      <c r="G28" s="275"/>
      <c r="H28" s="275">
        <f>I28*27%</f>
        <v>4765.5</v>
      </c>
      <c r="I28" s="20">
        <f>H26-H23-H17-H20</f>
        <v>17650</v>
      </c>
    </row>
    <row r="29" spans="1:8" ht="18.75">
      <c r="A29" s="276">
        <v>5331</v>
      </c>
      <c r="B29" s="277" t="s">
        <v>4</v>
      </c>
      <c r="C29" s="278"/>
      <c r="D29" s="278"/>
      <c r="E29" s="377"/>
      <c r="F29" s="431">
        <f>F23*16.7%</f>
        <v>140.27999999999997</v>
      </c>
      <c r="G29" s="378"/>
      <c r="H29" s="378">
        <v>175</v>
      </c>
    </row>
    <row r="30" spans="1:8" ht="19.5" thickBot="1">
      <c r="A30" s="462"/>
      <c r="B30" s="278" t="s">
        <v>635</v>
      </c>
      <c r="C30" s="278"/>
      <c r="D30" s="278"/>
      <c r="E30" s="377"/>
      <c r="F30" s="431"/>
      <c r="G30" s="378"/>
      <c r="H30" s="378">
        <v>203</v>
      </c>
    </row>
    <row r="31" spans="1:8" ht="19.5" thickBot="1">
      <c r="A31" s="279">
        <v>53</v>
      </c>
      <c r="B31" s="280" t="s">
        <v>69</v>
      </c>
      <c r="C31" s="281"/>
      <c r="D31" s="281"/>
      <c r="E31" s="378">
        <f>SUM(E28:E29)</f>
        <v>3394</v>
      </c>
      <c r="F31" s="431">
        <f>SUM(F28:F29)</f>
        <v>5084.96226</v>
      </c>
      <c r="G31" s="378">
        <f>SUM(G28:G30)</f>
        <v>0</v>
      </c>
      <c r="H31" s="378">
        <f>SUM(H28:H30)</f>
        <v>5143.5</v>
      </c>
    </row>
    <row r="32" spans="1:8" ht="19.5" thickBot="1">
      <c r="A32" s="282"/>
      <c r="B32" s="283"/>
      <c r="C32" s="284"/>
      <c r="D32" s="284"/>
      <c r="E32" s="377"/>
      <c r="F32" s="385"/>
      <c r="G32" s="377"/>
      <c r="H32" s="377"/>
    </row>
    <row r="33" spans="1:8" ht="18.75">
      <c r="A33" s="285"/>
      <c r="B33" s="286" t="s">
        <v>533</v>
      </c>
      <c r="C33" s="287"/>
      <c r="D33" s="369"/>
      <c r="E33" s="377">
        <v>5</v>
      </c>
      <c r="F33" s="385">
        <v>12</v>
      </c>
      <c r="G33" s="377">
        <v>7</v>
      </c>
      <c r="H33" s="377">
        <v>10</v>
      </c>
    </row>
    <row r="34" spans="1:8" ht="18.75">
      <c r="A34" s="253">
        <v>5431</v>
      </c>
      <c r="B34" s="254" t="s">
        <v>427</v>
      </c>
      <c r="C34" s="255"/>
      <c r="D34" s="312"/>
      <c r="E34" s="377">
        <v>50</v>
      </c>
      <c r="F34" s="385">
        <v>40</v>
      </c>
      <c r="G34" s="377">
        <v>22</v>
      </c>
      <c r="H34" s="377">
        <v>30</v>
      </c>
    </row>
    <row r="35" spans="1:9" ht="18.75">
      <c r="A35" s="253">
        <v>54411</v>
      </c>
      <c r="B35" s="254" t="s">
        <v>534</v>
      </c>
      <c r="C35" s="257"/>
      <c r="D35" s="365"/>
      <c r="E35" s="377">
        <v>20</v>
      </c>
      <c r="F35" s="385">
        <v>10</v>
      </c>
      <c r="G35" s="377">
        <v>27</v>
      </c>
      <c r="H35" s="377">
        <v>30</v>
      </c>
      <c r="I35" t="s">
        <v>752</v>
      </c>
    </row>
    <row r="36" spans="1:9" ht="18.75">
      <c r="A36" s="253">
        <v>54711</v>
      </c>
      <c r="B36" s="254" t="s">
        <v>535</v>
      </c>
      <c r="C36" s="255"/>
      <c r="D36" s="312"/>
      <c r="E36" s="377">
        <v>130</v>
      </c>
      <c r="F36" s="385">
        <v>130</v>
      </c>
      <c r="G36" s="377">
        <v>206</v>
      </c>
      <c r="H36" s="705">
        <v>250</v>
      </c>
      <c r="I36" t="s">
        <v>753</v>
      </c>
    </row>
    <row r="37" spans="1:9" ht="18.75">
      <c r="A37" s="253">
        <v>54712</v>
      </c>
      <c r="B37" s="254" t="s">
        <v>536</v>
      </c>
      <c r="C37" s="255"/>
      <c r="D37" s="312"/>
      <c r="E37" s="377">
        <v>70</v>
      </c>
      <c r="F37" s="385">
        <v>30</v>
      </c>
      <c r="G37" s="377"/>
      <c r="H37" s="706"/>
      <c r="I37" s="21" t="s">
        <v>586</v>
      </c>
    </row>
    <row r="38" spans="1:8" ht="18.75">
      <c r="A38" s="253">
        <v>5481</v>
      </c>
      <c r="B38" s="254" t="s">
        <v>537</v>
      </c>
      <c r="C38" s="255"/>
      <c r="D38" s="312"/>
      <c r="E38" s="377">
        <v>72</v>
      </c>
      <c r="F38" s="385">
        <v>76</v>
      </c>
      <c r="G38" s="377">
        <v>72</v>
      </c>
      <c r="H38" s="377">
        <v>76</v>
      </c>
    </row>
    <row r="39" spans="1:9" ht="19.5" thickBot="1">
      <c r="A39" s="288">
        <v>5491</v>
      </c>
      <c r="B39" s="289" t="s">
        <v>90</v>
      </c>
      <c r="C39" s="290"/>
      <c r="D39" s="370"/>
      <c r="E39" s="377">
        <v>150</v>
      </c>
      <c r="F39" s="385">
        <v>120</v>
      </c>
      <c r="G39" s="377">
        <v>110</v>
      </c>
      <c r="H39" s="377">
        <v>120</v>
      </c>
      <c r="I39" s="21" t="s">
        <v>538</v>
      </c>
    </row>
    <row r="40" spans="1:8" ht="30" customHeight="1" thickBot="1">
      <c r="A40" s="268">
        <v>54</v>
      </c>
      <c r="B40" s="704" t="s">
        <v>539</v>
      </c>
      <c r="C40" s="703"/>
      <c r="D40" s="703"/>
      <c r="E40" s="377">
        <f>SUM(E33:E39)</f>
        <v>497</v>
      </c>
      <c r="F40" s="385">
        <f>SUM(F33:F39)</f>
        <v>418</v>
      </c>
      <c r="G40" s="385">
        <f>SUM(G33:G39)</f>
        <v>444</v>
      </c>
      <c r="H40" s="385">
        <f>SUM(H33:H39)</f>
        <v>516</v>
      </c>
    </row>
    <row r="41" spans="1:8" ht="18.75">
      <c r="A41" s="249">
        <v>55111</v>
      </c>
      <c r="B41" s="291" t="s">
        <v>376</v>
      </c>
      <c r="C41" s="292"/>
      <c r="D41" s="371"/>
      <c r="E41" s="377">
        <v>100</v>
      </c>
      <c r="F41" s="385">
        <v>100</v>
      </c>
      <c r="G41" s="377">
        <v>76</v>
      </c>
      <c r="H41" s="377">
        <v>100</v>
      </c>
    </row>
    <row r="42" spans="1:9" ht="18.75">
      <c r="A42" s="253"/>
      <c r="B42" s="254" t="s">
        <v>540</v>
      </c>
      <c r="C42" s="255"/>
      <c r="D42" s="312"/>
      <c r="E42" s="295">
        <v>90</v>
      </c>
      <c r="F42" s="429">
        <v>90</v>
      </c>
      <c r="G42" s="295">
        <v>36</v>
      </c>
      <c r="H42" s="295">
        <v>50</v>
      </c>
      <c r="I42" s="294"/>
    </row>
    <row r="43" spans="1:8" ht="18.75">
      <c r="A43" s="253">
        <v>55211</v>
      </c>
      <c r="B43" s="254" t="s">
        <v>168</v>
      </c>
      <c r="C43" s="255"/>
      <c r="D43" s="312"/>
      <c r="E43" s="295"/>
      <c r="F43" s="429"/>
      <c r="G43" s="295"/>
      <c r="H43" s="295"/>
    </row>
    <row r="44" spans="1:9" ht="18.75">
      <c r="A44" s="253">
        <v>55213</v>
      </c>
      <c r="B44" s="254" t="s">
        <v>541</v>
      </c>
      <c r="C44" s="255"/>
      <c r="D44" s="312"/>
      <c r="E44" s="295">
        <v>30</v>
      </c>
      <c r="F44" s="429">
        <v>30</v>
      </c>
      <c r="G44" s="295">
        <v>13</v>
      </c>
      <c r="H44" s="295">
        <v>15</v>
      </c>
      <c r="I44" s="21" t="s">
        <v>542</v>
      </c>
    </row>
    <row r="45" spans="1:8" ht="18.75">
      <c r="A45" s="253">
        <v>55214</v>
      </c>
      <c r="B45" s="254" t="s">
        <v>543</v>
      </c>
      <c r="C45" s="255"/>
      <c r="D45" s="312"/>
      <c r="E45" s="295">
        <v>700</v>
      </c>
      <c r="F45" s="429">
        <v>600</v>
      </c>
      <c r="G45" s="295">
        <v>495</v>
      </c>
      <c r="H45" s="295">
        <v>520</v>
      </c>
    </row>
    <row r="46" spans="1:8" ht="18.75">
      <c r="A46" s="253">
        <v>55215</v>
      </c>
      <c r="B46" s="254" t="s">
        <v>544</v>
      </c>
      <c r="C46" s="255"/>
      <c r="D46" s="312"/>
      <c r="E46" s="295">
        <v>200</v>
      </c>
      <c r="F46" s="429">
        <v>150</v>
      </c>
      <c r="G46" s="295">
        <v>56</v>
      </c>
      <c r="H46" s="295">
        <v>80</v>
      </c>
    </row>
    <row r="47" spans="1:8" ht="18.75">
      <c r="A47" s="253">
        <v>55217</v>
      </c>
      <c r="B47" s="254" t="s">
        <v>503</v>
      </c>
      <c r="C47" s="255"/>
      <c r="D47" s="312"/>
      <c r="E47" s="295">
        <v>350</v>
      </c>
      <c r="F47" s="429">
        <v>220</v>
      </c>
      <c r="G47" s="295">
        <v>278</v>
      </c>
      <c r="H47" s="295">
        <v>300</v>
      </c>
    </row>
    <row r="48" spans="1:9" ht="18.75">
      <c r="A48" s="253">
        <v>552181</v>
      </c>
      <c r="B48" s="254" t="s">
        <v>26</v>
      </c>
      <c r="C48" s="255"/>
      <c r="D48" s="312"/>
      <c r="E48" s="295">
        <v>200</v>
      </c>
      <c r="F48" s="429">
        <v>150</v>
      </c>
      <c r="G48" s="295">
        <v>74</v>
      </c>
      <c r="H48" s="295">
        <v>70</v>
      </c>
      <c r="I48" t="s">
        <v>754</v>
      </c>
    </row>
    <row r="49" spans="1:9" ht="18.75">
      <c r="A49" s="253"/>
      <c r="B49" s="254" t="s">
        <v>545</v>
      </c>
      <c r="C49" s="257"/>
      <c r="D49" s="365"/>
      <c r="E49" s="377">
        <v>135</v>
      </c>
      <c r="F49" s="385">
        <v>135</v>
      </c>
      <c r="G49" s="377">
        <v>135</v>
      </c>
      <c r="H49" s="377">
        <v>270</v>
      </c>
      <c r="I49" s="21" t="s">
        <v>592</v>
      </c>
    </row>
    <row r="50" spans="1:9" ht="18.75">
      <c r="A50" s="253"/>
      <c r="B50" s="254" t="s">
        <v>587</v>
      </c>
      <c r="C50" s="257"/>
      <c r="D50" s="365"/>
      <c r="E50" s="377"/>
      <c r="F50" s="385">
        <v>48</v>
      </c>
      <c r="G50" s="377"/>
      <c r="H50" s="377">
        <v>20</v>
      </c>
      <c r="I50" s="21" t="s">
        <v>591</v>
      </c>
    </row>
    <row r="51" spans="1:9" ht="18.75">
      <c r="A51" s="253">
        <v>55219</v>
      </c>
      <c r="B51" s="254" t="s">
        <v>546</v>
      </c>
      <c r="C51" s="255"/>
      <c r="D51" s="312"/>
      <c r="E51" s="377">
        <f>26+70</f>
        <v>96</v>
      </c>
      <c r="F51" s="385">
        <v>30</v>
      </c>
      <c r="G51" s="377">
        <v>36</v>
      </c>
      <c r="H51" s="377">
        <v>50</v>
      </c>
      <c r="I51" t="s">
        <v>757</v>
      </c>
    </row>
    <row r="52" spans="1:8" ht="18.75">
      <c r="A52" s="288"/>
      <c r="B52" s="296" t="s">
        <v>755</v>
      </c>
      <c r="C52" s="297"/>
      <c r="D52" s="297"/>
      <c r="E52" s="377"/>
      <c r="F52" s="385"/>
      <c r="G52" s="377">
        <v>82</v>
      </c>
      <c r="H52" s="377">
        <v>80</v>
      </c>
    </row>
    <row r="53" spans="1:9" ht="19.5" thickBot="1">
      <c r="A53" s="288">
        <v>5531</v>
      </c>
      <c r="B53" s="296" t="s">
        <v>547</v>
      </c>
      <c r="C53" s="297"/>
      <c r="D53" s="297"/>
      <c r="E53" s="377">
        <v>550</v>
      </c>
      <c r="F53" s="385">
        <v>320</v>
      </c>
      <c r="G53" s="377">
        <v>116</v>
      </c>
      <c r="H53" s="377">
        <v>120</v>
      </c>
      <c r="I53" t="s">
        <v>756</v>
      </c>
    </row>
    <row r="54" spans="1:8" ht="35.25" customHeight="1" thickBot="1">
      <c r="A54" s="298">
        <v>55</v>
      </c>
      <c r="B54" s="702" t="s">
        <v>548</v>
      </c>
      <c r="C54" s="703"/>
      <c r="D54" s="703"/>
      <c r="E54" s="28">
        <f>SUM(E41:E53)</f>
        <v>2451</v>
      </c>
      <c r="F54" s="123">
        <f>SUM(F41:F53)</f>
        <v>1873</v>
      </c>
      <c r="G54" s="123">
        <f>SUM(G41:G53)</f>
        <v>1397</v>
      </c>
      <c r="H54" s="123">
        <f>SUM(H41:H53)</f>
        <v>1675</v>
      </c>
    </row>
    <row r="55" spans="1:8" ht="18.75">
      <c r="A55" s="249">
        <v>56111</v>
      </c>
      <c r="B55" s="291" t="s">
        <v>549</v>
      </c>
      <c r="C55" s="299"/>
      <c r="D55" s="309"/>
      <c r="E55" s="379">
        <f>(E54+E40+E57)*27%</f>
        <v>798.6600000000001</v>
      </c>
      <c r="F55" s="432">
        <f>(F54-F53+F40+F57)*27%-0.5</f>
        <v>534.37</v>
      </c>
      <c r="G55" s="379">
        <v>425</v>
      </c>
      <c r="H55" s="379">
        <f>(H40+H54+H57)*27%</f>
        <v>598.32</v>
      </c>
    </row>
    <row r="56" spans="1:8" ht="18.75">
      <c r="A56" s="253">
        <v>56211</v>
      </c>
      <c r="B56" s="254" t="s">
        <v>593</v>
      </c>
      <c r="C56" s="255"/>
      <c r="D56" s="312"/>
      <c r="E56" s="377">
        <v>20</v>
      </c>
      <c r="F56" s="385">
        <v>5</v>
      </c>
      <c r="G56" s="377">
        <v>6</v>
      </c>
      <c r="H56" s="377">
        <v>10</v>
      </c>
    </row>
    <row r="57" spans="1:9" ht="18.75">
      <c r="A57" s="253">
        <v>56213</v>
      </c>
      <c r="B57" s="254" t="s">
        <v>19</v>
      </c>
      <c r="C57" s="255"/>
      <c r="D57" s="312"/>
      <c r="E57" s="377">
        <v>10</v>
      </c>
      <c r="F57" s="385">
        <v>10</v>
      </c>
      <c r="G57" s="377">
        <v>11</v>
      </c>
      <c r="H57" s="377">
        <v>25</v>
      </c>
      <c r="I57" t="s">
        <v>758</v>
      </c>
    </row>
    <row r="58" spans="1:8" ht="18.75">
      <c r="A58" s="253"/>
      <c r="B58" s="254" t="s">
        <v>550</v>
      </c>
      <c r="C58" s="255"/>
      <c r="D58" s="312"/>
      <c r="E58" s="377"/>
      <c r="F58" s="385"/>
      <c r="G58" s="377"/>
      <c r="H58" s="377"/>
    </row>
    <row r="59" spans="1:8" ht="19.5" thickBot="1">
      <c r="A59" s="288">
        <v>57212</v>
      </c>
      <c r="B59" s="289" t="s">
        <v>551</v>
      </c>
      <c r="C59" s="290"/>
      <c r="D59" s="370"/>
      <c r="E59" s="377">
        <v>76</v>
      </c>
      <c r="F59" s="431">
        <f>F23*19.04%</f>
        <v>159.93599999999998</v>
      </c>
      <c r="G59" s="378"/>
      <c r="H59" s="378"/>
    </row>
    <row r="60" spans="1:8" ht="27" customHeight="1" thickBot="1">
      <c r="A60" s="268">
        <v>56</v>
      </c>
      <c r="B60" s="704" t="s">
        <v>357</v>
      </c>
      <c r="C60" s="703"/>
      <c r="D60" s="703"/>
      <c r="E60" s="379">
        <f>SUM(E55:E59)</f>
        <v>904.6600000000001</v>
      </c>
      <c r="F60" s="432">
        <f>SUM(F55:F59)</f>
        <v>709.306</v>
      </c>
      <c r="G60" s="432">
        <f>SUM(G55:G59)</f>
        <v>442</v>
      </c>
      <c r="H60" s="432">
        <f>SUM(H55:H59)</f>
        <v>633.32</v>
      </c>
    </row>
    <row r="61" spans="1:8" ht="19.5" thickBot="1">
      <c r="A61" s="210"/>
      <c r="B61" s="210"/>
      <c r="C61" s="247"/>
      <c r="D61" s="247"/>
      <c r="E61" s="381"/>
      <c r="F61" s="434"/>
      <c r="G61" s="381"/>
      <c r="H61" s="381"/>
    </row>
    <row r="62" spans="1:8" ht="19.5" thickBot="1">
      <c r="A62" s="268"/>
      <c r="B62" s="300" t="s">
        <v>29</v>
      </c>
      <c r="C62" s="301"/>
      <c r="D62" s="372"/>
      <c r="E62" s="379">
        <f>E60+E54+E40</f>
        <v>3852.66</v>
      </c>
      <c r="F62" s="432">
        <f>F60+F54+F40</f>
        <v>3000.306</v>
      </c>
      <c r="G62" s="432">
        <f>G60+G54+G40</f>
        <v>2283</v>
      </c>
      <c r="H62" s="432">
        <f>H60+H54+H40</f>
        <v>2824.32</v>
      </c>
    </row>
    <row r="63" spans="1:8" ht="19.5" thickBot="1">
      <c r="A63" s="302"/>
      <c r="B63" s="302"/>
      <c r="C63" s="303"/>
      <c r="D63" s="364"/>
      <c r="E63" s="377"/>
      <c r="F63" s="385"/>
      <c r="G63" s="377"/>
      <c r="H63" s="377"/>
    </row>
    <row r="64" spans="1:8" ht="19.5" thickBot="1">
      <c r="A64" s="268"/>
      <c r="B64" s="298" t="s">
        <v>552</v>
      </c>
      <c r="C64" s="301"/>
      <c r="D64" s="372"/>
      <c r="E64" s="379">
        <f>E62+E31+E26</f>
        <v>21173.66</v>
      </c>
      <c r="F64" s="432">
        <f>F62+F31+F26</f>
        <v>27464.90626</v>
      </c>
      <c r="G64" s="432">
        <f>G62+G31+G26</f>
        <v>2283</v>
      </c>
      <c r="H64" s="432">
        <f>H62+H31+H26</f>
        <v>26847.82</v>
      </c>
    </row>
    <row r="65" spans="1:8" ht="19.5" thickBot="1">
      <c r="A65" s="302"/>
      <c r="B65" s="302"/>
      <c r="C65" s="303"/>
      <c r="D65" s="364"/>
      <c r="E65" s="377"/>
      <c r="F65" s="385"/>
      <c r="G65" s="377"/>
      <c r="H65" s="377"/>
    </row>
    <row r="66" spans="1:8" ht="19.5" thickBot="1">
      <c r="A66" s="268"/>
      <c r="B66" s="298" t="s">
        <v>588</v>
      </c>
      <c r="C66" s="301"/>
      <c r="D66" s="372"/>
      <c r="E66" s="377"/>
      <c r="F66" s="385"/>
      <c r="G66" s="377"/>
      <c r="H66" s="377"/>
    </row>
    <row r="67" spans="1:8" ht="18.75">
      <c r="A67" s="283"/>
      <c r="B67" s="363" t="s">
        <v>589</v>
      </c>
      <c r="C67" s="303"/>
      <c r="D67" s="364"/>
      <c r="E67" s="377"/>
      <c r="F67" s="385">
        <v>120</v>
      </c>
      <c r="G67" s="377">
        <v>119</v>
      </c>
      <c r="H67" s="377"/>
    </row>
    <row r="68" spans="1:8" ht="18.75">
      <c r="A68" s="283"/>
      <c r="B68" s="363" t="s">
        <v>232</v>
      </c>
      <c r="C68" s="303"/>
      <c r="D68" s="364"/>
      <c r="E68" s="377"/>
      <c r="F68" s="385">
        <v>32</v>
      </c>
      <c r="G68" s="377">
        <v>32</v>
      </c>
      <c r="H68" s="377"/>
    </row>
    <row r="69" spans="1:8" ht="18.75">
      <c r="A69" s="302"/>
      <c r="B69" s="302" t="s">
        <v>233</v>
      </c>
      <c r="C69" s="303"/>
      <c r="D69" s="364"/>
      <c r="E69" s="377"/>
      <c r="F69" s="385">
        <f>SUM(F67:F68)</f>
        <v>152</v>
      </c>
      <c r="G69" s="385">
        <f>SUM(G67:G68)</f>
        <v>151</v>
      </c>
      <c r="H69" s="385">
        <f>SUM(H67:H68)</f>
        <v>0</v>
      </c>
    </row>
    <row r="70" spans="1:8" ht="19.5" thickBot="1">
      <c r="A70" s="283"/>
      <c r="B70" s="363"/>
      <c r="C70" s="303"/>
      <c r="D70" s="364"/>
      <c r="E70" s="377"/>
      <c r="F70" s="385"/>
      <c r="G70" s="377"/>
      <c r="H70" s="377"/>
    </row>
    <row r="71" spans="1:8" s="382" customFormat="1" ht="16.5" thickBot="1">
      <c r="A71" s="268"/>
      <c r="B71" s="298" t="s">
        <v>0</v>
      </c>
      <c r="C71" s="304"/>
      <c r="D71" s="373"/>
      <c r="E71" s="379">
        <f>E66+E64</f>
        <v>21173.66</v>
      </c>
      <c r="F71" s="432">
        <f>F69+F64</f>
        <v>27616.90626</v>
      </c>
      <c r="G71" s="432">
        <f>G69+G64</f>
        <v>2434</v>
      </c>
      <c r="H71" s="432">
        <f>H69+H64</f>
        <v>26847.82</v>
      </c>
    </row>
    <row r="72" spans="1:8" ht="19.5" thickBot="1">
      <c r="A72" s="305"/>
      <c r="B72" s="303"/>
      <c r="C72" s="303"/>
      <c r="D72" s="303"/>
      <c r="E72" s="377"/>
      <c r="F72" s="377"/>
      <c r="G72" s="377"/>
      <c r="H72" s="377"/>
    </row>
    <row r="73" spans="1:8" ht="19.5" thickBot="1">
      <c r="A73" s="267"/>
      <c r="B73" s="306" t="s">
        <v>331</v>
      </c>
      <c r="C73" s="307"/>
      <c r="D73" s="307"/>
      <c r="E73" s="377"/>
      <c r="F73" s="377"/>
      <c r="G73" s="377"/>
      <c r="H73" s="377"/>
    </row>
    <row r="74" spans="1:8" ht="19.5" thickBot="1">
      <c r="A74" s="284"/>
      <c r="B74" s="491" t="s">
        <v>741</v>
      </c>
      <c r="C74" s="307"/>
      <c r="D74" s="307"/>
      <c r="E74" s="377"/>
      <c r="F74" s="377"/>
      <c r="G74" s="377"/>
      <c r="H74" s="377"/>
    </row>
    <row r="75" spans="1:8" ht="18.75">
      <c r="A75" s="308"/>
      <c r="B75" s="309" t="s">
        <v>740</v>
      </c>
      <c r="C75" s="251"/>
      <c r="D75" s="310"/>
      <c r="E75" s="377"/>
      <c r="F75" s="377"/>
      <c r="G75" s="377"/>
      <c r="H75" s="377">
        <v>462</v>
      </c>
    </row>
    <row r="76" spans="1:8" ht="18.75">
      <c r="A76" s="311"/>
      <c r="B76" s="312" t="s">
        <v>62</v>
      </c>
      <c r="C76" s="261"/>
      <c r="D76" s="313"/>
      <c r="E76" s="377"/>
      <c r="F76" s="377"/>
      <c r="G76" s="377"/>
      <c r="H76" s="377">
        <f>SUM(H74:H75)</f>
        <v>462</v>
      </c>
    </row>
    <row r="77" spans="1:8" ht="18.75">
      <c r="A77" s="311"/>
      <c r="B77" s="312"/>
      <c r="C77" s="261"/>
      <c r="D77" s="313"/>
      <c r="E77" s="377"/>
      <c r="F77" s="383"/>
      <c r="G77" s="383"/>
      <c r="H77" s="383"/>
    </row>
    <row r="78" spans="1:8" ht="18.75">
      <c r="A78" s="311"/>
      <c r="B78" s="312"/>
      <c r="C78" s="261"/>
      <c r="D78" s="313"/>
      <c r="E78" s="377"/>
      <c r="F78" s="383"/>
      <c r="G78" s="383"/>
      <c r="H78" s="383"/>
    </row>
    <row r="79" spans="1:9" ht="18.75">
      <c r="A79" s="311"/>
      <c r="B79" s="312"/>
      <c r="C79" s="261"/>
      <c r="D79" s="313"/>
      <c r="I79" s="384">
        <f>E75*27%</f>
        <v>0</v>
      </c>
    </row>
    <row r="80" spans="1:8" ht="18.75">
      <c r="A80" s="311"/>
      <c r="B80" s="312"/>
      <c r="C80" s="261"/>
      <c r="D80" s="313"/>
      <c r="E80" s="377"/>
      <c r="F80" s="383"/>
      <c r="G80" s="383"/>
      <c r="H80" s="383"/>
    </row>
    <row r="81" spans="1:8" ht="18.75">
      <c r="A81" s="311"/>
      <c r="B81" s="312"/>
      <c r="C81" s="261"/>
      <c r="D81" s="313"/>
      <c r="E81" s="377"/>
      <c r="F81" s="383"/>
      <c r="G81" s="383"/>
      <c r="H81" s="383"/>
    </row>
    <row r="82" spans="1:8" ht="18.75">
      <c r="A82" s="311"/>
      <c r="B82" s="314"/>
      <c r="C82" s="315"/>
      <c r="D82" s="315"/>
      <c r="E82" s="385"/>
      <c r="F82" s="383"/>
      <c r="G82" s="383"/>
      <c r="H82" s="383"/>
    </row>
    <row r="83" spans="1:8" ht="18.75">
      <c r="A83" s="311"/>
      <c r="B83" s="172"/>
      <c r="C83" s="172"/>
      <c r="D83" s="172"/>
      <c r="E83" s="377"/>
      <c r="F83" s="383"/>
      <c r="G83" s="383"/>
      <c r="H83" s="383"/>
    </row>
    <row r="84" spans="1:8" ht="18.75">
      <c r="A84" s="311"/>
      <c r="B84" s="316"/>
      <c r="C84" s="317"/>
      <c r="D84" s="318"/>
      <c r="E84" s="377"/>
      <c r="F84" s="383"/>
      <c r="G84" s="383"/>
      <c r="H84" s="383"/>
    </row>
    <row r="85" spans="1:8" ht="18.75">
      <c r="A85" s="311"/>
      <c r="B85" s="316"/>
      <c r="C85" s="317"/>
      <c r="D85" s="317"/>
      <c r="E85" s="385"/>
      <c r="F85" s="383"/>
      <c r="G85" s="383"/>
      <c r="H85" s="383"/>
    </row>
    <row r="86" spans="1:8" ht="18.75">
      <c r="A86" s="311"/>
      <c r="B86" s="172"/>
      <c r="C86" s="172"/>
      <c r="D86" s="172"/>
      <c r="E86" s="377"/>
      <c r="F86" s="383"/>
      <c r="G86" s="383"/>
      <c r="H86" s="383"/>
    </row>
    <row r="87" spans="1:8" ht="18.75">
      <c r="A87" s="311"/>
      <c r="B87" s="316"/>
      <c r="C87" s="317"/>
      <c r="D87" s="318"/>
      <c r="E87" s="379"/>
      <c r="F87" s="386"/>
      <c r="G87" s="386"/>
      <c r="H87" s="386"/>
    </row>
    <row r="88" spans="1:8" ht="19.5" thickBot="1">
      <c r="A88" s="319"/>
      <c r="B88" s="320"/>
      <c r="C88" s="320"/>
      <c r="D88" s="320"/>
      <c r="E88" s="377"/>
      <c r="F88" s="383"/>
      <c r="G88" s="383"/>
      <c r="H88" s="383"/>
    </row>
    <row r="89" spans="1:8" ht="18.75">
      <c r="A89" s="248"/>
      <c r="B89" s="248"/>
      <c r="C89" s="248"/>
      <c r="D89" s="248"/>
      <c r="E89" s="295"/>
      <c r="F89" s="362"/>
      <c r="G89" s="362"/>
      <c r="H89" s="362"/>
    </row>
    <row r="90" spans="1:8" ht="18.75">
      <c r="A90" s="248"/>
      <c r="B90" s="248"/>
      <c r="C90" s="248"/>
      <c r="D90" s="248"/>
      <c r="E90" s="295"/>
      <c r="F90" s="362"/>
      <c r="G90" s="362"/>
      <c r="H90" s="362"/>
    </row>
    <row r="91" spans="1:8" ht="18.75">
      <c r="A91" s="248"/>
      <c r="B91" s="248"/>
      <c r="C91" s="248"/>
      <c r="D91" s="248"/>
      <c r="E91" s="295"/>
      <c r="F91" s="362"/>
      <c r="G91" s="362"/>
      <c r="H91" s="362"/>
    </row>
    <row r="92" spans="5:8" ht="18.75">
      <c r="E92" s="295"/>
      <c r="F92" s="362"/>
      <c r="G92" s="362"/>
      <c r="H92" s="362"/>
    </row>
    <row r="93" spans="4:8" ht="18.75">
      <c r="D93" s="321"/>
      <c r="E93" s="295"/>
      <c r="F93" s="362"/>
      <c r="G93" s="362"/>
      <c r="H93" s="362"/>
    </row>
    <row r="94" spans="4:8" ht="18.75">
      <c r="D94" s="184"/>
      <c r="E94" s="295"/>
      <c r="F94" s="362"/>
      <c r="G94" s="362"/>
      <c r="H94" s="362"/>
    </row>
    <row r="95" spans="4:8" ht="18.75">
      <c r="D95" s="184"/>
      <c r="E95" s="295"/>
      <c r="F95" s="362"/>
      <c r="G95" s="362"/>
      <c r="H95" s="362"/>
    </row>
    <row r="96" spans="4:8" ht="18.75">
      <c r="D96" s="34"/>
      <c r="E96" s="295"/>
      <c r="F96" s="362"/>
      <c r="G96" s="362"/>
      <c r="H96" s="362"/>
    </row>
    <row r="97" ht="18.75">
      <c r="D97" s="184"/>
    </row>
    <row r="98" ht="18.75">
      <c r="D98" s="34"/>
    </row>
  </sheetData>
  <sheetProtection/>
  <mergeCells count="4">
    <mergeCell ref="B54:D54"/>
    <mergeCell ref="B40:D40"/>
    <mergeCell ref="B60:D60"/>
    <mergeCell ref="H36:H37"/>
  </mergeCells>
  <printOptions/>
  <pageMargins left="0.7" right="0.7" top="0.75" bottom="0.75" header="0.3" footer="0.3"/>
  <pageSetup horizontalDpi="300" verticalDpi="300" orientation="portrait" paperSize="9" scale="57" r:id="rId1"/>
  <rowBreaks count="1" manualBreakCount="1">
    <brk id="54" max="13" man="1"/>
  </rowBreaks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C00000"/>
  </sheetPr>
  <dimension ref="A2:J101"/>
  <sheetViews>
    <sheetView zoomScalePageLayoutView="0" workbookViewId="0" topLeftCell="A1">
      <selection activeCell="C101" sqref="C101:E101"/>
    </sheetView>
  </sheetViews>
  <sheetFormatPr defaultColWidth="8.41015625" defaultRowHeight="18"/>
  <cols>
    <col min="1" max="1" width="8.41015625" style="21" customWidth="1"/>
    <col min="2" max="2" width="29.41015625" style="21" customWidth="1"/>
    <col min="3" max="3" width="8" style="382" customWidth="1"/>
    <col min="4" max="4" width="7.33203125" style="21" customWidth="1"/>
    <col min="5" max="5" width="7.75" style="21" customWidth="1"/>
    <col min="6" max="249" width="7.08203125" style="21" customWidth="1"/>
    <col min="250" max="16384" width="8.41015625" style="21" customWidth="1"/>
  </cols>
  <sheetData>
    <row r="2" spans="1:5" ht="18.75">
      <c r="A2" s="620" t="s">
        <v>1331</v>
      </c>
      <c r="B2" s="620"/>
      <c r="C2" s="620"/>
      <c r="D2" s="620"/>
      <c r="E2" s="620"/>
    </row>
    <row r="3" ht="19.5" thickBot="1">
      <c r="C3" s="243"/>
    </row>
    <row r="4" spans="1:5" ht="19.5" thickBot="1">
      <c r="A4" s="595">
        <v>862301</v>
      </c>
      <c r="B4" s="245" t="s">
        <v>206</v>
      </c>
      <c r="C4" s="421" t="s">
        <v>616</v>
      </c>
      <c r="D4" s="41" t="s">
        <v>626</v>
      </c>
      <c r="E4" s="34">
        <v>2016</v>
      </c>
    </row>
    <row r="5" spans="1:5" ht="19.5" thickBot="1">
      <c r="A5" s="596">
        <v>72311</v>
      </c>
      <c r="B5" s="210"/>
      <c r="C5" s="295"/>
      <c r="D5" s="34"/>
      <c r="E5" s="34"/>
    </row>
    <row r="6" spans="1:5" ht="18.75">
      <c r="A6" s="249" t="s">
        <v>819</v>
      </c>
      <c r="B6" s="250" t="s">
        <v>1238</v>
      </c>
      <c r="C6" s="376"/>
      <c r="D6" s="565"/>
      <c r="E6" s="565"/>
    </row>
    <row r="7" spans="1:5" ht="18.75">
      <c r="A7" s="253" t="s">
        <v>822</v>
      </c>
      <c r="B7" s="254" t="s">
        <v>821</v>
      </c>
      <c r="C7" s="377"/>
      <c r="D7" s="34"/>
      <c r="E7" s="34"/>
    </row>
    <row r="8" spans="1:5" ht="18.75">
      <c r="A8" s="253" t="s">
        <v>823</v>
      </c>
      <c r="B8" s="254" t="s">
        <v>820</v>
      </c>
      <c r="C8" s="377"/>
      <c r="D8" s="34"/>
      <c r="E8" s="381"/>
    </row>
    <row r="9" spans="1:5" ht="18.75">
      <c r="A9" s="253" t="s">
        <v>825</v>
      </c>
      <c r="B9" s="254" t="s">
        <v>824</v>
      </c>
      <c r="C9" s="377"/>
      <c r="D9" s="34"/>
      <c r="E9" s="34"/>
    </row>
    <row r="10" spans="1:5" ht="18.75">
      <c r="A10" s="253" t="s">
        <v>826</v>
      </c>
      <c r="B10" s="260" t="s">
        <v>1239</v>
      </c>
      <c r="C10" s="377"/>
      <c r="D10" s="34"/>
      <c r="E10" s="34"/>
    </row>
    <row r="11" spans="1:5" ht="18.75">
      <c r="A11" s="253" t="s">
        <v>1233</v>
      </c>
      <c r="B11" s="260" t="s">
        <v>1240</v>
      </c>
      <c r="C11" s="378"/>
      <c r="D11" s="34"/>
      <c r="E11" s="34"/>
    </row>
    <row r="12" spans="1:5" ht="18.75">
      <c r="A12" s="253" t="s">
        <v>1241</v>
      </c>
      <c r="B12" s="262" t="s">
        <v>1234</v>
      </c>
      <c r="C12" s="377"/>
      <c r="D12" s="34"/>
      <c r="E12" s="34"/>
    </row>
    <row r="13" spans="1:5" ht="18.75">
      <c r="A13" s="253" t="s">
        <v>1242</v>
      </c>
      <c r="B13" s="262" t="s">
        <v>1235</v>
      </c>
      <c r="C13" s="377"/>
      <c r="D13" s="34"/>
      <c r="E13" s="34"/>
    </row>
    <row r="14" spans="1:5" ht="18.75">
      <c r="A14" s="253" t="s">
        <v>1243</v>
      </c>
      <c r="B14" s="254" t="s">
        <v>528</v>
      </c>
      <c r="C14" s="377"/>
      <c r="D14" s="34"/>
      <c r="E14" s="34"/>
    </row>
    <row r="15" spans="1:5" ht="18.75">
      <c r="A15" s="253" t="s">
        <v>1244</v>
      </c>
      <c r="B15" s="254" t="s">
        <v>1236</v>
      </c>
      <c r="C15" s="377"/>
      <c r="D15" s="34"/>
      <c r="E15" s="34"/>
    </row>
    <row r="16" spans="1:5" ht="19.5" thickBot="1">
      <c r="A16" s="264" t="s">
        <v>1245</v>
      </c>
      <c r="B16" s="265" t="s">
        <v>791</v>
      </c>
      <c r="C16" s="377"/>
      <c r="D16" s="34"/>
      <c r="E16" s="34"/>
    </row>
    <row r="17" spans="1:5" ht="19.5" thickBot="1">
      <c r="A17" s="568" t="s">
        <v>1327</v>
      </c>
      <c r="B17" s="569" t="s">
        <v>1249</v>
      </c>
      <c r="C17" s="379">
        <f>SUM(C6:C16)</f>
        <v>0</v>
      </c>
      <c r="D17" s="379">
        <f>SUM(D6:D16)</f>
        <v>0</v>
      </c>
      <c r="E17" s="379">
        <f>SUM(E6:E16)</f>
        <v>0</v>
      </c>
    </row>
    <row r="18" spans="1:5" ht="19.5" thickBot="1">
      <c r="A18" s="557" t="s">
        <v>1329</v>
      </c>
      <c r="B18" s="558" t="s">
        <v>1248</v>
      </c>
      <c r="C18" s="377"/>
      <c r="D18" s="34"/>
      <c r="E18" s="34"/>
    </row>
    <row r="19" spans="1:5" ht="19.5" thickBot="1">
      <c r="A19" s="557" t="s">
        <v>1328</v>
      </c>
      <c r="B19" s="558" t="s">
        <v>1246</v>
      </c>
      <c r="C19" s="377"/>
      <c r="D19" s="34"/>
      <c r="E19" s="34"/>
    </row>
    <row r="20" spans="1:5" ht="19.5" thickBot="1">
      <c r="A20" s="557" t="s">
        <v>1253</v>
      </c>
      <c r="B20" s="558" t="s">
        <v>19</v>
      </c>
      <c r="C20" s="377"/>
      <c r="D20" s="34"/>
      <c r="E20" s="34"/>
    </row>
    <row r="21" spans="1:5" ht="19.5" thickBot="1">
      <c r="A21" s="557" t="s">
        <v>1254</v>
      </c>
      <c r="B21" s="558" t="s">
        <v>889</v>
      </c>
      <c r="C21" s="377"/>
      <c r="D21" s="34"/>
      <c r="E21" s="34"/>
    </row>
    <row r="22" spans="1:5" ht="19.5" thickBot="1">
      <c r="A22" s="568" t="s">
        <v>1330</v>
      </c>
      <c r="B22" s="569" t="s">
        <v>1247</v>
      </c>
      <c r="C22" s="377">
        <f>SUM(C18:C21)</f>
        <v>0</v>
      </c>
      <c r="D22" s="377">
        <f>SUM(D18:D21)</f>
        <v>0</v>
      </c>
      <c r="E22" s="377">
        <f>SUM(E18:E21)</f>
        <v>0</v>
      </c>
    </row>
    <row r="23" spans="1:5" ht="27" customHeight="1" thickBot="1">
      <c r="A23" s="268" t="s">
        <v>1250</v>
      </c>
      <c r="B23" s="269" t="s">
        <v>1237</v>
      </c>
      <c r="C23" s="379">
        <f>SUM(C22,C17)</f>
        <v>0</v>
      </c>
      <c r="D23" s="379">
        <f>SUM(D22,D17)</f>
        <v>0</v>
      </c>
      <c r="E23" s="379">
        <f>SUM(E22,E17)</f>
        <v>0</v>
      </c>
    </row>
    <row r="24" spans="1:5" ht="19.5" thickBot="1">
      <c r="A24" s="270"/>
      <c r="B24" s="271"/>
      <c r="C24" s="377"/>
      <c r="D24" s="34"/>
      <c r="E24" s="34"/>
    </row>
    <row r="25" spans="1:5" ht="18.75">
      <c r="A25" s="272" t="s">
        <v>1255</v>
      </c>
      <c r="B25" s="97" t="s">
        <v>590</v>
      </c>
      <c r="C25" s="275"/>
      <c r="D25" s="44"/>
      <c r="E25" s="34"/>
    </row>
    <row r="26" spans="1:5" ht="18.75">
      <c r="A26" s="559" t="s">
        <v>1256</v>
      </c>
      <c r="B26" s="97" t="s">
        <v>1251</v>
      </c>
      <c r="C26" s="275"/>
      <c r="D26" s="44"/>
      <c r="E26" s="34"/>
    </row>
    <row r="27" spans="1:5" ht="18.75">
      <c r="A27" s="276" t="s">
        <v>1252</v>
      </c>
      <c r="B27" s="255" t="s">
        <v>4</v>
      </c>
      <c r="C27" s="378"/>
      <c r="D27" s="34"/>
      <c r="E27" s="34"/>
    </row>
    <row r="28" spans="1:5" ht="19.5" thickBot="1">
      <c r="A28" s="462" t="s">
        <v>1257</v>
      </c>
      <c r="B28" s="255" t="s">
        <v>635</v>
      </c>
      <c r="C28" s="378"/>
      <c r="D28" s="34"/>
      <c r="E28" s="34"/>
    </row>
    <row r="29" spans="1:5" ht="19.5" thickBot="1">
      <c r="A29" s="582" t="s">
        <v>1258</v>
      </c>
      <c r="B29" s="583" t="s">
        <v>69</v>
      </c>
      <c r="C29" s="378">
        <f>SUM(C25:C28)</f>
        <v>0</v>
      </c>
      <c r="D29" s="378">
        <f>SUM(D25:D28)</f>
        <v>0</v>
      </c>
      <c r="E29" s="378">
        <f>SUM(E25:E28)</f>
        <v>0</v>
      </c>
    </row>
    <row r="30" spans="1:5" ht="19.5" thickBot="1">
      <c r="A30" s="282"/>
      <c r="B30" s="283"/>
      <c r="C30" s="377"/>
      <c r="D30" s="34"/>
      <c r="E30" s="34"/>
    </row>
    <row r="31" spans="1:5" ht="18.75">
      <c r="A31" s="249" t="s">
        <v>1259</v>
      </c>
      <c r="B31" s="291" t="s">
        <v>533</v>
      </c>
      <c r="C31" s="377"/>
      <c r="D31" s="34"/>
      <c r="E31" s="34"/>
    </row>
    <row r="32" spans="1:5" ht="18.75">
      <c r="A32" s="253" t="s">
        <v>1260</v>
      </c>
      <c r="B32" s="254" t="s">
        <v>534</v>
      </c>
      <c r="C32" s="377"/>
      <c r="D32" s="41"/>
      <c r="E32" s="34"/>
    </row>
    <row r="33" spans="1:5" ht="18.75">
      <c r="A33" s="253" t="s">
        <v>1262</v>
      </c>
      <c r="B33" s="254" t="s">
        <v>1261</v>
      </c>
      <c r="C33" s="377"/>
      <c r="D33" s="41"/>
      <c r="E33" s="34"/>
    </row>
    <row r="34" spans="1:5" ht="18.75">
      <c r="A34" s="253" t="s">
        <v>1263</v>
      </c>
      <c r="B34" s="254" t="s">
        <v>124</v>
      </c>
      <c r="C34" s="377"/>
      <c r="D34" s="41"/>
      <c r="E34" s="34"/>
    </row>
    <row r="35" spans="1:5" ht="18.75">
      <c r="A35" s="253" t="s">
        <v>1264</v>
      </c>
      <c r="B35" s="254" t="s">
        <v>1265</v>
      </c>
      <c r="C35" s="570"/>
      <c r="D35" s="41"/>
      <c r="E35" s="34"/>
    </row>
    <row r="36" spans="1:5" ht="18.75">
      <c r="A36" s="253" t="s">
        <v>1335</v>
      </c>
      <c r="B36" s="562" t="s">
        <v>548</v>
      </c>
      <c r="C36" s="570">
        <f>SUM(C31:C35)</f>
        <v>0</v>
      </c>
      <c r="D36" s="570">
        <f>SUM(D31:D35)</f>
        <v>0</v>
      </c>
      <c r="E36" s="570">
        <f>SUM(E31:E35)</f>
        <v>0</v>
      </c>
    </row>
    <row r="37" spans="1:5" ht="18.75">
      <c r="A37" s="253" t="s">
        <v>1342</v>
      </c>
      <c r="B37" s="254" t="s">
        <v>1343</v>
      </c>
      <c r="C37" s="570"/>
      <c r="D37" s="570"/>
      <c r="E37" s="570"/>
    </row>
    <row r="38" spans="1:5" ht="18.75">
      <c r="A38" s="253" t="s">
        <v>1344</v>
      </c>
      <c r="B38" s="254" t="s">
        <v>1267</v>
      </c>
      <c r="C38" s="570"/>
      <c r="D38" s="34"/>
      <c r="E38" s="34"/>
    </row>
    <row r="39" spans="1:5" ht="18.75">
      <c r="A39" s="253" t="s">
        <v>1345</v>
      </c>
      <c r="B39" s="254" t="s">
        <v>88</v>
      </c>
      <c r="C39" s="570"/>
      <c r="D39" s="34"/>
      <c r="E39" s="34"/>
    </row>
    <row r="40" spans="1:5" ht="18.75">
      <c r="A40" s="253" t="s">
        <v>1346</v>
      </c>
      <c r="B40" s="254" t="s">
        <v>1268</v>
      </c>
      <c r="C40" s="377"/>
      <c r="D40" s="34"/>
      <c r="E40" s="34"/>
    </row>
    <row r="41" spans="1:5" ht="19.5" thickBot="1">
      <c r="A41" s="288" t="s">
        <v>1347</v>
      </c>
      <c r="B41" s="289" t="s">
        <v>1269</v>
      </c>
      <c r="C41" s="377"/>
      <c r="D41" s="34"/>
      <c r="E41" s="34"/>
    </row>
    <row r="42" spans="1:5" ht="17.25" customHeight="1" thickBot="1">
      <c r="A42" s="268" t="s">
        <v>1266</v>
      </c>
      <c r="B42" s="571" t="s">
        <v>1270</v>
      </c>
      <c r="C42" s="377">
        <f>SUM(C37:C41)</f>
        <v>0</v>
      </c>
      <c r="D42" s="377">
        <f>SUM(D38:D41)</f>
        <v>0</v>
      </c>
      <c r="E42" s="377">
        <f>SUM(E38:E41)</f>
        <v>0</v>
      </c>
    </row>
    <row r="43" spans="1:5" ht="22.5" customHeight="1" thickBot="1">
      <c r="A43" s="572" t="s">
        <v>1300</v>
      </c>
      <c r="B43" s="573" t="s">
        <v>595</v>
      </c>
      <c r="C43" s="574">
        <f>SUM(C42,C36)</f>
        <v>0</v>
      </c>
      <c r="D43" s="574">
        <f>SUM(D42,D36)</f>
        <v>0</v>
      </c>
      <c r="E43" s="574">
        <f>SUM(E42,E36)</f>
        <v>0</v>
      </c>
    </row>
    <row r="44" spans="1:5" ht="18.75">
      <c r="A44" s="249" t="s">
        <v>1271</v>
      </c>
      <c r="B44" s="291" t="s">
        <v>1348</v>
      </c>
      <c r="C44" s="377"/>
      <c r="D44" s="34"/>
      <c r="E44" s="34"/>
    </row>
    <row r="45" spans="1:5" ht="18.75">
      <c r="A45" s="494" t="s">
        <v>1350</v>
      </c>
      <c r="B45" s="590" t="s">
        <v>1351</v>
      </c>
      <c r="C45" s="377"/>
      <c r="D45" s="34"/>
      <c r="E45" s="34"/>
    </row>
    <row r="46" spans="1:5" ht="18.75">
      <c r="A46" s="253" t="s">
        <v>1272</v>
      </c>
      <c r="B46" s="254" t="s">
        <v>1349</v>
      </c>
      <c r="C46" s="295"/>
      <c r="D46" s="566"/>
      <c r="E46" s="34"/>
    </row>
    <row r="47" spans="1:5" ht="18.75">
      <c r="A47" s="575" t="s">
        <v>1301</v>
      </c>
      <c r="B47" s="576" t="s">
        <v>1366</v>
      </c>
      <c r="C47" s="577">
        <f>SUM(C44:C46)</f>
        <v>0</v>
      </c>
      <c r="D47" s="577">
        <f>SUM(D44:D46)</f>
        <v>0</v>
      </c>
      <c r="E47" s="577">
        <f>SUM(E44:E46)</f>
        <v>0</v>
      </c>
    </row>
    <row r="48" spans="1:5" ht="18.75">
      <c r="A48" s="253" t="s">
        <v>1275</v>
      </c>
      <c r="B48" s="254" t="s">
        <v>544</v>
      </c>
      <c r="C48" s="295"/>
      <c r="D48" s="566"/>
      <c r="E48" s="34"/>
    </row>
    <row r="49" spans="1:5" ht="18.75">
      <c r="A49" s="253" t="s">
        <v>1274</v>
      </c>
      <c r="B49" s="254" t="s">
        <v>543</v>
      </c>
      <c r="C49" s="295"/>
      <c r="D49" s="34"/>
      <c r="E49" s="34"/>
    </row>
    <row r="50" spans="1:5" ht="18.75">
      <c r="A50" s="253" t="s">
        <v>1276</v>
      </c>
      <c r="B50" s="254" t="s">
        <v>503</v>
      </c>
      <c r="C50" s="295"/>
      <c r="D50" s="34"/>
      <c r="E50" s="34"/>
    </row>
    <row r="51" spans="1:5" ht="18.75">
      <c r="A51" s="575" t="s">
        <v>1273</v>
      </c>
      <c r="B51" s="576" t="s">
        <v>1277</v>
      </c>
      <c r="C51" s="577">
        <f>SUM(C48:C50)</f>
        <v>0</v>
      </c>
      <c r="D51" s="577">
        <f>SUM(D48:D50)</f>
        <v>0</v>
      </c>
      <c r="E51" s="577">
        <f>SUM(E48:E50)</f>
        <v>0</v>
      </c>
    </row>
    <row r="52" spans="1:5" ht="18.75">
      <c r="A52" s="253" t="s">
        <v>1332</v>
      </c>
      <c r="B52" s="254" t="s">
        <v>1278</v>
      </c>
      <c r="C52" s="295"/>
      <c r="D52" s="34"/>
      <c r="E52" s="34"/>
    </row>
    <row r="53" spans="1:5" ht="18.75">
      <c r="A53" s="253" t="s">
        <v>1280</v>
      </c>
      <c r="B53" s="254" t="s">
        <v>26</v>
      </c>
      <c r="C53" s="295"/>
      <c r="D53" s="41"/>
      <c r="E53" s="34"/>
    </row>
    <row r="54" spans="1:5" ht="18.75">
      <c r="A54" s="253" t="s">
        <v>1281</v>
      </c>
      <c r="B54" s="254" t="s">
        <v>1352</v>
      </c>
      <c r="C54" s="377"/>
      <c r="D54" s="34"/>
      <c r="E54" s="34"/>
    </row>
    <row r="55" spans="1:5" ht="18.75">
      <c r="A55" s="575" t="s">
        <v>1283</v>
      </c>
      <c r="B55" s="576" t="s">
        <v>1282</v>
      </c>
      <c r="C55" s="574">
        <f>SUM(C53:C54)</f>
        <v>0</v>
      </c>
      <c r="D55" s="574">
        <f>SUM(D53:D54)</f>
        <v>0</v>
      </c>
      <c r="E55" s="574">
        <f>SUM(E53:E54)</f>
        <v>0</v>
      </c>
    </row>
    <row r="56" spans="1:5" ht="18.75">
      <c r="A56" s="575" t="s">
        <v>1284</v>
      </c>
      <c r="B56" s="588" t="s">
        <v>1333</v>
      </c>
      <c r="C56" s="589"/>
      <c r="D56" s="589"/>
      <c r="E56" s="589"/>
    </row>
    <row r="57" spans="1:5" ht="18.75">
      <c r="A57" s="288"/>
      <c r="B57" s="554" t="s">
        <v>943</v>
      </c>
      <c r="C57" s="554"/>
      <c r="D57" s="554"/>
      <c r="E57" s="554"/>
    </row>
    <row r="58" spans="1:5" ht="18.75">
      <c r="A58" s="288" t="s">
        <v>1353</v>
      </c>
      <c r="B58" s="554" t="s">
        <v>547</v>
      </c>
      <c r="C58" s="554">
        <v>1200</v>
      </c>
      <c r="D58" s="554">
        <v>0</v>
      </c>
      <c r="E58" s="554">
        <v>1200</v>
      </c>
    </row>
    <row r="59" spans="1:5" ht="18.75">
      <c r="A59" s="288" t="s">
        <v>1354</v>
      </c>
      <c r="B59" s="554" t="s">
        <v>1355</v>
      </c>
      <c r="C59" s="554"/>
      <c r="D59" s="554"/>
      <c r="E59" s="554"/>
    </row>
    <row r="60" spans="1:5" ht="27" customHeight="1">
      <c r="A60" s="561" t="s">
        <v>1285</v>
      </c>
      <c r="B60" s="552" t="s">
        <v>945</v>
      </c>
      <c r="C60" s="591">
        <f>SUM(C58:C59)</f>
        <v>1200</v>
      </c>
      <c r="D60" s="591">
        <f>SUM(D58:D59)</f>
        <v>0</v>
      </c>
      <c r="E60" s="591">
        <f>SUM(E58:E59)</f>
        <v>1200</v>
      </c>
    </row>
    <row r="61" spans="1:5" ht="23.25" customHeight="1">
      <c r="A61" s="462" t="s">
        <v>1356</v>
      </c>
      <c r="B61" s="553" t="s">
        <v>1362</v>
      </c>
      <c r="C61" s="591"/>
      <c r="D61" s="591"/>
      <c r="E61" s="591"/>
    </row>
    <row r="62" spans="1:5" ht="23.25" customHeight="1">
      <c r="A62" s="462" t="s">
        <v>1357</v>
      </c>
      <c r="B62" s="553" t="s">
        <v>1358</v>
      </c>
      <c r="C62" s="591"/>
      <c r="D62" s="591"/>
      <c r="E62" s="591"/>
    </row>
    <row r="63" spans="1:5" ht="23.25" customHeight="1">
      <c r="A63" s="462" t="s">
        <v>1359</v>
      </c>
      <c r="B63" s="553" t="s">
        <v>9</v>
      </c>
      <c r="C63" s="591"/>
      <c r="D63" s="591"/>
      <c r="E63" s="591"/>
    </row>
    <row r="64" spans="1:6" ht="23.25" customHeight="1" thickBot="1">
      <c r="A64" s="462" t="s">
        <v>1360</v>
      </c>
      <c r="B64" s="553" t="s">
        <v>1361</v>
      </c>
      <c r="C64" s="591"/>
      <c r="D64" s="591"/>
      <c r="E64" s="591"/>
      <c r="F64" s="21" t="s">
        <v>1368</v>
      </c>
    </row>
    <row r="65" spans="1:5" ht="17.25" customHeight="1" thickBot="1">
      <c r="A65" s="298" t="s">
        <v>1286</v>
      </c>
      <c r="B65" s="552" t="s">
        <v>948</v>
      </c>
      <c r="C65" s="591">
        <f>SUM(C61:C64)</f>
        <v>0</v>
      </c>
      <c r="D65" s="591">
        <f>SUM(D61:D64)</f>
        <v>0</v>
      </c>
      <c r="E65" s="591">
        <f>SUM(E61:E64)</f>
        <v>0</v>
      </c>
    </row>
    <row r="66" spans="1:5" ht="25.5" customHeight="1">
      <c r="A66" s="578" t="s">
        <v>1279</v>
      </c>
      <c r="B66" s="579" t="s">
        <v>1287</v>
      </c>
      <c r="C66" s="579">
        <f>SUM(C65+C60+C56+C55+C52)</f>
        <v>1200</v>
      </c>
      <c r="D66" s="579">
        <f>SUM(D65+D60+D56+D55+D52)</f>
        <v>0</v>
      </c>
      <c r="E66" s="579">
        <f>SUM(E65+E60+E56+E55+E52)</f>
        <v>1200</v>
      </c>
    </row>
    <row r="67" spans="1:5" ht="18.75">
      <c r="A67" s="253" t="s">
        <v>1288</v>
      </c>
      <c r="B67" s="553" t="s">
        <v>952</v>
      </c>
      <c r="C67" s="553"/>
      <c r="D67" s="553"/>
      <c r="E67" s="553"/>
    </row>
    <row r="68" spans="1:5" ht="18.75">
      <c r="A68" s="253" t="s">
        <v>1289</v>
      </c>
      <c r="B68" s="553" t="s">
        <v>954</v>
      </c>
      <c r="C68" s="553"/>
      <c r="D68" s="553"/>
      <c r="E68" s="553"/>
    </row>
    <row r="69" spans="1:5" ht="24" customHeight="1">
      <c r="A69" s="575" t="s">
        <v>1291</v>
      </c>
      <c r="B69" s="579" t="s">
        <v>1290</v>
      </c>
      <c r="C69" s="579">
        <f>SUM(C67:C68)</f>
        <v>0</v>
      </c>
      <c r="D69" s="579">
        <f>SUM(D67:D68)</f>
        <v>0</v>
      </c>
      <c r="E69" s="579">
        <f>SUM(E67:E68)</f>
        <v>0</v>
      </c>
    </row>
    <row r="70" spans="1:5" ht="26.25" customHeight="1" thickBot="1">
      <c r="A70" s="561" t="s">
        <v>1294</v>
      </c>
      <c r="B70" s="552" t="s">
        <v>958</v>
      </c>
      <c r="C70" s="552"/>
      <c r="D70" s="552"/>
      <c r="E70" s="552"/>
    </row>
    <row r="71" spans="1:5" ht="27" customHeight="1" thickBot="1">
      <c r="A71" s="268" t="s">
        <v>1295</v>
      </c>
      <c r="B71" s="552" t="s">
        <v>960</v>
      </c>
      <c r="C71" s="552"/>
      <c r="D71" s="552"/>
      <c r="E71" s="552"/>
    </row>
    <row r="72" spans="1:5" ht="19.5" thickBot="1">
      <c r="A72" s="210" t="s">
        <v>1296</v>
      </c>
      <c r="B72" s="552" t="s">
        <v>1293</v>
      </c>
      <c r="C72" s="552"/>
      <c r="D72" s="552"/>
      <c r="E72" s="552"/>
    </row>
    <row r="73" spans="1:5" ht="24.75" customHeight="1">
      <c r="A73" s="593" t="s">
        <v>1298</v>
      </c>
      <c r="B73" s="594" t="s">
        <v>1363</v>
      </c>
      <c r="C73" s="594"/>
      <c r="D73" s="552"/>
      <c r="E73" s="552"/>
    </row>
    <row r="74" spans="1:6" ht="24.75" customHeight="1">
      <c r="A74" s="592" t="s">
        <v>1364</v>
      </c>
      <c r="B74" s="563" t="s">
        <v>1365</v>
      </c>
      <c r="C74" s="563"/>
      <c r="D74" s="553"/>
      <c r="E74" s="553"/>
      <c r="F74" s="21" t="s">
        <v>1369</v>
      </c>
    </row>
    <row r="75" spans="1:5" ht="24.75" customHeight="1">
      <c r="A75" s="592" t="s">
        <v>1370</v>
      </c>
      <c r="B75" s="563" t="s">
        <v>1367</v>
      </c>
      <c r="C75" s="563"/>
      <c r="D75" s="553"/>
      <c r="E75" s="553"/>
    </row>
    <row r="76" spans="1:5" ht="18.75">
      <c r="A76" s="98" t="s">
        <v>1297</v>
      </c>
      <c r="B76" s="552" t="s">
        <v>970</v>
      </c>
      <c r="C76" s="552">
        <f>SUM(C74:C75)</f>
        <v>0</v>
      </c>
      <c r="D76" s="552">
        <f>SUM(D74:D75)</f>
        <v>0</v>
      </c>
      <c r="E76" s="552">
        <f>SUM(E74:E75)</f>
        <v>0</v>
      </c>
    </row>
    <row r="77" spans="1:5" ht="24.75" customHeight="1">
      <c r="A77" s="580" t="s">
        <v>1292</v>
      </c>
      <c r="B77" s="579" t="s">
        <v>1334</v>
      </c>
      <c r="C77" s="579">
        <f>C76+C73+C72+C71+C70</f>
        <v>0</v>
      </c>
      <c r="D77" s="579">
        <f>D76+D73+D72+D71+D70</f>
        <v>0</v>
      </c>
      <c r="E77" s="579">
        <f>E76+E73+E72+E71+E70</f>
        <v>0</v>
      </c>
    </row>
    <row r="78" spans="1:10" ht="24.75" customHeight="1">
      <c r="A78" s="587" t="s">
        <v>1299</v>
      </c>
      <c r="B78" s="585" t="s">
        <v>70</v>
      </c>
      <c r="C78" s="579">
        <f>SUM(C77+C69+C66+C47+C43)</f>
        <v>1200</v>
      </c>
      <c r="D78" s="579">
        <f>SUM(D77+D69+D66+D47+D43)</f>
        <v>0</v>
      </c>
      <c r="E78" s="579">
        <f>SUM(E77+E69+E66+E47+E43)</f>
        <v>1200</v>
      </c>
      <c r="F78" s="560"/>
      <c r="G78" s="560"/>
      <c r="H78" s="560"/>
      <c r="I78" s="560"/>
      <c r="J78" s="560"/>
    </row>
    <row r="79" spans="1:10" ht="24.75" customHeight="1">
      <c r="A79" s="98" t="s">
        <v>1307</v>
      </c>
      <c r="B79" s="553" t="s">
        <v>1302</v>
      </c>
      <c r="C79" s="552"/>
      <c r="D79" s="552"/>
      <c r="E79" s="552"/>
      <c r="F79" s="560"/>
      <c r="G79" s="560"/>
      <c r="H79" s="560"/>
      <c r="I79" s="560"/>
      <c r="J79" s="560"/>
    </row>
    <row r="80" spans="1:10" ht="24.75" customHeight="1">
      <c r="A80" s="98" t="s">
        <v>1306</v>
      </c>
      <c r="B80" s="553" t="s">
        <v>1308</v>
      </c>
      <c r="C80" s="552"/>
      <c r="D80" s="552"/>
      <c r="E80" s="552"/>
      <c r="F80" s="560"/>
      <c r="G80" s="560"/>
      <c r="H80" s="560"/>
      <c r="I80" s="560"/>
      <c r="J80" s="560"/>
    </row>
    <row r="81" spans="1:10" ht="24.75" customHeight="1">
      <c r="A81" s="98"/>
      <c r="B81" s="97" t="s">
        <v>1304</v>
      </c>
      <c r="C81" s="552"/>
      <c r="D81" s="552"/>
      <c r="E81" s="552"/>
      <c r="F81" s="560"/>
      <c r="G81" s="560"/>
      <c r="H81" s="560"/>
      <c r="I81" s="560"/>
      <c r="J81" s="560"/>
    </row>
    <row r="82" spans="1:5" ht="18.75">
      <c r="A82" s="98"/>
      <c r="B82" s="97" t="s">
        <v>1303</v>
      </c>
      <c r="C82" s="377"/>
      <c r="D82" s="34"/>
      <c r="E82" s="34"/>
    </row>
    <row r="83" spans="1:5" ht="18.75">
      <c r="A83" s="98"/>
      <c r="B83" s="567" t="s">
        <v>1305</v>
      </c>
      <c r="C83" s="377"/>
      <c r="D83" s="34"/>
      <c r="E83" s="34"/>
    </row>
    <row r="84" spans="1:5" ht="25.5">
      <c r="A84" s="580" t="s">
        <v>1341</v>
      </c>
      <c r="B84" s="579" t="s">
        <v>1337</v>
      </c>
      <c r="C84" s="377">
        <f>SUM(C80:C83)</f>
        <v>0</v>
      </c>
      <c r="D84" s="377">
        <f>SUM(D80:D83)</f>
        <v>0</v>
      </c>
      <c r="E84" s="377">
        <f>SUM(E80:E83)</f>
        <v>0</v>
      </c>
    </row>
    <row r="85" spans="1:5" s="564" customFormat="1" ht="18.75">
      <c r="A85" s="587" t="s">
        <v>1336</v>
      </c>
      <c r="B85" s="587" t="s">
        <v>1340</v>
      </c>
      <c r="C85" s="574">
        <f>SUM(C79+C84)</f>
        <v>0</v>
      </c>
      <c r="D85" s="574">
        <f>SUM(D79+D84)</f>
        <v>0</v>
      </c>
      <c r="E85" s="574">
        <f>SUM(E79+E84)</f>
        <v>0</v>
      </c>
    </row>
    <row r="86" spans="1:5" ht="18.75">
      <c r="A86" s="97" t="s">
        <v>1309</v>
      </c>
      <c r="B86" s="553" t="s">
        <v>1113</v>
      </c>
      <c r="C86" s="553"/>
      <c r="D86" s="553"/>
      <c r="E86" s="553"/>
    </row>
    <row r="87" spans="1:5" s="382" customFormat="1" ht="15">
      <c r="A87" s="97" t="s">
        <v>1310</v>
      </c>
      <c r="B87" s="553" t="s">
        <v>1371</v>
      </c>
      <c r="C87" s="553"/>
      <c r="D87" s="553"/>
      <c r="E87" s="553"/>
    </row>
    <row r="88" spans="1:5" ht="18.75">
      <c r="A88" s="172" t="s">
        <v>1311</v>
      </c>
      <c r="B88" s="553" t="s">
        <v>1117</v>
      </c>
      <c r="C88" s="553"/>
      <c r="D88" s="553"/>
      <c r="E88" s="553"/>
    </row>
    <row r="89" spans="1:5" ht="24" customHeight="1">
      <c r="A89" s="172" t="s">
        <v>1312</v>
      </c>
      <c r="B89" s="553" t="s">
        <v>1118</v>
      </c>
      <c r="C89" s="553"/>
      <c r="D89" s="553"/>
      <c r="E89" s="553"/>
    </row>
    <row r="90" spans="1:5" ht="26.25" customHeight="1">
      <c r="A90" s="172" t="s">
        <v>1313</v>
      </c>
      <c r="B90" s="553" t="s">
        <v>1120</v>
      </c>
      <c r="C90" s="553"/>
      <c r="D90" s="553"/>
      <c r="E90" s="553"/>
    </row>
    <row r="91" spans="1:5" ht="25.5" customHeight="1">
      <c r="A91" s="172" t="s">
        <v>1314</v>
      </c>
      <c r="B91" s="553" t="s">
        <v>1126</v>
      </c>
      <c r="C91" s="553"/>
      <c r="D91" s="553"/>
      <c r="E91" s="553"/>
    </row>
    <row r="92" spans="1:5" ht="18.75">
      <c r="A92" s="584" t="s">
        <v>1315</v>
      </c>
      <c r="B92" s="585" t="s">
        <v>1339</v>
      </c>
      <c r="C92" s="552">
        <f>SUM(C86:C91)</f>
        <v>0</v>
      </c>
      <c r="D92" s="552">
        <f>SUM(D86:D91)</f>
        <v>0</v>
      </c>
      <c r="E92" s="552">
        <f>SUM(E86:E91)</f>
        <v>0</v>
      </c>
    </row>
    <row r="93" spans="1:5" ht="18.75">
      <c r="A93" s="172" t="s">
        <v>1316</v>
      </c>
      <c r="B93" s="553" t="s">
        <v>1130</v>
      </c>
      <c r="C93" s="553"/>
      <c r="D93" s="553"/>
      <c r="E93" s="553"/>
    </row>
    <row r="94" spans="1:5" ht="18.75">
      <c r="A94" s="172" t="s">
        <v>1317</v>
      </c>
      <c r="B94" s="553" t="s">
        <v>1132</v>
      </c>
      <c r="C94" s="553"/>
      <c r="D94" s="553"/>
      <c r="E94" s="553"/>
    </row>
    <row r="95" spans="1:5" ht="18.75">
      <c r="A95" s="172" t="s">
        <v>1318</v>
      </c>
      <c r="B95" s="553" t="s">
        <v>1134</v>
      </c>
      <c r="C95" s="553"/>
      <c r="D95" s="553"/>
      <c r="E95" s="553"/>
    </row>
    <row r="96" spans="1:5" ht="24" customHeight="1">
      <c r="A96" s="172" t="s">
        <v>1319</v>
      </c>
      <c r="B96" s="553" t="s">
        <v>1136</v>
      </c>
      <c r="C96" s="553"/>
      <c r="D96" s="553"/>
      <c r="E96" s="553"/>
    </row>
    <row r="97" spans="1:5" ht="18.75">
      <c r="A97" s="584" t="s">
        <v>1320</v>
      </c>
      <c r="B97" s="585" t="s">
        <v>1338</v>
      </c>
      <c r="C97" s="552">
        <f>SUM(C93:C96)</f>
        <v>0</v>
      </c>
      <c r="D97" s="552">
        <f>SUM(D93:D96)</f>
        <v>0</v>
      </c>
      <c r="E97" s="552">
        <f>SUM(E93:E96)</f>
        <v>0</v>
      </c>
    </row>
    <row r="98" spans="1:5" ht="25.5" customHeight="1">
      <c r="A98" s="172" t="s">
        <v>1323</v>
      </c>
      <c r="B98" s="555" t="s">
        <v>1325</v>
      </c>
      <c r="C98" s="555"/>
      <c r="D98" s="555"/>
      <c r="E98" s="555"/>
    </row>
    <row r="99" spans="1:5" ht="27" customHeight="1">
      <c r="A99" s="457" t="s">
        <v>1322</v>
      </c>
      <c r="B99" s="553" t="s">
        <v>1321</v>
      </c>
      <c r="C99" s="553"/>
      <c r="D99" s="553"/>
      <c r="E99" s="553"/>
    </row>
    <row r="100" spans="1:5" ht="18.75">
      <c r="A100" s="584" t="s">
        <v>1326</v>
      </c>
      <c r="B100" s="586" t="s">
        <v>1324</v>
      </c>
      <c r="C100" s="295">
        <f>SUM(C98:C99)</f>
        <v>0</v>
      </c>
      <c r="D100" s="295">
        <f>SUM(D98:D99)</f>
        <v>0</v>
      </c>
      <c r="E100" s="295">
        <f>SUM(E98:E99)</f>
        <v>0</v>
      </c>
    </row>
    <row r="101" spans="1:5" ht="18.75">
      <c r="A101" s="34"/>
      <c r="B101" s="36" t="s">
        <v>118</v>
      </c>
      <c r="C101" s="581">
        <f>SUM(C100+C97+C92+C85+C78+C29+C23)</f>
        <v>1200</v>
      </c>
      <c r="D101" s="581">
        <f>SUM(D100+D97+D92+D85+D78+D29+D23)</f>
        <v>0</v>
      </c>
      <c r="E101" s="581">
        <f>SUM(E100+E97+E92+E85+E78+E29+E23)</f>
        <v>1200</v>
      </c>
    </row>
  </sheetData>
  <sheetProtection/>
  <mergeCells count="1">
    <mergeCell ref="A2:E2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00B050"/>
  </sheetPr>
  <dimension ref="A3:H61"/>
  <sheetViews>
    <sheetView view="pageBreakPreview" zoomScale="60" zoomScalePageLayoutView="0" workbookViewId="0" topLeftCell="A1">
      <selection activeCell="H27" sqref="H27"/>
    </sheetView>
  </sheetViews>
  <sheetFormatPr defaultColWidth="8.66015625" defaultRowHeight="18"/>
  <cols>
    <col min="1" max="1" width="9" style="11" bestFit="1" customWidth="1"/>
    <col min="2" max="2" width="40.58203125" style="11" customWidth="1"/>
    <col min="3" max="3" width="7.58203125" style="11" customWidth="1"/>
    <col min="4" max="4" width="8.08203125" style="12" customWidth="1"/>
    <col min="5" max="5" width="7.91015625" style="11" customWidth="1"/>
    <col min="6" max="7" width="8.91015625" style="11" customWidth="1"/>
    <col min="8" max="8" width="28" style="11" customWidth="1"/>
    <col min="9" max="16384" width="8.91015625" style="11" customWidth="1"/>
  </cols>
  <sheetData>
    <row r="3" spans="1:2" ht="15.75">
      <c r="A3" s="12" t="s">
        <v>194</v>
      </c>
      <c r="B3" s="12" t="s">
        <v>193</v>
      </c>
    </row>
    <row r="4" spans="1:7" ht="30.75">
      <c r="A4" s="25"/>
      <c r="B4" s="25"/>
      <c r="C4" s="130" t="s">
        <v>262</v>
      </c>
      <c r="D4" s="343" t="s">
        <v>281</v>
      </c>
      <c r="E4" s="342" t="s">
        <v>614</v>
      </c>
      <c r="F4" s="25" t="s">
        <v>626</v>
      </c>
      <c r="G4" s="25" t="s">
        <v>616</v>
      </c>
    </row>
    <row r="5" spans="1:7" ht="15.75">
      <c r="A5" s="25"/>
      <c r="B5" s="25"/>
      <c r="C5" s="130"/>
      <c r="D5" s="344"/>
      <c r="E5" s="342"/>
      <c r="F5" s="25"/>
      <c r="G5" s="25"/>
    </row>
    <row r="6" spans="1:8" ht="15.75">
      <c r="A6" s="25">
        <v>13152</v>
      </c>
      <c r="B6" s="25" t="s">
        <v>270</v>
      </c>
      <c r="C6" s="26">
        <v>114</v>
      </c>
      <c r="D6" s="422">
        <v>158</v>
      </c>
      <c r="E6" s="27"/>
      <c r="F6" s="25"/>
      <c r="G6" s="25">
        <v>150</v>
      </c>
      <c r="H6" s="11" t="s">
        <v>766</v>
      </c>
    </row>
    <row r="7" spans="1:7" ht="15.75">
      <c r="A7" s="25"/>
      <c r="B7" s="25" t="s">
        <v>271</v>
      </c>
      <c r="C7" s="26">
        <v>31</v>
      </c>
      <c r="D7" s="422">
        <f>D6*27%-1</f>
        <v>41.660000000000004</v>
      </c>
      <c r="E7" s="27"/>
      <c r="F7" s="25"/>
      <c r="G7" s="25">
        <v>41</v>
      </c>
    </row>
    <row r="8" spans="1:7" ht="15.75">
      <c r="A8" s="25"/>
      <c r="B8" s="25" t="s">
        <v>272</v>
      </c>
      <c r="C8" s="26">
        <f>SUM(C6:C7)</f>
        <v>145</v>
      </c>
      <c r="D8" s="26">
        <f>SUM(D6:D7)</f>
        <v>199.66</v>
      </c>
      <c r="E8" s="27">
        <f>SUM(E6:E7)</f>
        <v>0</v>
      </c>
      <c r="F8" s="25"/>
      <c r="G8" s="25">
        <f>SUM(G6:G7)</f>
        <v>191</v>
      </c>
    </row>
    <row r="9" spans="1:7" ht="15.75">
      <c r="A9" s="25"/>
      <c r="B9" s="25"/>
      <c r="C9" s="26"/>
      <c r="D9" s="26"/>
      <c r="E9" s="27"/>
      <c r="F9" s="25"/>
      <c r="G9" s="25"/>
    </row>
    <row r="10" spans="1:7" ht="15.75">
      <c r="A10" s="25">
        <v>511112</v>
      </c>
      <c r="B10" s="25" t="s">
        <v>66</v>
      </c>
      <c r="C10" s="26">
        <v>2266</v>
      </c>
      <c r="D10" s="26"/>
      <c r="E10" s="27">
        <f>'[3]GEVSZ'!$P$17/1000-151</f>
        <v>1912.2800000000002</v>
      </c>
      <c r="F10" s="25"/>
      <c r="G10" s="25">
        <v>1464</v>
      </c>
    </row>
    <row r="11" spans="1:7" ht="15.75">
      <c r="A11" s="25"/>
      <c r="B11" s="25" t="s">
        <v>300</v>
      </c>
      <c r="C11" s="26"/>
      <c r="D11" s="26">
        <v>1764</v>
      </c>
      <c r="E11" s="27"/>
      <c r="F11" s="25"/>
      <c r="G11" s="25"/>
    </row>
    <row r="12" spans="1:7" ht="15.75">
      <c r="A12" s="25">
        <v>511142</v>
      </c>
      <c r="B12" s="25" t="s">
        <v>75</v>
      </c>
      <c r="C12" s="26">
        <v>165</v>
      </c>
      <c r="D12" s="26">
        <v>162</v>
      </c>
      <c r="E12" s="27">
        <v>151</v>
      </c>
      <c r="F12" s="25"/>
      <c r="G12" s="25">
        <v>186</v>
      </c>
    </row>
    <row r="13" spans="1:7" ht="15.75">
      <c r="A13" s="25">
        <v>513192</v>
      </c>
      <c r="B13" s="25" t="s">
        <v>759</v>
      </c>
      <c r="C13" s="26">
        <v>5</v>
      </c>
      <c r="D13" s="26">
        <v>5</v>
      </c>
      <c r="E13" s="27"/>
      <c r="F13" s="25"/>
      <c r="G13" s="25">
        <v>186</v>
      </c>
    </row>
    <row r="14" spans="1:7" ht="15.75">
      <c r="A14" s="25"/>
      <c r="B14" s="25" t="s">
        <v>254</v>
      </c>
      <c r="C14" s="26">
        <v>10</v>
      </c>
      <c r="D14" s="26">
        <v>10</v>
      </c>
      <c r="E14" s="27">
        <v>10</v>
      </c>
      <c r="F14" s="25"/>
      <c r="G14" s="25">
        <v>10</v>
      </c>
    </row>
    <row r="15" spans="1:7" ht="15.75">
      <c r="A15" s="25"/>
      <c r="B15" s="25" t="s">
        <v>220</v>
      </c>
      <c r="C15" s="26"/>
      <c r="D15" s="26"/>
      <c r="E15" s="27"/>
      <c r="F15" s="25"/>
      <c r="G15" s="25">
        <v>29</v>
      </c>
    </row>
    <row r="16" spans="1:7" ht="15.75">
      <c r="A16" s="25">
        <v>513122</v>
      </c>
      <c r="B16" s="25" t="s">
        <v>48</v>
      </c>
      <c r="C16" s="26"/>
      <c r="D16" s="26"/>
      <c r="E16" s="27">
        <v>482</v>
      </c>
      <c r="F16" s="25"/>
      <c r="G16" s="25"/>
    </row>
    <row r="17" spans="1:7" ht="15.75">
      <c r="A17" s="25">
        <v>5131321</v>
      </c>
      <c r="B17" s="25" t="s">
        <v>30</v>
      </c>
      <c r="C17" s="26">
        <v>5</v>
      </c>
      <c r="D17" s="26">
        <v>5</v>
      </c>
      <c r="E17" s="27"/>
      <c r="F17" s="25"/>
      <c r="G17" s="25"/>
    </row>
    <row r="18" spans="1:7" ht="15.75">
      <c r="A18" s="25">
        <v>514132</v>
      </c>
      <c r="B18" s="25" t="s">
        <v>1</v>
      </c>
      <c r="C18" s="26">
        <v>120</v>
      </c>
      <c r="D18" s="26">
        <v>120</v>
      </c>
      <c r="E18" s="27">
        <v>160</v>
      </c>
      <c r="F18" s="25">
        <v>140</v>
      </c>
      <c r="G18" s="25">
        <v>160</v>
      </c>
    </row>
    <row r="19" spans="1:7" ht="15.75">
      <c r="A19" s="25">
        <v>514142</v>
      </c>
      <c r="B19" s="25" t="s">
        <v>182</v>
      </c>
      <c r="C19" s="26">
        <v>120</v>
      </c>
      <c r="D19" s="26">
        <v>120</v>
      </c>
      <c r="E19" s="27">
        <v>60</v>
      </c>
      <c r="F19" s="25"/>
      <c r="G19" s="25">
        <v>150</v>
      </c>
    </row>
    <row r="20" spans="1:7" ht="15.75">
      <c r="A20" s="25"/>
      <c r="B20" s="25" t="s">
        <v>792</v>
      </c>
      <c r="C20" s="26"/>
      <c r="D20" s="26"/>
      <c r="E20" s="27"/>
      <c r="F20" s="25"/>
      <c r="G20" s="25">
        <v>153</v>
      </c>
    </row>
    <row r="21" spans="1:7" ht="15.75">
      <c r="A21" s="28">
        <v>51</v>
      </c>
      <c r="B21" s="25" t="s">
        <v>76</v>
      </c>
      <c r="C21" s="26">
        <f>SUM(C10:C20)</f>
        <v>2691</v>
      </c>
      <c r="D21" s="26">
        <f>SUM(D10:D20)</f>
        <v>2186</v>
      </c>
      <c r="E21" s="27">
        <f>SUM(E10:E20)</f>
        <v>2775.28</v>
      </c>
      <c r="F21" s="27">
        <f>SUM(F10:F20)</f>
        <v>140</v>
      </c>
      <c r="G21" s="27">
        <f>SUM(G10:G20)</f>
        <v>2338</v>
      </c>
    </row>
    <row r="22" spans="1:7" ht="15.75">
      <c r="A22" s="25"/>
      <c r="B22" s="25"/>
      <c r="C22" s="26"/>
      <c r="D22" s="26"/>
      <c r="E22" s="27"/>
      <c r="F22" s="25"/>
      <c r="G22" s="25"/>
    </row>
    <row r="23" spans="1:7" ht="15.75">
      <c r="A23" s="25">
        <v>52211</v>
      </c>
      <c r="B23" s="25" t="s">
        <v>129</v>
      </c>
      <c r="C23" s="26">
        <v>253</v>
      </c>
      <c r="D23" s="26"/>
      <c r="E23" s="27">
        <v>250</v>
      </c>
      <c r="F23" s="25"/>
      <c r="G23" s="25">
        <v>122</v>
      </c>
    </row>
    <row r="24" spans="1:7" s="12" customFormat="1" ht="15.75">
      <c r="A24" s="28"/>
      <c r="B24" s="28" t="s">
        <v>149</v>
      </c>
      <c r="C24" s="27">
        <f>SUM(C21:C23)</f>
        <v>2944</v>
      </c>
      <c r="D24" s="27">
        <f>SUM(D21:D23)</f>
        <v>2186</v>
      </c>
      <c r="E24" s="27">
        <f>SUM(E21:E23)</f>
        <v>3025.28</v>
      </c>
      <c r="F24" s="27">
        <f>SUM(F21:F23)</f>
        <v>140</v>
      </c>
      <c r="G24" s="27">
        <f>SUM(G21:G23)</f>
        <v>2460</v>
      </c>
    </row>
    <row r="25" spans="1:7" ht="15.75">
      <c r="A25" s="25"/>
      <c r="B25" s="26">
        <f>(C10+C12+C13+C15+C16+C20+C23)</f>
        <v>2689</v>
      </c>
      <c r="C25" s="26"/>
      <c r="D25" s="26"/>
      <c r="E25" s="27"/>
      <c r="F25" s="25"/>
      <c r="G25" s="25"/>
    </row>
    <row r="26" spans="1:8" ht="15.75">
      <c r="A26" s="25">
        <v>53115</v>
      </c>
      <c r="B26" s="25" t="s">
        <v>301</v>
      </c>
      <c r="C26" s="26"/>
      <c r="D26" s="26">
        <f>E26*27%</f>
        <v>197.21491200000006</v>
      </c>
      <c r="E26" s="27">
        <f>(E21-E19-E14)*27%</f>
        <v>730.4256000000001</v>
      </c>
      <c r="F26" s="25"/>
      <c r="G26" s="26">
        <f>H26*27%+1</f>
        <v>578.8000000000001</v>
      </c>
      <c r="H26" s="527">
        <f>G24-G19-G18-G14</f>
        <v>2140</v>
      </c>
    </row>
    <row r="27" spans="1:7" ht="15.75">
      <c r="A27" s="25">
        <v>5331</v>
      </c>
      <c r="B27" s="25" t="s">
        <v>219</v>
      </c>
      <c r="C27" s="26"/>
      <c r="D27" s="26">
        <v>45</v>
      </c>
      <c r="E27" s="27">
        <f>E19*16.7%</f>
        <v>10.02</v>
      </c>
      <c r="F27" s="25"/>
      <c r="G27" s="25">
        <v>25</v>
      </c>
    </row>
    <row r="28" spans="1:7" ht="15.75">
      <c r="A28" s="25">
        <v>5341</v>
      </c>
      <c r="B28" s="25" t="s">
        <v>630</v>
      </c>
      <c r="C28" s="26">
        <v>10</v>
      </c>
      <c r="D28" s="497"/>
      <c r="E28" s="498"/>
      <c r="F28" s="25"/>
      <c r="G28" s="25">
        <v>29</v>
      </c>
    </row>
    <row r="29" spans="1:7" s="12" customFormat="1" ht="15.75">
      <c r="A29" s="28">
        <v>53</v>
      </c>
      <c r="B29" s="28" t="s">
        <v>77</v>
      </c>
      <c r="C29" s="27">
        <f>SUM(C26:C28)</f>
        <v>10</v>
      </c>
      <c r="D29" s="498">
        <v>566</v>
      </c>
      <c r="E29" s="498">
        <f>SUM(E26:E28)</f>
        <v>740.4456000000001</v>
      </c>
      <c r="F29" s="27">
        <f>SUM(F26:F28)</f>
        <v>0</v>
      </c>
      <c r="G29" s="27">
        <f>SUM(G26:G28)</f>
        <v>632.8000000000001</v>
      </c>
    </row>
    <row r="30" spans="1:7" ht="15.75">
      <c r="A30" s="25"/>
      <c r="B30" s="25"/>
      <c r="C30" s="26"/>
      <c r="D30" s="497"/>
      <c r="E30" s="498"/>
      <c r="F30" s="25"/>
      <c r="G30" s="25"/>
    </row>
    <row r="31" spans="1:7" ht="15.75">
      <c r="A31" s="25">
        <v>5431</v>
      </c>
      <c r="B31" s="25" t="s">
        <v>78</v>
      </c>
      <c r="C31" s="26">
        <v>10</v>
      </c>
      <c r="D31" s="26">
        <v>20</v>
      </c>
      <c r="E31" s="27">
        <v>40</v>
      </c>
      <c r="F31" s="25">
        <v>15</v>
      </c>
      <c r="G31" s="25">
        <v>20</v>
      </c>
    </row>
    <row r="32" spans="1:8" ht="15.75">
      <c r="A32" s="25">
        <v>54711</v>
      </c>
      <c r="B32" s="25" t="s">
        <v>79</v>
      </c>
      <c r="C32" s="26">
        <v>30</v>
      </c>
      <c r="D32" s="26">
        <v>30</v>
      </c>
      <c r="E32" s="27">
        <v>30</v>
      </c>
      <c r="F32" s="25">
        <v>22</v>
      </c>
      <c r="G32" s="25">
        <v>50</v>
      </c>
      <c r="H32" s="11" t="s">
        <v>767</v>
      </c>
    </row>
    <row r="33" spans="1:7" ht="15.75">
      <c r="A33" s="25">
        <v>5481</v>
      </c>
      <c r="B33" s="25" t="s">
        <v>80</v>
      </c>
      <c r="C33" s="26">
        <v>20</v>
      </c>
      <c r="D33" s="26">
        <v>20</v>
      </c>
      <c r="E33" s="27">
        <v>20</v>
      </c>
      <c r="F33" s="25"/>
      <c r="G33" s="25">
        <v>20</v>
      </c>
    </row>
    <row r="34" spans="1:7" ht="15.75">
      <c r="A34" s="25">
        <v>54913</v>
      </c>
      <c r="B34" s="25" t="s">
        <v>90</v>
      </c>
      <c r="C34" s="26">
        <v>10</v>
      </c>
      <c r="D34" s="26">
        <v>20</v>
      </c>
      <c r="E34" s="27">
        <v>50</v>
      </c>
      <c r="F34" s="25"/>
      <c r="G34" s="25"/>
    </row>
    <row r="35" spans="1:7" ht="15.75">
      <c r="A35" s="28">
        <v>54</v>
      </c>
      <c r="B35" s="25" t="s">
        <v>7</v>
      </c>
      <c r="C35" s="26">
        <f>SUM(C31:C34)</f>
        <v>70</v>
      </c>
      <c r="D35" s="26">
        <f>SUM(D31:D34)</f>
        <v>90</v>
      </c>
      <c r="E35" s="27">
        <f>SUM(E31:E34)</f>
        <v>140</v>
      </c>
      <c r="F35" s="27">
        <f>SUM(F31:F34)</f>
        <v>37</v>
      </c>
      <c r="G35" s="27">
        <f>SUM(G31:G34)</f>
        <v>90</v>
      </c>
    </row>
    <row r="36" spans="1:7" ht="15.75">
      <c r="A36" s="25"/>
      <c r="B36" s="25"/>
      <c r="C36" s="26"/>
      <c r="D36" s="26"/>
      <c r="E36" s="27"/>
      <c r="F36" s="25"/>
      <c r="G36" s="25"/>
    </row>
    <row r="37" spans="1:7" ht="15.75">
      <c r="A37" s="25">
        <v>55111</v>
      </c>
      <c r="B37" s="25" t="s">
        <v>81</v>
      </c>
      <c r="C37" s="26">
        <v>90</v>
      </c>
      <c r="D37" s="26">
        <v>60</v>
      </c>
      <c r="E37" s="27">
        <v>80</v>
      </c>
      <c r="F37" s="25">
        <v>55</v>
      </c>
      <c r="G37" s="25">
        <v>55</v>
      </c>
    </row>
    <row r="38" spans="1:7" ht="15.75">
      <c r="A38" s="25"/>
      <c r="B38" s="25" t="s">
        <v>763</v>
      </c>
      <c r="C38" s="26"/>
      <c r="D38" s="26"/>
      <c r="E38" s="27"/>
      <c r="F38" s="25">
        <v>41</v>
      </c>
      <c r="G38" s="25">
        <v>50</v>
      </c>
    </row>
    <row r="39" spans="1:7" ht="15.75">
      <c r="A39" s="25">
        <v>55119</v>
      </c>
      <c r="B39" s="25" t="s">
        <v>610</v>
      </c>
      <c r="C39" s="26">
        <v>72</v>
      </c>
      <c r="D39" s="26">
        <v>72</v>
      </c>
      <c r="E39" s="27">
        <f>50+107</f>
        <v>157</v>
      </c>
      <c r="F39" s="25"/>
      <c r="G39" s="25"/>
    </row>
    <row r="40" spans="1:8" ht="15.75">
      <c r="A40" s="25">
        <v>55214</v>
      </c>
      <c r="B40" s="25" t="s">
        <v>10</v>
      </c>
      <c r="C40" s="26">
        <v>200</v>
      </c>
      <c r="D40" s="26">
        <v>300</v>
      </c>
      <c r="E40" s="27">
        <v>300</v>
      </c>
      <c r="F40" s="11">
        <v>153</v>
      </c>
      <c r="G40" s="25">
        <v>200</v>
      </c>
      <c r="H40" s="25" t="s">
        <v>765</v>
      </c>
    </row>
    <row r="41" spans="1:7" ht="15.75">
      <c r="A41" s="25">
        <v>55215</v>
      </c>
      <c r="B41" s="25" t="s">
        <v>11</v>
      </c>
      <c r="C41" s="26">
        <v>40</v>
      </c>
      <c r="D41" s="26">
        <v>30</v>
      </c>
      <c r="E41" s="27">
        <v>30</v>
      </c>
      <c r="F41" s="25">
        <v>38</v>
      </c>
      <c r="G41" s="25">
        <v>40</v>
      </c>
    </row>
    <row r="42" spans="1:7" ht="15.75">
      <c r="A42" s="25">
        <v>55217</v>
      </c>
      <c r="B42" s="25" t="s">
        <v>83</v>
      </c>
      <c r="C42" s="26">
        <v>20</v>
      </c>
      <c r="D42" s="26">
        <v>30</v>
      </c>
      <c r="E42" s="27">
        <v>60</v>
      </c>
      <c r="F42" s="25">
        <v>21</v>
      </c>
      <c r="G42" s="25">
        <v>30</v>
      </c>
    </row>
    <row r="43" spans="1:8" ht="59.25" customHeight="1">
      <c r="A43" s="25">
        <v>552181</v>
      </c>
      <c r="B43" s="25" t="s">
        <v>26</v>
      </c>
      <c r="C43" s="26">
        <v>20</v>
      </c>
      <c r="D43" s="26">
        <v>20</v>
      </c>
      <c r="E43" s="27">
        <v>20</v>
      </c>
      <c r="F43" s="25">
        <v>7</v>
      </c>
      <c r="G43" s="25">
        <v>220</v>
      </c>
      <c r="H43" s="112" t="s">
        <v>768</v>
      </c>
    </row>
    <row r="44" spans="1:7" ht="15.75">
      <c r="A44" s="25">
        <v>552182</v>
      </c>
      <c r="B44" s="25" t="s">
        <v>85</v>
      </c>
      <c r="C44" s="26">
        <v>20</v>
      </c>
      <c r="D44" s="26">
        <v>20</v>
      </c>
      <c r="E44" s="27">
        <v>20</v>
      </c>
      <c r="F44" s="25">
        <v>10</v>
      </c>
      <c r="G44" s="25">
        <v>10</v>
      </c>
    </row>
    <row r="45" spans="1:8" ht="30.75">
      <c r="A45" s="25">
        <v>55219</v>
      </c>
      <c r="B45" s="25" t="s">
        <v>84</v>
      </c>
      <c r="C45" s="26">
        <v>18</v>
      </c>
      <c r="D45" s="26">
        <v>20</v>
      </c>
      <c r="E45" s="27">
        <v>20</v>
      </c>
      <c r="F45" s="25">
        <v>86</v>
      </c>
      <c r="G45" s="25">
        <v>115</v>
      </c>
      <c r="H45" s="112" t="s">
        <v>764</v>
      </c>
    </row>
    <row r="46" spans="1:7" ht="15.75">
      <c r="A46" s="25">
        <v>5531</v>
      </c>
      <c r="B46" s="25" t="s">
        <v>448</v>
      </c>
      <c r="C46" s="26"/>
      <c r="D46" s="26"/>
      <c r="E46" s="27">
        <v>30</v>
      </c>
      <c r="F46" s="25"/>
      <c r="G46" s="25"/>
    </row>
    <row r="47" spans="1:7" ht="15.75">
      <c r="A47" s="28">
        <v>55</v>
      </c>
      <c r="B47" s="25" t="s">
        <v>16</v>
      </c>
      <c r="C47" s="26">
        <f>SUM(C37:C45)</f>
        <v>480</v>
      </c>
      <c r="D47" s="26">
        <f>SUM(D37:D45)</f>
        <v>552</v>
      </c>
      <c r="E47" s="27">
        <f>SUM(E37:E46)</f>
        <v>717</v>
      </c>
      <c r="F47" s="27">
        <f>SUM(F37:F46)</f>
        <v>411</v>
      </c>
      <c r="G47" s="27">
        <f>SUM(G37:G46)</f>
        <v>720</v>
      </c>
    </row>
    <row r="48" spans="1:7" ht="15.75">
      <c r="A48" s="25"/>
      <c r="B48" s="25"/>
      <c r="C48" s="26"/>
      <c r="D48" s="26"/>
      <c r="E48" s="27"/>
      <c r="F48" s="25"/>
      <c r="G48" s="25"/>
    </row>
    <row r="49" spans="1:8" ht="15.75">
      <c r="A49" s="25">
        <v>56111</v>
      </c>
      <c r="B49" s="25" t="s">
        <v>60</v>
      </c>
      <c r="C49" s="26">
        <v>149</v>
      </c>
      <c r="D49" s="26">
        <f>(D35+D47+D52)*0.27</f>
        <v>173.88000000000002</v>
      </c>
      <c r="E49" s="27">
        <f>(E47+E35+E52)*27%</f>
        <v>232.74</v>
      </c>
      <c r="F49" s="25">
        <v>149</v>
      </c>
      <c r="G49" s="26">
        <f>H49*27%</f>
        <v>220.05</v>
      </c>
      <c r="H49" s="499">
        <f>G47+G52+G35</f>
        <v>815</v>
      </c>
    </row>
    <row r="50" spans="1:7" ht="15.75">
      <c r="A50" s="25">
        <v>56211</v>
      </c>
      <c r="B50" s="25" t="s">
        <v>18</v>
      </c>
      <c r="C50" s="26">
        <v>50</v>
      </c>
      <c r="D50" s="26">
        <v>30</v>
      </c>
      <c r="E50" s="27">
        <v>30</v>
      </c>
      <c r="F50" s="25"/>
      <c r="G50" s="25"/>
    </row>
    <row r="51" spans="1:7" ht="15.75">
      <c r="A51" s="25"/>
      <c r="B51" s="25"/>
      <c r="C51" s="26"/>
      <c r="D51" s="26"/>
      <c r="E51" s="27"/>
      <c r="F51" s="25"/>
      <c r="G51" s="25"/>
    </row>
    <row r="52" spans="1:7" ht="15.75">
      <c r="A52" s="25">
        <v>56213</v>
      </c>
      <c r="B52" s="25" t="s">
        <v>19</v>
      </c>
      <c r="C52" s="26">
        <v>2</v>
      </c>
      <c r="D52" s="26">
        <v>2</v>
      </c>
      <c r="E52" s="27">
        <v>5</v>
      </c>
      <c r="F52" s="25"/>
      <c r="G52" s="25">
        <v>5</v>
      </c>
    </row>
    <row r="53" spans="1:7" s="12" customFormat="1" ht="15.75">
      <c r="A53" s="28">
        <v>56</v>
      </c>
      <c r="B53" s="28" t="s">
        <v>20</v>
      </c>
      <c r="C53" s="27">
        <f>SUM(C49:C52)</f>
        <v>201</v>
      </c>
      <c r="D53" s="27">
        <f>SUM(D49:D52)</f>
        <v>205.88000000000002</v>
      </c>
      <c r="E53" s="27">
        <f>SUM(E49:E52)</f>
        <v>267.74</v>
      </c>
      <c r="F53" s="27">
        <f>SUM(F49:F52)</f>
        <v>149</v>
      </c>
      <c r="G53" s="27">
        <f>SUM(G49:G52)</f>
        <v>225.05</v>
      </c>
    </row>
    <row r="54" spans="1:7" ht="15.75">
      <c r="A54" s="25"/>
      <c r="B54" s="25"/>
      <c r="C54" s="26"/>
      <c r="D54" s="26"/>
      <c r="E54" s="27"/>
      <c r="F54" s="25"/>
      <c r="G54" s="25"/>
    </row>
    <row r="55" spans="1:7" ht="15.75">
      <c r="A55" s="25">
        <v>572192</v>
      </c>
      <c r="B55" s="25" t="s">
        <v>22</v>
      </c>
      <c r="C55" s="26">
        <v>30</v>
      </c>
      <c r="D55" s="26">
        <v>30</v>
      </c>
      <c r="E55" s="27">
        <v>30</v>
      </c>
      <c r="F55" s="25">
        <v>15</v>
      </c>
      <c r="G55" s="25">
        <v>15</v>
      </c>
    </row>
    <row r="56" spans="1:7" ht="15.75">
      <c r="A56" s="25">
        <v>57211</v>
      </c>
      <c r="B56" s="25" t="s">
        <v>214</v>
      </c>
      <c r="C56" s="26">
        <v>23</v>
      </c>
      <c r="D56" s="26">
        <v>23</v>
      </c>
      <c r="E56" s="27">
        <f>E19*19.04%</f>
        <v>11.424</v>
      </c>
      <c r="F56" s="25"/>
      <c r="G56" s="25"/>
    </row>
    <row r="57" spans="1:7" ht="15.75">
      <c r="A57" s="25">
        <v>57</v>
      </c>
      <c r="B57" s="25" t="s">
        <v>82</v>
      </c>
      <c r="C57" s="26">
        <f>SUM(C55:C56)</f>
        <v>53</v>
      </c>
      <c r="D57" s="26">
        <f>SUM(D55:D56)</f>
        <v>53</v>
      </c>
      <c r="E57" s="27">
        <f>SUM(E55:E56)</f>
        <v>41.424</v>
      </c>
      <c r="F57" s="27">
        <f>SUM(F55:F56)</f>
        <v>15</v>
      </c>
      <c r="G57" s="27">
        <f>SUM(G55:G56)</f>
        <v>15</v>
      </c>
    </row>
    <row r="58" spans="1:7" ht="15.75">
      <c r="A58" s="25"/>
      <c r="B58" s="25"/>
      <c r="C58" s="26"/>
      <c r="D58" s="26"/>
      <c r="E58" s="27"/>
      <c r="F58" s="25"/>
      <c r="G58" s="25"/>
    </row>
    <row r="59" spans="1:7" ht="15.75">
      <c r="A59" s="28"/>
      <c r="B59" s="25" t="s">
        <v>29</v>
      </c>
      <c r="C59" s="26">
        <f>SUM(C57,C53,C47,C35)</f>
        <v>804</v>
      </c>
      <c r="D59" s="26">
        <f>SUM(D57,D53,D47,D35)</f>
        <v>900.88</v>
      </c>
      <c r="E59" s="27">
        <f>SUM(E57,E53,E47,E35)</f>
        <v>1166.164</v>
      </c>
      <c r="F59" s="27">
        <f>SUM(F57,F53,F47,F35)</f>
        <v>612</v>
      </c>
      <c r="G59" s="27">
        <f>SUM(G57,G53,G47,G35)</f>
        <v>1050.05</v>
      </c>
    </row>
    <row r="60" spans="1:7" ht="15.75">
      <c r="A60" s="28"/>
      <c r="B60" s="25"/>
      <c r="C60" s="26"/>
      <c r="D60" s="26"/>
      <c r="E60" s="27"/>
      <c r="F60" s="25"/>
      <c r="G60" s="25"/>
    </row>
    <row r="61" spans="1:7" ht="16.5" thickBot="1">
      <c r="A61" s="10"/>
      <c r="B61" s="132" t="s">
        <v>0</v>
      </c>
      <c r="C61" s="345">
        <f>SUM(C59,C29,C24,C8)</f>
        <v>3903</v>
      </c>
      <c r="D61" s="345">
        <f>SUM(D59,D29,D24,D8)</f>
        <v>3852.54</v>
      </c>
      <c r="E61" s="27">
        <f>SUM(E59,E29,E24,E8)</f>
        <v>4931.8896</v>
      </c>
      <c r="F61" s="27">
        <f>SUM(F59,F29,F24,F8)</f>
        <v>752</v>
      </c>
      <c r="G61" s="27">
        <f>SUM(G59,G29,G24,G8)</f>
        <v>4333.85</v>
      </c>
    </row>
    <row r="62" ht="16.5" thickTop="1"/>
  </sheetData>
  <sheetProtection/>
  <printOptions/>
  <pageMargins left="0.7" right="0.7" top="0.75" bottom="0.75" header="0.3" footer="0.3"/>
  <pageSetup horizontalDpi="300" verticalDpi="300" orientation="portrait" paperSize="9" scale="58" r:id="rId1"/>
  <rowBreaks count="1" manualBreakCount="1">
    <brk id="47" max="255" man="1"/>
  </rowBreaks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C00000"/>
  </sheetPr>
  <dimension ref="A2:J101"/>
  <sheetViews>
    <sheetView zoomScalePageLayoutView="0" workbookViewId="0" topLeftCell="A94">
      <selection activeCell="H51" sqref="H51"/>
    </sheetView>
  </sheetViews>
  <sheetFormatPr defaultColWidth="8.41015625" defaultRowHeight="18"/>
  <cols>
    <col min="1" max="1" width="8.41015625" style="21" customWidth="1"/>
    <col min="2" max="2" width="29.41015625" style="21" customWidth="1"/>
    <col min="3" max="3" width="8" style="382" customWidth="1"/>
    <col min="4" max="4" width="7.33203125" style="21" customWidth="1"/>
    <col min="5" max="5" width="7.75" style="21" customWidth="1"/>
    <col min="6" max="249" width="7.08203125" style="21" customWidth="1"/>
    <col min="250" max="16384" width="8.41015625" style="21" customWidth="1"/>
  </cols>
  <sheetData>
    <row r="2" spans="1:5" ht="18.75">
      <c r="A2" s="620" t="s">
        <v>1331</v>
      </c>
      <c r="B2" s="620"/>
      <c r="C2" s="620"/>
      <c r="D2" s="620"/>
      <c r="E2" s="620"/>
    </row>
    <row r="3" ht="19.5" thickBot="1">
      <c r="C3" s="243"/>
    </row>
    <row r="4" spans="1:5" ht="19.5" thickBot="1">
      <c r="A4" s="595">
        <v>869041</v>
      </c>
      <c r="B4" s="245" t="s">
        <v>1402</v>
      </c>
      <c r="C4" s="421" t="s">
        <v>616</v>
      </c>
      <c r="D4" s="41" t="s">
        <v>626</v>
      </c>
      <c r="E4" s="34">
        <v>2016</v>
      </c>
    </row>
    <row r="5" spans="1:5" ht="19.5" thickBot="1">
      <c r="A5" s="596" t="s">
        <v>1403</v>
      </c>
      <c r="B5" s="210"/>
      <c r="C5" s="295"/>
      <c r="D5" s="34"/>
      <c r="E5" s="34"/>
    </row>
    <row r="6" spans="1:5" ht="18.75">
      <c r="A6" s="249" t="s">
        <v>819</v>
      </c>
      <c r="B6" s="250" t="s">
        <v>1238</v>
      </c>
      <c r="C6" s="376">
        <v>1464</v>
      </c>
      <c r="D6" s="565"/>
      <c r="E6" s="565">
        <v>1537</v>
      </c>
    </row>
    <row r="7" spans="1:5" ht="18.75">
      <c r="A7" s="253" t="s">
        <v>822</v>
      </c>
      <c r="B7" s="254" t="s">
        <v>821</v>
      </c>
      <c r="C7" s="377"/>
      <c r="D7" s="34"/>
      <c r="E7" s="34"/>
    </row>
    <row r="8" spans="1:6" ht="18.75">
      <c r="A8" s="253" t="s">
        <v>823</v>
      </c>
      <c r="B8" s="254" t="s">
        <v>820</v>
      </c>
      <c r="C8" s="377">
        <v>372</v>
      </c>
      <c r="D8" s="34"/>
      <c r="E8" s="381">
        <v>419</v>
      </c>
      <c r="F8" t="s">
        <v>1427</v>
      </c>
    </row>
    <row r="9" spans="1:5" ht="18.75">
      <c r="A9" s="253" t="s">
        <v>825</v>
      </c>
      <c r="B9" s="254" t="s">
        <v>824</v>
      </c>
      <c r="C9" s="377">
        <v>29</v>
      </c>
      <c r="D9" s="34"/>
      <c r="E9" s="34"/>
    </row>
    <row r="10" spans="1:5" ht="18.75">
      <c r="A10" s="253" t="s">
        <v>826</v>
      </c>
      <c r="B10" s="260" t="s">
        <v>1239</v>
      </c>
      <c r="C10" s="377"/>
      <c r="D10" s="34"/>
      <c r="E10" s="34"/>
    </row>
    <row r="11" spans="1:5" ht="18.75">
      <c r="A11" s="253" t="s">
        <v>1233</v>
      </c>
      <c r="B11" s="260" t="s">
        <v>1240</v>
      </c>
      <c r="C11" s="378"/>
      <c r="D11" s="34"/>
      <c r="E11" s="34"/>
    </row>
    <row r="12" spans="1:5" ht="18.75">
      <c r="A12" s="253" t="s">
        <v>1241</v>
      </c>
      <c r="B12" s="262" t="s">
        <v>1234</v>
      </c>
      <c r="C12" s="377">
        <v>150</v>
      </c>
      <c r="D12" s="34"/>
      <c r="E12" s="34"/>
    </row>
    <row r="13" spans="1:5" ht="18.75">
      <c r="A13" s="253" t="s">
        <v>1242</v>
      </c>
      <c r="B13" s="262" t="s">
        <v>1235</v>
      </c>
      <c r="C13" s="377"/>
      <c r="D13" s="34"/>
      <c r="E13" s="34">
        <v>150</v>
      </c>
    </row>
    <row r="14" spans="1:5" ht="18.75">
      <c r="A14" s="253" t="s">
        <v>1243</v>
      </c>
      <c r="B14" s="254" t="s">
        <v>528</v>
      </c>
      <c r="C14" s="377">
        <v>160</v>
      </c>
      <c r="D14" s="34"/>
      <c r="E14" s="34">
        <v>160</v>
      </c>
    </row>
    <row r="15" spans="1:5" ht="18.75">
      <c r="A15" s="253" t="s">
        <v>1244</v>
      </c>
      <c r="B15" s="254" t="s">
        <v>1236</v>
      </c>
      <c r="C15" s="377">
        <v>10</v>
      </c>
      <c r="D15" s="34"/>
      <c r="E15" s="34">
        <v>10</v>
      </c>
    </row>
    <row r="16" spans="1:5" ht="19.5" thickBot="1">
      <c r="A16" s="264" t="s">
        <v>1245</v>
      </c>
      <c r="B16" s="265" t="s">
        <v>791</v>
      </c>
      <c r="C16" s="377">
        <v>153</v>
      </c>
      <c r="D16" s="34"/>
      <c r="E16" s="34">
        <v>148</v>
      </c>
    </row>
    <row r="17" spans="1:5" ht="19.5" thickBot="1">
      <c r="A17" s="568" t="s">
        <v>1327</v>
      </c>
      <c r="B17" s="569" t="s">
        <v>1249</v>
      </c>
      <c r="C17" s="379">
        <f>SUM(C6:C16)</f>
        <v>2338</v>
      </c>
      <c r="D17" s="379">
        <f>SUM(D6:D16)</f>
        <v>0</v>
      </c>
      <c r="E17" s="379">
        <f>SUM(E6:E16)</f>
        <v>2424</v>
      </c>
    </row>
    <row r="18" spans="1:5" ht="19.5" thickBot="1">
      <c r="A18" s="557" t="s">
        <v>1329</v>
      </c>
      <c r="B18" s="558" t="s">
        <v>1248</v>
      </c>
      <c r="C18" s="377"/>
      <c r="D18" s="34"/>
      <c r="E18" s="34"/>
    </row>
    <row r="19" spans="1:5" ht="19.5" thickBot="1">
      <c r="A19" s="557" t="s">
        <v>1328</v>
      </c>
      <c r="B19" s="558" t="s">
        <v>1246</v>
      </c>
      <c r="C19" s="377"/>
      <c r="D19" s="34"/>
      <c r="E19" s="34"/>
    </row>
    <row r="20" spans="1:5" ht="19.5" thickBot="1">
      <c r="A20" s="557" t="s">
        <v>1253</v>
      </c>
      <c r="B20" s="558" t="s">
        <v>19</v>
      </c>
      <c r="C20" s="377">
        <v>5</v>
      </c>
      <c r="D20" s="34"/>
      <c r="E20" s="34">
        <v>5</v>
      </c>
    </row>
    <row r="21" spans="1:5" ht="19.5" thickBot="1">
      <c r="A21" s="557" t="s">
        <v>1254</v>
      </c>
      <c r="B21" s="558" t="s">
        <v>889</v>
      </c>
      <c r="C21" s="377">
        <v>250</v>
      </c>
      <c r="D21" s="34"/>
      <c r="E21" s="34">
        <v>250</v>
      </c>
    </row>
    <row r="22" spans="1:5" ht="19.5" thickBot="1">
      <c r="A22" s="568" t="s">
        <v>1330</v>
      </c>
      <c r="B22" s="569" t="s">
        <v>1247</v>
      </c>
      <c r="C22" s="377">
        <f>SUM(C18:C21)</f>
        <v>255</v>
      </c>
      <c r="D22" s="377">
        <f>SUM(D18:D21)</f>
        <v>0</v>
      </c>
      <c r="E22" s="377">
        <f>SUM(E18:E21)</f>
        <v>255</v>
      </c>
    </row>
    <row r="23" spans="1:5" ht="27" customHeight="1" thickBot="1">
      <c r="A23" s="268" t="s">
        <v>1250</v>
      </c>
      <c r="B23" s="269" t="s">
        <v>1237</v>
      </c>
      <c r="C23" s="379">
        <f>SUM(C22,C17)</f>
        <v>2593</v>
      </c>
      <c r="D23" s="379">
        <f>SUM(D22,D17)</f>
        <v>0</v>
      </c>
      <c r="E23" s="379">
        <f>SUM(E22,E17)</f>
        <v>2679</v>
      </c>
    </row>
    <row r="24" spans="1:5" ht="19.5" thickBot="1">
      <c r="A24" s="270"/>
      <c r="B24" s="271"/>
      <c r="C24" s="377"/>
      <c r="D24" s="34"/>
      <c r="E24" s="34"/>
    </row>
    <row r="25" spans="1:6" ht="18.75">
      <c r="A25" s="272" t="s">
        <v>1255</v>
      </c>
      <c r="B25" s="97" t="s">
        <v>590</v>
      </c>
      <c r="C25" s="275">
        <v>579</v>
      </c>
      <c r="D25" s="44"/>
      <c r="E25" s="44">
        <f>F25*27%</f>
        <v>636.9300000000001</v>
      </c>
      <c r="F25" s="21">
        <f>E6+E7+E8+E9+E10+E11+E16+E22</f>
        <v>2359</v>
      </c>
    </row>
    <row r="26" spans="1:5" ht="18.75">
      <c r="A26" s="559" t="s">
        <v>1256</v>
      </c>
      <c r="B26" s="97" t="s">
        <v>1251</v>
      </c>
      <c r="C26" s="275"/>
      <c r="D26" s="44"/>
      <c r="E26" s="44"/>
    </row>
    <row r="27" spans="1:6" ht="18.75">
      <c r="A27" s="276" t="s">
        <v>1252</v>
      </c>
      <c r="B27" s="255" t="s">
        <v>4</v>
      </c>
      <c r="C27" s="378">
        <v>25</v>
      </c>
      <c r="D27" s="34"/>
      <c r="E27" s="44">
        <f>F27*16.67%</f>
        <v>25.005000000000003</v>
      </c>
      <c r="F27" s="21">
        <f>E12+E13</f>
        <v>150</v>
      </c>
    </row>
    <row r="28" spans="1:5" ht="19.5" thickBot="1">
      <c r="A28" s="462" t="s">
        <v>1257</v>
      </c>
      <c r="B28" s="255" t="s">
        <v>635</v>
      </c>
      <c r="C28" s="378">
        <v>29</v>
      </c>
      <c r="D28" s="34"/>
      <c r="E28" s="44">
        <f>F27*19.04%</f>
        <v>28.56</v>
      </c>
    </row>
    <row r="29" spans="1:5" ht="19.5" thickBot="1">
      <c r="A29" s="582" t="s">
        <v>1258</v>
      </c>
      <c r="B29" s="583" t="s">
        <v>69</v>
      </c>
      <c r="C29" s="378">
        <f>SUM(C25:C28)</f>
        <v>633</v>
      </c>
      <c r="D29" s="378">
        <f>SUM(D25:D28)</f>
        <v>0</v>
      </c>
      <c r="E29" s="378">
        <f>SUM(E25:E28)</f>
        <v>690.495</v>
      </c>
    </row>
    <row r="30" spans="1:5" ht="19.5" thickBot="1">
      <c r="A30" s="282"/>
      <c r="B30" s="283"/>
      <c r="C30" s="377"/>
      <c r="D30" s="34"/>
      <c r="E30" s="34"/>
    </row>
    <row r="31" spans="1:5" ht="18.75">
      <c r="A31" s="249" t="s">
        <v>1259</v>
      </c>
      <c r="B31" s="291" t="s">
        <v>533</v>
      </c>
      <c r="C31" s="377"/>
      <c r="D31" s="34"/>
      <c r="E31" s="34"/>
    </row>
    <row r="32" spans="1:5" ht="18.75">
      <c r="A32" s="253" t="s">
        <v>1260</v>
      </c>
      <c r="B32" s="254" t="s">
        <v>534</v>
      </c>
      <c r="C32" s="377"/>
      <c r="D32" s="41"/>
      <c r="E32" s="34"/>
    </row>
    <row r="33" spans="1:5" ht="18.75">
      <c r="A33" s="253" t="s">
        <v>1262</v>
      </c>
      <c r="B33" s="254" t="s">
        <v>1261</v>
      </c>
      <c r="C33" s="377"/>
      <c r="D33" s="41"/>
      <c r="E33" s="34"/>
    </row>
    <row r="34" spans="1:5" ht="18.75">
      <c r="A34" s="253" t="s">
        <v>1263</v>
      </c>
      <c r="B34" s="254" t="s">
        <v>124</v>
      </c>
      <c r="C34" s="377"/>
      <c r="D34" s="41"/>
      <c r="E34" s="34"/>
    </row>
    <row r="35" spans="1:5" ht="18.75">
      <c r="A35" s="253" t="s">
        <v>1264</v>
      </c>
      <c r="B35" s="254" t="s">
        <v>1265</v>
      </c>
      <c r="C35" s="570">
        <v>50</v>
      </c>
      <c r="D35" s="41">
        <v>26</v>
      </c>
      <c r="E35" s="34">
        <v>50</v>
      </c>
    </row>
    <row r="36" spans="1:5" ht="18.75">
      <c r="A36" s="253" t="s">
        <v>1335</v>
      </c>
      <c r="B36" s="562" t="s">
        <v>548</v>
      </c>
      <c r="C36" s="570">
        <f>SUM(C31:C35)</f>
        <v>50</v>
      </c>
      <c r="D36" s="570">
        <f>SUM(D31:D35)</f>
        <v>26</v>
      </c>
      <c r="E36" s="570">
        <f>SUM(E31:E35)</f>
        <v>50</v>
      </c>
    </row>
    <row r="37" spans="1:5" ht="18.75">
      <c r="A37" s="253" t="s">
        <v>1342</v>
      </c>
      <c r="B37" s="254" t="s">
        <v>1343</v>
      </c>
      <c r="C37" s="570"/>
      <c r="D37" s="570"/>
      <c r="E37" s="570"/>
    </row>
    <row r="38" spans="1:5" ht="18.75">
      <c r="A38" s="253" t="s">
        <v>1344</v>
      </c>
      <c r="B38" s="254" t="s">
        <v>1267</v>
      </c>
      <c r="C38" s="570">
        <v>20</v>
      </c>
      <c r="D38" s="34">
        <v>25</v>
      </c>
      <c r="E38" s="34">
        <v>25</v>
      </c>
    </row>
    <row r="39" spans="1:5" ht="18.75">
      <c r="A39" s="253" t="s">
        <v>1345</v>
      </c>
      <c r="B39" s="254" t="s">
        <v>88</v>
      </c>
      <c r="C39" s="570"/>
      <c r="D39" s="34"/>
      <c r="E39" s="34"/>
    </row>
    <row r="40" spans="1:5" ht="18.75">
      <c r="A40" s="253" t="s">
        <v>1346</v>
      </c>
      <c r="B40" s="254" t="s">
        <v>1268</v>
      </c>
      <c r="C40" s="377">
        <v>20</v>
      </c>
      <c r="D40" s="34">
        <v>20</v>
      </c>
      <c r="E40" s="34">
        <v>20</v>
      </c>
    </row>
    <row r="41" spans="1:5" ht="19.5" thickBot="1">
      <c r="A41" s="288" t="s">
        <v>1347</v>
      </c>
      <c r="B41" s="289" t="s">
        <v>1269</v>
      </c>
      <c r="C41" s="377"/>
      <c r="D41" s="34"/>
      <c r="E41" s="34"/>
    </row>
    <row r="42" spans="1:5" ht="17.25" customHeight="1" thickBot="1">
      <c r="A42" s="268" t="s">
        <v>1266</v>
      </c>
      <c r="B42" s="571" t="s">
        <v>1270</v>
      </c>
      <c r="C42" s="377">
        <f>SUM(C37:C41)</f>
        <v>40</v>
      </c>
      <c r="D42" s="377">
        <f>SUM(D38:D41)</f>
        <v>45</v>
      </c>
      <c r="E42" s="377">
        <f>SUM(E38:E41)</f>
        <v>45</v>
      </c>
    </row>
    <row r="43" spans="1:5" ht="22.5" customHeight="1" thickBot="1">
      <c r="A43" s="572" t="s">
        <v>1300</v>
      </c>
      <c r="B43" s="573" t="s">
        <v>595</v>
      </c>
      <c r="C43" s="574">
        <f>SUM(C42,C36)</f>
        <v>90</v>
      </c>
      <c r="D43" s="574">
        <f>SUM(D42,D36)</f>
        <v>71</v>
      </c>
      <c r="E43" s="574">
        <f>SUM(E42,E36)</f>
        <v>95</v>
      </c>
    </row>
    <row r="44" spans="1:5" ht="18.75">
      <c r="A44" s="249" t="s">
        <v>1271</v>
      </c>
      <c r="B44" s="291" t="s">
        <v>1348</v>
      </c>
      <c r="C44" s="377">
        <v>55</v>
      </c>
      <c r="D44" s="34">
        <v>58</v>
      </c>
      <c r="E44" s="34">
        <v>60</v>
      </c>
    </row>
    <row r="45" spans="1:5" ht="18.75">
      <c r="A45" s="494" t="s">
        <v>1350</v>
      </c>
      <c r="B45" s="590" t="s">
        <v>1351</v>
      </c>
      <c r="C45" s="377"/>
      <c r="D45" s="34"/>
      <c r="E45" s="34"/>
    </row>
    <row r="46" spans="1:5" ht="18.75">
      <c r="A46" s="253" t="s">
        <v>1272</v>
      </c>
      <c r="B46" s="254" t="s">
        <v>1349</v>
      </c>
      <c r="C46" s="295">
        <v>50</v>
      </c>
      <c r="D46" s="566">
        <v>50</v>
      </c>
      <c r="E46" s="34">
        <v>50</v>
      </c>
    </row>
    <row r="47" spans="1:5" ht="18.75">
      <c r="A47" s="575" t="s">
        <v>1301</v>
      </c>
      <c r="B47" s="576" t="s">
        <v>1366</v>
      </c>
      <c r="C47" s="577">
        <f>SUM(C44:C46)</f>
        <v>105</v>
      </c>
      <c r="D47" s="577">
        <f>SUM(D44:D46)</f>
        <v>108</v>
      </c>
      <c r="E47" s="577">
        <f>SUM(E44:E46)</f>
        <v>110</v>
      </c>
    </row>
    <row r="48" spans="1:5" ht="18.75">
      <c r="A48" s="253" t="s">
        <v>1275</v>
      </c>
      <c r="B48" s="254" t="s">
        <v>544</v>
      </c>
      <c r="C48" s="295">
        <v>40</v>
      </c>
      <c r="D48" s="566">
        <v>49</v>
      </c>
      <c r="E48" s="34">
        <v>55</v>
      </c>
    </row>
    <row r="49" spans="1:5" ht="18.75">
      <c r="A49" s="253" t="s">
        <v>1274</v>
      </c>
      <c r="B49" s="254" t="s">
        <v>543</v>
      </c>
      <c r="C49" s="295">
        <v>200</v>
      </c>
      <c r="D49" s="34">
        <v>138</v>
      </c>
      <c r="E49" s="34">
        <v>150</v>
      </c>
    </row>
    <row r="50" spans="1:5" ht="18.75">
      <c r="A50" s="253" t="s">
        <v>1276</v>
      </c>
      <c r="B50" s="254" t="s">
        <v>503</v>
      </c>
      <c r="C50" s="295">
        <v>30</v>
      </c>
      <c r="D50" s="34">
        <v>39</v>
      </c>
      <c r="E50" s="34">
        <v>45</v>
      </c>
    </row>
    <row r="51" spans="1:5" ht="18.75">
      <c r="A51" s="575" t="s">
        <v>1273</v>
      </c>
      <c r="B51" s="576" t="s">
        <v>1277</v>
      </c>
      <c r="C51" s="577">
        <f>SUM(C48:C50)</f>
        <v>270</v>
      </c>
      <c r="D51" s="577">
        <f>SUM(D48:D50)</f>
        <v>226</v>
      </c>
      <c r="E51" s="577">
        <f>SUM(E48:E50)</f>
        <v>250</v>
      </c>
    </row>
    <row r="52" spans="1:5" ht="18.75">
      <c r="A52" s="253" t="s">
        <v>1332</v>
      </c>
      <c r="B52" s="254" t="s">
        <v>1278</v>
      </c>
      <c r="C52" s="295"/>
      <c r="D52" s="34"/>
      <c r="E52" s="34"/>
    </row>
    <row r="53" spans="1:5" ht="18.75">
      <c r="A53" s="253" t="s">
        <v>1280</v>
      </c>
      <c r="B53" s="254" t="s">
        <v>26</v>
      </c>
      <c r="C53" s="295">
        <v>220</v>
      </c>
      <c r="D53" s="41">
        <v>13</v>
      </c>
      <c r="E53" s="34">
        <v>150</v>
      </c>
    </row>
    <row r="54" spans="1:5" ht="18.75">
      <c r="A54" s="253" t="s">
        <v>1281</v>
      </c>
      <c r="B54" s="254" t="s">
        <v>1352</v>
      </c>
      <c r="C54" s="377">
        <v>10</v>
      </c>
      <c r="D54" s="34"/>
      <c r="E54" s="34">
        <v>10</v>
      </c>
    </row>
    <row r="55" spans="1:5" ht="18.75">
      <c r="A55" s="575" t="s">
        <v>1283</v>
      </c>
      <c r="B55" s="576" t="s">
        <v>1282</v>
      </c>
      <c r="C55" s="574">
        <f>SUM(C53:C54)</f>
        <v>230</v>
      </c>
      <c r="D55" s="574">
        <f>SUM(D53:D54)</f>
        <v>13</v>
      </c>
      <c r="E55" s="574">
        <f>SUM(E53:E54)</f>
        <v>160</v>
      </c>
    </row>
    <row r="56" spans="1:5" ht="18.75">
      <c r="A56" s="575" t="s">
        <v>1284</v>
      </c>
      <c r="B56" s="588" t="s">
        <v>1333</v>
      </c>
      <c r="C56" s="589"/>
      <c r="D56" s="589"/>
      <c r="E56" s="589"/>
    </row>
    <row r="57" spans="1:5" ht="18.75">
      <c r="A57" s="288"/>
      <c r="B57" s="554" t="s">
        <v>943</v>
      </c>
      <c r="C57" s="554"/>
      <c r="D57" s="554"/>
      <c r="E57" s="554"/>
    </row>
    <row r="58" spans="1:5" ht="18.75">
      <c r="A58" s="288" t="s">
        <v>1353</v>
      </c>
      <c r="B58" s="554" t="s">
        <v>547</v>
      </c>
      <c r="C58" s="554"/>
      <c r="D58" s="554"/>
      <c r="E58" s="554"/>
    </row>
    <row r="59" spans="1:5" ht="18.75">
      <c r="A59" s="288" t="s">
        <v>1354</v>
      </c>
      <c r="B59" s="554" t="s">
        <v>1355</v>
      </c>
      <c r="C59" s="554"/>
      <c r="D59" s="554"/>
      <c r="E59" s="554"/>
    </row>
    <row r="60" spans="1:5" ht="27" customHeight="1">
      <c r="A60" s="561" t="s">
        <v>1285</v>
      </c>
      <c r="B60" s="552" t="s">
        <v>945</v>
      </c>
      <c r="C60" s="591">
        <f>SUM(C58:C59)</f>
        <v>0</v>
      </c>
      <c r="D60" s="591">
        <f>SUM(D58:D59)</f>
        <v>0</v>
      </c>
      <c r="E60" s="591"/>
    </row>
    <row r="61" spans="1:5" ht="23.25" customHeight="1">
      <c r="A61" s="462" t="s">
        <v>1356</v>
      </c>
      <c r="B61" s="553" t="s">
        <v>1362</v>
      </c>
      <c r="C61" s="591">
        <v>15</v>
      </c>
      <c r="D61" s="591">
        <v>15</v>
      </c>
      <c r="E61" s="591">
        <v>15</v>
      </c>
    </row>
    <row r="62" spans="1:5" ht="23.25" customHeight="1">
      <c r="A62" s="462" t="s">
        <v>1357</v>
      </c>
      <c r="B62" s="553" t="s">
        <v>1358</v>
      </c>
      <c r="C62" s="591"/>
      <c r="D62" s="591"/>
      <c r="E62" s="591"/>
    </row>
    <row r="63" spans="1:5" ht="23.25" customHeight="1">
      <c r="A63" s="462" t="s">
        <v>1359</v>
      </c>
      <c r="B63" s="553" t="s">
        <v>9</v>
      </c>
      <c r="C63" s="591"/>
      <c r="D63" s="591"/>
      <c r="E63" s="591"/>
    </row>
    <row r="64" spans="1:6" ht="23.25" customHeight="1" thickBot="1">
      <c r="A64" s="462" t="s">
        <v>1360</v>
      </c>
      <c r="B64" s="553" t="s">
        <v>1361</v>
      </c>
      <c r="C64" s="591">
        <v>115</v>
      </c>
      <c r="D64" s="591">
        <v>83</v>
      </c>
      <c r="E64" s="591">
        <v>100</v>
      </c>
      <c r="F64" s="21" t="s">
        <v>1533</v>
      </c>
    </row>
    <row r="65" spans="1:5" ht="17.25" customHeight="1" thickBot="1">
      <c r="A65" s="298" t="s">
        <v>1286</v>
      </c>
      <c r="B65" s="552" t="s">
        <v>948</v>
      </c>
      <c r="C65" s="591">
        <f>SUM(C61:C64)</f>
        <v>130</v>
      </c>
      <c r="D65" s="591">
        <f>SUM(D61:D64)</f>
        <v>98</v>
      </c>
      <c r="E65" s="591">
        <f>SUM(E61:E64)</f>
        <v>115</v>
      </c>
    </row>
    <row r="66" spans="1:5" ht="25.5" customHeight="1">
      <c r="A66" s="578" t="s">
        <v>1279</v>
      </c>
      <c r="B66" s="579" t="s">
        <v>1287</v>
      </c>
      <c r="C66" s="603">
        <f>SUM(C65+C60+C56+C55+C52+C51)</f>
        <v>630</v>
      </c>
      <c r="D66" s="603">
        <f>SUM(D65+D60+D56+D55+D52+D51)</f>
        <v>337</v>
      </c>
      <c r="E66" s="603">
        <f>SUM(E65+E60+E56+E55+E51)</f>
        <v>525</v>
      </c>
    </row>
    <row r="67" spans="1:5" ht="18.75">
      <c r="A67" s="253" t="s">
        <v>1288</v>
      </c>
      <c r="B67" s="553" t="s">
        <v>952</v>
      </c>
      <c r="C67" s="553"/>
      <c r="D67" s="553">
        <v>3</v>
      </c>
      <c r="E67" s="553"/>
    </row>
    <row r="68" spans="1:5" ht="18.75">
      <c r="A68" s="253" t="s">
        <v>1289</v>
      </c>
      <c r="B68" s="553" t="s">
        <v>954</v>
      </c>
      <c r="C68" s="553"/>
      <c r="D68" s="553"/>
      <c r="E68" s="553"/>
    </row>
    <row r="69" spans="1:5" ht="24" customHeight="1">
      <c r="A69" s="575" t="s">
        <v>1291</v>
      </c>
      <c r="B69" s="579" t="s">
        <v>1290</v>
      </c>
      <c r="C69" s="579">
        <f>SUM(C67:C68)</f>
        <v>0</v>
      </c>
      <c r="D69" s="579">
        <f>SUM(D67:D68)</f>
        <v>3</v>
      </c>
      <c r="E69" s="579">
        <f>SUM(E67:E68)</f>
        <v>0</v>
      </c>
    </row>
    <row r="70" spans="1:7" ht="26.25" customHeight="1" thickBot="1">
      <c r="A70" s="561" t="s">
        <v>1294</v>
      </c>
      <c r="B70" s="552" t="s">
        <v>958</v>
      </c>
      <c r="C70" s="552">
        <v>220</v>
      </c>
      <c r="D70" s="552">
        <v>163</v>
      </c>
      <c r="E70" s="552">
        <v>193</v>
      </c>
      <c r="F70" s="597">
        <f>E43+E47+E51+E55+E58+E63+E64+E68</f>
        <v>715</v>
      </c>
      <c r="G70" s="21">
        <f>F70*27%</f>
        <v>193.05</v>
      </c>
    </row>
    <row r="71" spans="1:5" ht="27" customHeight="1" thickBot="1">
      <c r="A71" s="268" t="s">
        <v>1295</v>
      </c>
      <c r="B71" s="552" t="s">
        <v>960</v>
      </c>
      <c r="C71" s="552"/>
      <c r="D71" s="552"/>
      <c r="E71" s="552"/>
    </row>
    <row r="72" spans="1:5" ht="19.5" thickBot="1">
      <c r="A72" s="210" t="s">
        <v>1296</v>
      </c>
      <c r="B72" s="552" t="s">
        <v>1293</v>
      </c>
      <c r="C72" s="552"/>
      <c r="D72" s="552"/>
      <c r="E72" s="552"/>
    </row>
    <row r="73" spans="1:5" ht="24.75" customHeight="1">
      <c r="A73" s="593" t="s">
        <v>1298</v>
      </c>
      <c r="B73" s="594" t="s">
        <v>1363</v>
      </c>
      <c r="C73" s="594"/>
      <c r="D73" s="552"/>
      <c r="E73" s="552"/>
    </row>
    <row r="74" spans="1:6" ht="24.75" customHeight="1">
      <c r="A74" s="592" t="s">
        <v>1364</v>
      </c>
      <c r="B74" s="563" t="s">
        <v>1365</v>
      </c>
      <c r="C74" s="563"/>
      <c r="D74" s="553"/>
      <c r="E74" s="553"/>
      <c r="F74" s="21" t="s">
        <v>1369</v>
      </c>
    </row>
    <row r="75" spans="1:5" ht="24.75" customHeight="1">
      <c r="A75" s="592" t="s">
        <v>1370</v>
      </c>
      <c r="B75" s="563" t="s">
        <v>1367</v>
      </c>
      <c r="C75" s="563"/>
      <c r="D75" s="553"/>
      <c r="E75" s="553"/>
    </row>
    <row r="76" spans="1:5" ht="18.75">
      <c r="A76" s="98" t="s">
        <v>1297</v>
      </c>
      <c r="B76" s="552" t="s">
        <v>970</v>
      </c>
      <c r="C76" s="552">
        <f>SUM(C74:C75)</f>
        <v>0</v>
      </c>
      <c r="D76" s="552">
        <f>SUM(D74:D75)</f>
        <v>0</v>
      </c>
      <c r="E76" s="552">
        <f>SUM(E74:E75)</f>
        <v>0</v>
      </c>
    </row>
    <row r="77" spans="1:5" ht="24.75" customHeight="1">
      <c r="A77" s="580" t="s">
        <v>1292</v>
      </c>
      <c r="B77" s="579" t="s">
        <v>1334</v>
      </c>
      <c r="C77" s="579">
        <f>C76+C73+C72+C71+C70</f>
        <v>220</v>
      </c>
      <c r="D77" s="579">
        <f>D76+D73+D72+D71+D70</f>
        <v>163</v>
      </c>
      <c r="E77" s="579">
        <f>E76+E73+E72+E71+E70</f>
        <v>193</v>
      </c>
    </row>
    <row r="78" spans="1:10" ht="24.75" customHeight="1">
      <c r="A78" s="587" t="s">
        <v>1299</v>
      </c>
      <c r="B78" s="585" t="s">
        <v>70</v>
      </c>
      <c r="C78" s="579">
        <f>SUM(C77+C69+C66+C47+C43)</f>
        <v>1045</v>
      </c>
      <c r="D78" s="579">
        <f>SUM(D77+D69+D66+D47+D43)</f>
        <v>682</v>
      </c>
      <c r="E78" s="579">
        <f>SUM(E77+E69+E66+E47+E43)</f>
        <v>923</v>
      </c>
      <c r="F78" s="560"/>
      <c r="G78" s="560"/>
      <c r="H78" s="560"/>
      <c r="I78" s="560"/>
      <c r="J78" s="560"/>
    </row>
    <row r="79" spans="1:10" ht="24.75" customHeight="1">
      <c r="A79" s="98" t="s">
        <v>1307</v>
      </c>
      <c r="B79" s="553" t="s">
        <v>1302</v>
      </c>
      <c r="C79" s="552"/>
      <c r="D79" s="552"/>
      <c r="E79" s="552"/>
      <c r="F79" s="560"/>
      <c r="G79" s="560"/>
      <c r="H79" s="560"/>
      <c r="I79" s="560"/>
      <c r="J79" s="560"/>
    </row>
    <row r="80" spans="1:10" ht="24.75" customHeight="1">
      <c r="A80" s="98" t="s">
        <v>1306</v>
      </c>
      <c r="B80" s="553" t="s">
        <v>1308</v>
      </c>
      <c r="C80" s="552"/>
      <c r="D80" s="552"/>
      <c r="E80" s="552"/>
      <c r="F80" s="560"/>
      <c r="G80" s="560"/>
      <c r="H80" s="560"/>
      <c r="I80" s="560"/>
      <c r="J80" s="560"/>
    </row>
    <row r="81" spans="1:10" ht="24.75" customHeight="1">
      <c r="A81" s="98"/>
      <c r="B81" s="97" t="s">
        <v>1304</v>
      </c>
      <c r="C81" s="552"/>
      <c r="D81" s="552"/>
      <c r="E81" s="552"/>
      <c r="F81" s="560"/>
      <c r="G81" s="560"/>
      <c r="H81" s="560"/>
      <c r="I81" s="560"/>
      <c r="J81" s="560"/>
    </row>
    <row r="82" spans="1:5" ht="18.75">
      <c r="A82" s="98"/>
      <c r="B82" s="97" t="s">
        <v>1303</v>
      </c>
      <c r="C82" s="377"/>
      <c r="D82" s="34"/>
      <c r="E82" s="34"/>
    </row>
    <row r="83" spans="1:5" ht="18.75">
      <c r="A83" s="98"/>
      <c r="B83" s="567" t="s">
        <v>1305</v>
      </c>
      <c r="C83" s="377"/>
      <c r="D83" s="34"/>
      <c r="E83" s="34"/>
    </row>
    <row r="84" spans="1:5" ht="25.5">
      <c r="A84" s="580" t="s">
        <v>1341</v>
      </c>
      <c r="B84" s="579" t="s">
        <v>1337</v>
      </c>
      <c r="C84" s="377">
        <f>SUM(C80:C83)</f>
        <v>0</v>
      </c>
      <c r="D84" s="377">
        <f>SUM(D80:D83)</f>
        <v>0</v>
      </c>
      <c r="E84" s="377">
        <f>SUM(E80:E83)</f>
        <v>0</v>
      </c>
    </row>
    <row r="85" spans="1:5" s="564" customFormat="1" ht="18.75">
      <c r="A85" s="587" t="s">
        <v>1336</v>
      </c>
      <c r="B85" s="587" t="s">
        <v>1340</v>
      </c>
      <c r="C85" s="574">
        <f>SUM(C79+C84)</f>
        <v>0</v>
      </c>
      <c r="D85" s="574">
        <f>SUM(D79+D84)</f>
        <v>0</v>
      </c>
      <c r="E85" s="574">
        <f>SUM(E79+E84)</f>
        <v>0</v>
      </c>
    </row>
    <row r="86" spans="1:5" ht="18.75">
      <c r="A86" s="97" t="s">
        <v>1309</v>
      </c>
      <c r="B86" s="553" t="s">
        <v>1113</v>
      </c>
      <c r="C86" s="553"/>
      <c r="D86" s="553"/>
      <c r="E86" s="553"/>
    </row>
    <row r="87" spans="1:5" s="382" customFormat="1" ht="15">
      <c r="A87" s="97" t="s">
        <v>1310</v>
      </c>
      <c r="B87" s="553" t="s">
        <v>1371</v>
      </c>
      <c r="C87" s="553"/>
      <c r="D87" s="553"/>
      <c r="E87" s="553"/>
    </row>
    <row r="88" spans="1:5" ht="18.75">
      <c r="A88" s="172" t="s">
        <v>1311</v>
      </c>
      <c r="B88" s="553" t="s">
        <v>1117</v>
      </c>
      <c r="C88" s="553"/>
      <c r="D88" s="553"/>
      <c r="E88" s="553"/>
    </row>
    <row r="89" spans="1:5" ht="24" customHeight="1">
      <c r="A89" s="172" t="s">
        <v>1312</v>
      </c>
      <c r="B89" s="553" t="s">
        <v>1118</v>
      </c>
      <c r="C89" s="553"/>
      <c r="D89" s="553"/>
      <c r="E89" s="553"/>
    </row>
    <row r="90" spans="1:5" ht="26.25" customHeight="1">
      <c r="A90" s="172" t="s">
        <v>1313</v>
      </c>
      <c r="B90" s="553" t="s">
        <v>1120</v>
      </c>
      <c r="C90" s="553"/>
      <c r="D90" s="553"/>
      <c r="E90" s="553"/>
    </row>
    <row r="91" spans="1:5" ht="25.5" customHeight="1">
      <c r="A91" s="172" t="s">
        <v>1314</v>
      </c>
      <c r="B91" s="553" t="s">
        <v>1126</v>
      </c>
      <c r="C91" s="553"/>
      <c r="D91" s="553"/>
      <c r="E91" s="553"/>
    </row>
    <row r="92" spans="1:5" ht="18.75">
      <c r="A92" s="584" t="s">
        <v>1315</v>
      </c>
      <c r="B92" s="585" t="s">
        <v>1339</v>
      </c>
      <c r="C92" s="552">
        <f>SUM(C86:C91)</f>
        <v>0</v>
      </c>
      <c r="D92" s="552">
        <f>SUM(D86:D91)</f>
        <v>0</v>
      </c>
      <c r="E92" s="552">
        <f>SUM(E86:E91)</f>
        <v>0</v>
      </c>
    </row>
    <row r="93" spans="1:5" ht="18.75">
      <c r="A93" s="172" t="s">
        <v>1316</v>
      </c>
      <c r="B93" s="553" t="s">
        <v>1130</v>
      </c>
      <c r="C93" s="553"/>
      <c r="D93" s="553"/>
      <c r="E93" s="553"/>
    </row>
    <row r="94" spans="1:5" ht="18.75">
      <c r="A94" s="172" t="s">
        <v>1317</v>
      </c>
      <c r="B94" s="553" t="s">
        <v>1132</v>
      </c>
      <c r="C94" s="553"/>
      <c r="D94" s="553"/>
      <c r="E94" s="553"/>
    </row>
    <row r="95" spans="1:5" ht="18.75">
      <c r="A95" s="172" t="s">
        <v>1318</v>
      </c>
      <c r="B95" s="553" t="s">
        <v>1134</v>
      </c>
      <c r="C95" s="553"/>
      <c r="D95" s="553"/>
      <c r="E95" s="553"/>
    </row>
    <row r="96" spans="1:5" ht="24" customHeight="1">
      <c r="A96" s="172" t="s">
        <v>1319</v>
      </c>
      <c r="B96" s="553" t="s">
        <v>1136</v>
      </c>
      <c r="C96" s="553"/>
      <c r="D96" s="553"/>
      <c r="E96" s="553"/>
    </row>
    <row r="97" spans="1:5" ht="18.75">
      <c r="A97" s="584" t="s">
        <v>1320</v>
      </c>
      <c r="B97" s="585" t="s">
        <v>1338</v>
      </c>
      <c r="C97" s="552">
        <f>SUM(C93:C96)</f>
        <v>0</v>
      </c>
      <c r="D97" s="552">
        <f>SUM(D93:D96)</f>
        <v>0</v>
      </c>
      <c r="E97" s="552">
        <f>SUM(E93:E96)</f>
        <v>0</v>
      </c>
    </row>
    <row r="98" spans="1:5" ht="25.5" customHeight="1">
      <c r="A98" s="172" t="s">
        <v>1323</v>
      </c>
      <c r="B98" s="555" t="s">
        <v>1325</v>
      </c>
      <c r="C98" s="555"/>
      <c r="D98" s="555"/>
      <c r="E98" s="555"/>
    </row>
    <row r="99" spans="1:5" ht="27" customHeight="1">
      <c r="A99" s="457" t="s">
        <v>1322</v>
      </c>
      <c r="B99" s="553" t="s">
        <v>1321</v>
      </c>
      <c r="C99" s="553"/>
      <c r="D99" s="553"/>
      <c r="E99" s="553"/>
    </row>
    <row r="100" spans="1:5" ht="18.75">
      <c r="A100" s="584" t="s">
        <v>1326</v>
      </c>
      <c r="B100" s="586" t="s">
        <v>1324</v>
      </c>
      <c r="C100" s="295">
        <f>SUM(C98:C99)</f>
        <v>0</v>
      </c>
      <c r="D100" s="295">
        <f>SUM(D98:D99)</f>
        <v>0</v>
      </c>
      <c r="E100" s="295">
        <f>SUM(E98:E99)</f>
        <v>0</v>
      </c>
    </row>
    <row r="101" spans="1:5" ht="18.75">
      <c r="A101" s="34"/>
      <c r="B101" s="36" t="s">
        <v>118</v>
      </c>
      <c r="C101" s="581">
        <f>SUM(C100+C97+C92+C85+C78+C29+C23)</f>
        <v>4271</v>
      </c>
      <c r="D101" s="581">
        <f>SUM(D100+D97+D92+D85+D78+D29+D23)</f>
        <v>682</v>
      </c>
      <c r="E101" s="581">
        <f>SUM(E100+E97+E92+E85+E78+E29+E23)</f>
        <v>4292.495</v>
      </c>
    </row>
  </sheetData>
  <sheetProtection/>
  <mergeCells count="1">
    <mergeCell ref="A2:E2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00B050"/>
  </sheetPr>
  <dimension ref="A2:F41"/>
  <sheetViews>
    <sheetView view="pageBreakPreview" zoomScale="60" zoomScalePageLayoutView="0" workbookViewId="0" topLeftCell="A1">
      <selection activeCell="F28" sqref="F28"/>
    </sheetView>
  </sheetViews>
  <sheetFormatPr defaultColWidth="8.66015625" defaultRowHeight="18"/>
  <cols>
    <col min="1" max="1" width="8.91015625" style="196" customWidth="1"/>
    <col min="2" max="2" width="34.25" style="196" bestFit="1" customWidth="1"/>
    <col min="3" max="3" width="10.25" style="196" customWidth="1"/>
    <col min="4" max="4" width="10.33203125" style="196" customWidth="1"/>
    <col min="5" max="16384" width="8.91015625" style="196" customWidth="1"/>
  </cols>
  <sheetData>
    <row r="2" spans="1:6" ht="15">
      <c r="A2" s="234">
        <v>889921</v>
      </c>
      <c r="B2" s="234" t="s">
        <v>278</v>
      </c>
      <c r="C2" s="236" t="s">
        <v>262</v>
      </c>
      <c r="D2" s="418" t="s">
        <v>614</v>
      </c>
      <c r="E2" s="229" t="s">
        <v>702</v>
      </c>
      <c r="F2" s="229" t="s">
        <v>616</v>
      </c>
    </row>
    <row r="3" spans="1:6" ht="15">
      <c r="A3" s="234"/>
      <c r="B3" s="234"/>
      <c r="C3" s="234"/>
      <c r="D3" s="229"/>
      <c r="E3" s="229"/>
      <c r="F3" s="229"/>
    </row>
    <row r="4" spans="1:6" ht="15">
      <c r="A4" s="229"/>
      <c r="B4" s="229"/>
      <c r="C4" s="229"/>
      <c r="D4" s="229"/>
      <c r="E4" s="229"/>
      <c r="F4" s="229"/>
    </row>
    <row r="5" spans="1:6" ht="15">
      <c r="A5" s="229">
        <v>5412</v>
      </c>
      <c r="B5" s="229" t="s">
        <v>491</v>
      </c>
      <c r="C5" s="229">
        <v>1339</v>
      </c>
      <c r="D5" s="229"/>
      <c r="E5" s="229"/>
      <c r="F5" s="229"/>
    </row>
    <row r="6" spans="1:6" ht="15">
      <c r="A6" s="231">
        <v>54</v>
      </c>
      <c r="B6" s="231" t="s">
        <v>359</v>
      </c>
      <c r="C6" s="231"/>
      <c r="D6" s="229">
        <v>1250</v>
      </c>
      <c r="E6" s="229"/>
      <c r="F6" s="232">
        <f>(C33+C38)/1000</f>
        <v>980.4</v>
      </c>
    </row>
    <row r="7" spans="1:6" ht="15">
      <c r="A7" s="231"/>
      <c r="B7" s="231"/>
      <c r="C7" s="231"/>
      <c r="D7" s="229"/>
      <c r="E7" s="229"/>
      <c r="F7" s="232"/>
    </row>
    <row r="8" spans="1:6" ht="15">
      <c r="A8" s="235">
        <v>56121</v>
      </c>
      <c r="B8" s="235" t="s">
        <v>358</v>
      </c>
      <c r="C8" s="235">
        <v>362</v>
      </c>
      <c r="D8" s="229"/>
      <c r="E8" s="229"/>
      <c r="F8" s="232"/>
    </row>
    <row r="9" spans="1:6" ht="15">
      <c r="A9" s="231">
        <v>56</v>
      </c>
      <c r="B9" s="231" t="s">
        <v>357</v>
      </c>
      <c r="C9" s="231"/>
      <c r="D9" s="229">
        <v>337</v>
      </c>
      <c r="E9" s="229"/>
      <c r="F9" s="232">
        <f>F6*27%</f>
        <v>264.708</v>
      </c>
    </row>
    <row r="10" spans="1:6" ht="15">
      <c r="A10" s="231"/>
      <c r="B10" s="231"/>
      <c r="C10" s="231"/>
      <c r="D10" s="229"/>
      <c r="E10" s="229"/>
      <c r="F10" s="229"/>
    </row>
    <row r="11" spans="1:6" ht="15">
      <c r="A11" s="234"/>
      <c r="B11" s="234" t="s">
        <v>0</v>
      </c>
      <c r="C11" s="234">
        <f>SUM(C5:C10)</f>
        <v>1701</v>
      </c>
      <c r="D11" s="233">
        <f>D6+D9</f>
        <v>1587</v>
      </c>
      <c r="E11" s="233">
        <f>E6+E9</f>
        <v>0</v>
      </c>
      <c r="F11" s="233">
        <f>F6+F9</f>
        <v>1245.108</v>
      </c>
    </row>
    <row r="12" spans="1:6" ht="15">
      <c r="A12" s="229"/>
      <c r="B12" s="229"/>
      <c r="C12" s="229"/>
      <c r="D12" s="229"/>
      <c r="E12" s="229"/>
      <c r="F12" s="229"/>
    </row>
    <row r="13" spans="1:6" ht="15">
      <c r="A13" s="229"/>
      <c r="B13" s="229"/>
      <c r="C13" s="229"/>
      <c r="D13" s="229"/>
      <c r="E13" s="229"/>
      <c r="F13" s="229"/>
    </row>
    <row r="14" spans="1:6" ht="15">
      <c r="A14" s="229">
        <v>91121</v>
      </c>
      <c r="B14" s="229" t="s">
        <v>356</v>
      </c>
      <c r="C14" s="229">
        <v>2328</v>
      </c>
      <c r="D14" s="229">
        <v>1429</v>
      </c>
      <c r="E14" s="229"/>
      <c r="F14" s="232">
        <f>(C22+C27)/1000</f>
        <v>1563.12</v>
      </c>
    </row>
    <row r="15" spans="1:6" ht="15">
      <c r="A15" s="229"/>
      <c r="B15" s="229"/>
      <c r="C15" s="229"/>
      <c r="D15" s="229"/>
      <c r="E15" s="229"/>
      <c r="F15" s="232"/>
    </row>
    <row r="16" spans="1:6" ht="15">
      <c r="A16" s="229">
        <v>919231</v>
      </c>
      <c r="B16" s="229" t="s">
        <v>355</v>
      </c>
      <c r="C16" s="229">
        <v>628</v>
      </c>
      <c r="D16" s="229">
        <v>386</v>
      </c>
      <c r="E16" s="229"/>
      <c r="F16" s="232">
        <f>F14*27%</f>
        <v>422.0424</v>
      </c>
    </row>
    <row r="17" spans="1:6" ht="15">
      <c r="A17" s="229"/>
      <c r="B17" s="229"/>
      <c r="C17" s="229"/>
      <c r="D17" s="229"/>
      <c r="E17" s="229"/>
      <c r="F17" s="229"/>
    </row>
    <row r="18" spans="1:6" ht="15">
      <c r="A18" s="231">
        <v>91</v>
      </c>
      <c r="B18" s="231" t="s">
        <v>354</v>
      </c>
      <c r="C18" s="231">
        <f>SUM(C14:C17)</f>
        <v>2956</v>
      </c>
      <c r="D18" s="230">
        <f>SUM(D14:D17)</f>
        <v>1815</v>
      </c>
      <c r="E18" s="230">
        <f>SUM(E14:E17)</f>
        <v>0</v>
      </c>
      <c r="F18" s="230">
        <f>SUM(F14:F17)</f>
        <v>1985.1624</v>
      </c>
    </row>
    <row r="19" spans="1:6" ht="15">
      <c r="A19" s="229"/>
      <c r="B19" s="229"/>
      <c r="C19" s="229"/>
      <c r="D19" s="229"/>
      <c r="E19" s="229"/>
      <c r="F19" s="229"/>
    </row>
    <row r="20" spans="4:5" ht="18.75">
      <c r="D20"/>
      <c r="E20"/>
    </row>
    <row r="21" ht="15">
      <c r="B21" s="196" t="s">
        <v>694</v>
      </c>
    </row>
    <row r="22" spans="2:4" ht="15">
      <c r="B22" s="196" t="s">
        <v>695</v>
      </c>
      <c r="C22" s="196">
        <f>12*40*579</f>
        <v>277920</v>
      </c>
      <c r="D22" s="196" t="s">
        <v>393</v>
      </c>
    </row>
    <row r="23" spans="2:3" ht="15">
      <c r="B23" s="196" t="s">
        <v>232</v>
      </c>
      <c r="C23" s="196">
        <f>C22*0.27</f>
        <v>75038.40000000001</v>
      </c>
    </row>
    <row r="24" spans="2:3" ht="15">
      <c r="B24" s="198" t="s">
        <v>99</v>
      </c>
      <c r="C24" s="197">
        <f>C22*1.27</f>
        <v>352958.4</v>
      </c>
    </row>
    <row r="26" ht="15">
      <c r="B26" s="196" t="s">
        <v>696</v>
      </c>
    </row>
    <row r="27" spans="2:4" ht="15">
      <c r="B27" s="196" t="s">
        <v>697</v>
      </c>
      <c r="C27" s="196">
        <f>12*180*595</f>
        <v>1285200</v>
      </c>
      <c r="D27" s="196" t="s">
        <v>393</v>
      </c>
    </row>
    <row r="28" spans="2:3" ht="15">
      <c r="B28" s="196" t="s">
        <v>232</v>
      </c>
      <c r="C28" s="196">
        <f>C27*0.27</f>
        <v>347004</v>
      </c>
    </row>
    <row r="29" spans="2:3" ht="15">
      <c r="B29" s="198" t="s">
        <v>99</v>
      </c>
      <c r="C29" s="196">
        <f>C27*1.27</f>
        <v>1632204</v>
      </c>
    </row>
    <row r="30" spans="2:4" ht="18.75">
      <c r="B30"/>
      <c r="C30"/>
      <c r="D30"/>
    </row>
    <row r="31" spans="2:4" ht="18.75">
      <c r="B31"/>
      <c r="C31"/>
      <c r="D31"/>
    </row>
    <row r="32" ht="15">
      <c r="B32" s="196" t="s">
        <v>698</v>
      </c>
    </row>
    <row r="33" spans="2:4" ht="15">
      <c r="B33" s="196" t="s">
        <v>699</v>
      </c>
      <c r="C33" s="196">
        <f>12*40*355</f>
        <v>170400</v>
      </c>
      <c r="D33" s="196" t="s">
        <v>393</v>
      </c>
    </row>
    <row r="34" spans="2:3" ht="15">
      <c r="B34" s="196" t="s">
        <v>232</v>
      </c>
      <c r="C34" s="197">
        <f>C33*0.27</f>
        <v>46008</v>
      </c>
    </row>
    <row r="35" spans="2:3" ht="15">
      <c r="B35" s="198" t="s">
        <v>99</v>
      </c>
      <c r="C35" s="197">
        <f>C33*1.27</f>
        <v>216408</v>
      </c>
    </row>
    <row r="36" spans="2:4" ht="18.75">
      <c r="B36"/>
      <c r="C36"/>
      <c r="D36"/>
    </row>
    <row r="37" ht="15">
      <c r="B37" s="196" t="s">
        <v>700</v>
      </c>
    </row>
    <row r="38" spans="2:4" ht="15">
      <c r="B38" s="196" t="s">
        <v>701</v>
      </c>
      <c r="C38" s="196">
        <f>12*180*375</f>
        <v>810000</v>
      </c>
      <c r="D38" s="196" t="s">
        <v>393</v>
      </c>
    </row>
    <row r="39" spans="2:3" ht="15">
      <c r="B39" s="196" t="s">
        <v>232</v>
      </c>
      <c r="C39" s="197">
        <f>C38*0.27</f>
        <v>218700</v>
      </c>
    </row>
    <row r="40" spans="2:3" ht="15">
      <c r="B40" s="198" t="s">
        <v>99</v>
      </c>
      <c r="C40" s="197">
        <f>C38*1.27</f>
        <v>1028700</v>
      </c>
    </row>
    <row r="41" spans="2:3" ht="18.75">
      <c r="B41"/>
      <c r="C41"/>
    </row>
  </sheetData>
  <sheetProtection/>
  <printOptions/>
  <pageMargins left="0.7" right="0.7" top="0.75" bottom="0.75" header="0.3" footer="0.3"/>
  <pageSetup horizontalDpi="300" verticalDpi="300" orientation="portrait" paperSize="9" scale="68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C00000"/>
  </sheetPr>
  <dimension ref="A2:J114"/>
  <sheetViews>
    <sheetView zoomScalePageLayoutView="0" workbookViewId="0" topLeftCell="A82">
      <selection activeCell="D119" sqref="D119"/>
    </sheetView>
  </sheetViews>
  <sheetFormatPr defaultColWidth="8.41015625" defaultRowHeight="18"/>
  <cols>
    <col min="1" max="1" width="8.41015625" style="21" customWidth="1"/>
    <col min="2" max="2" width="29.41015625" style="21" customWidth="1"/>
    <col min="3" max="3" width="8" style="382" customWidth="1"/>
    <col min="4" max="4" width="7.33203125" style="21" customWidth="1"/>
    <col min="5" max="5" width="7.75" style="21" customWidth="1"/>
    <col min="6" max="249" width="7.08203125" style="21" customWidth="1"/>
    <col min="250" max="16384" width="8.41015625" style="21" customWidth="1"/>
  </cols>
  <sheetData>
    <row r="2" spans="1:5" ht="18.75">
      <c r="A2" s="620" t="s">
        <v>1331</v>
      </c>
      <c r="B2" s="620"/>
      <c r="C2" s="620"/>
      <c r="D2" s="620"/>
      <c r="E2" s="620"/>
    </row>
    <row r="3" ht="19.5" thickBot="1">
      <c r="C3" s="243"/>
    </row>
    <row r="4" spans="1:5" ht="19.5" thickBot="1">
      <c r="A4" s="595">
        <v>889921</v>
      </c>
      <c r="B4" s="245" t="s">
        <v>278</v>
      </c>
      <c r="C4" s="421" t="s">
        <v>616</v>
      </c>
      <c r="D4" s="41" t="s">
        <v>626</v>
      </c>
      <c r="E4" s="34">
        <v>2016</v>
      </c>
    </row>
    <row r="5" spans="1:5" ht="19.5" thickBot="1">
      <c r="A5" s="596">
        <v>107051</v>
      </c>
      <c r="B5" s="210"/>
      <c r="C5" s="295"/>
      <c r="D5" s="34"/>
      <c r="E5" s="34"/>
    </row>
    <row r="6" spans="1:5" ht="18.75">
      <c r="A6" s="249" t="s">
        <v>819</v>
      </c>
      <c r="B6" s="250" t="s">
        <v>1238</v>
      </c>
      <c r="C6" s="376"/>
      <c r="D6" s="565"/>
      <c r="E6" s="565"/>
    </row>
    <row r="7" spans="1:5" ht="18.75">
      <c r="A7" s="253" t="s">
        <v>822</v>
      </c>
      <c r="B7" s="254" t="s">
        <v>821</v>
      </c>
      <c r="C7" s="377"/>
      <c r="D7" s="34"/>
      <c r="E7" s="34"/>
    </row>
    <row r="8" spans="1:5" ht="18.75">
      <c r="A8" s="253" t="s">
        <v>823</v>
      </c>
      <c r="B8" s="254" t="s">
        <v>820</v>
      </c>
      <c r="C8" s="377"/>
      <c r="D8" s="34"/>
      <c r="E8" s="381"/>
    </row>
    <row r="9" spans="1:5" ht="18.75">
      <c r="A9" s="253" t="s">
        <v>825</v>
      </c>
      <c r="B9" s="254" t="s">
        <v>824</v>
      </c>
      <c r="C9" s="377"/>
      <c r="D9" s="34"/>
      <c r="E9" s="34"/>
    </row>
    <row r="10" spans="1:5" ht="18.75">
      <c r="A10" s="253" t="s">
        <v>826</v>
      </c>
      <c r="B10" s="260" t="s">
        <v>1239</v>
      </c>
      <c r="C10" s="377"/>
      <c r="D10" s="34"/>
      <c r="E10" s="34"/>
    </row>
    <row r="11" spans="1:5" ht="18.75">
      <c r="A11" s="253" t="s">
        <v>1233</v>
      </c>
      <c r="B11" s="260" t="s">
        <v>1240</v>
      </c>
      <c r="C11" s="378"/>
      <c r="D11" s="34"/>
      <c r="E11" s="34"/>
    </row>
    <row r="12" spans="1:5" ht="18.75">
      <c r="A12" s="253" t="s">
        <v>1241</v>
      </c>
      <c r="B12" s="262" t="s">
        <v>1234</v>
      </c>
      <c r="C12" s="377"/>
      <c r="D12" s="34"/>
      <c r="E12" s="34"/>
    </row>
    <row r="13" spans="1:5" ht="18.75">
      <c r="A13" s="253" t="s">
        <v>1242</v>
      </c>
      <c r="B13" s="262" t="s">
        <v>1235</v>
      </c>
      <c r="C13" s="377"/>
      <c r="D13" s="34"/>
      <c r="E13" s="34"/>
    </row>
    <row r="14" spans="1:5" ht="18.75">
      <c r="A14" s="253" t="s">
        <v>1243</v>
      </c>
      <c r="B14" s="254" t="s">
        <v>528</v>
      </c>
      <c r="C14" s="377"/>
      <c r="D14" s="34"/>
      <c r="E14" s="34"/>
    </row>
    <row r="15" spans="1:5" ht="18.75">
      <c r="A15" s="253" t="s">
        <v>1244</v>
      </c>
      <c r="B15" s="254" t="s">
        <v>1236</v>
      </c>
      <c r="C15" s="377"/>
      <c r="D15" s="34"/>
      <c r="E15" s="34"/>
    </row>
    <row r="16" spans="1:5" ht="19.5" thickBot="1">
      <c r="A16" s="264" t="s">
        <v>1245</v>
      </c>
      <c r="B16" s="265" t="s">
        <v>791</v>
      </c>
      <c r="C16" s="377"/>
      <c r="D16" s="34"/>
      <c r="E16" s="34"/>
    </row>
    <row r="17" spans="1:5" ht="19.5" thickBot="1">
      <c r="A17" s="568" t="s">
        <v>1327</v>
      </c>
      <c r="B17" s="569" t="s">
        <v>1249</v>
      </c>
      <c r="C17" s="379">
        <f>SUM(C6:C16)</f>
        <v>0</v>
      </c>
      <c r="D17" s="379">
        <f>SUM(D6:D16)</f>
        <v>0</v>
      </c>
      <c r="E17" s="379">
        <f>SUM(E6:E16)</f>
        <v>0</v>
      </c>
    </row>
    <row r="18" spans="1:5" ht="19.5" thickBot="1">
      <c r="A18" s="557" t="s">
        <v>1329</v>
      </c>
      <c r="B18" s="558" t="s">
        <v>1248</v>
      </c>
      <c r="C18" s="377"/>
      <c r="D18" s="34"/>
      <c r="E18" s="34"/>
    </row>
    <row r="19" spans="1:5" ht="19.5" thickBot="1">
      <c r="A19" s="557" t="s">
        <v>1328</v>
      </c>
      <c r="B19" s="558" t="s">
        <v>1246</v>
      </c>
      <c r="C19" s="377"/>
      <c r="D19" s="34"/>
      <c r="E19" s="34"/>
    </row>
    <row r="20" spans="1:5" ht="19.5" thickBot="1">
      <c r="A20" s="557" t="s">
        <v>1253</v>
      </c>
      <c r="B20" s="558" t="s">
        <v>19</v>
      </c>
      <c r="C20" s="377"/>
      <c r="D20" s="34"/>
      <c r="E20" s="34"/>
    </row>
    <row r="21" spans="1:5" ht="19.5" thickBot="1">
      <c r="A21" s="557" t="s">
        <v>1254</v>
      </c>
      <c r="B21" s="558" t="s">
        <v>889</v>
      </c>
      <c r="C21" s="377"/>
      <c r="D21" s="34"/>
      <c r="E21" s="34"/>
    </row>
    <row r="22" spans="1:5" ht="19.5" thickBot="1">
      <c r="A22" s="568" t="s">
        <v>1330</v>
      </c>
      <c r="B22" s="569" t="s">
        <v>1247</v>
      </c>
      <c r="C22" s="377">
        <f>SUM(C18:C21)</f>
        <v>0</v>
      </c>
      <c r="D22" s="377">
        <f>SUM(D18:D21)</f>
        <v>0</v>
      </c>
      <c r="E22" s="377">
        <f>SUM(E18:E21)</f>
        <v>0</v>
      </c>
    </row>
    <row r="23" spans="1:5" ht="27" customHeight="1" thickBot="1">
      <c r="A23" s="268" t="s">
        <v>1250</v>
      </c>
      <c r="B23" s="269" t="s">
        <v>1237</v>
      </c>
      <c r="C23" s="379">
        <f>SUM(C22,C17)</f>
        <v>0</v>
      </c>
      <c r="D23" s="379">
        <f>SUM(D22,D17)</f>
        <v>0</v>
      </c>
      <c r="E23" s="379">
        <f>SUM(E22,E17)</f>
        <v>0</v>
      </c>
    </row>
    <row r="24" spans="1:5" ht="19.5" thickBot="1">
      <c r="A24" s="270"/>
      <c r="B24" s="271"/>
      <c r="C24" s="377"/>
      <c r="D24" s="34"/>
      <c r="E24" s="34"/>
    </row>
    <row r="25" spans="1:5" ht="18.75">
      <c r="A25" s="272" t="s">
        <v>1255</v>
      </c>
      <c r="B25" s="97" t="s">
        <v>590</v>
      </c>
      <c r="C25" s="275"/>
      <c r="D25" s="44"/>
      <c r="E25" s="34"/>
    </row>
    <row r="26" spans="1:5" ht="18.75">
      <c r="A26" s="559" t="s">
        <v>1256</v>
      </c>
      <c r="B26" s="97" t="s">
        <v>1251</v>
      </c>
      <c r="C26" s="275"/>
      <c r="D26" s="44"/>
      <c r="E26" s="34"/>
    </row>
    <row r="27" spans="1:5" ht="18.75">
      <c r="A27" s="276" t="s">
        <v>1252</v>
      </c>
      <c r="B27" s="255" t="s">
        <v>4</v>
      </c>
      <c r="C27" s="378"/>
      <c r="D27" s="34"/>
      <c r="E27" s="34"/>
    </row>
    <row r="28" spans="1:5" ht="19.5" thickBot="1">
      <c r="A28" s="462" t="s">
        <v>1257</v>
      </c>
      <c r="B28" s="255" t="s">
        <v>635</v>
      </c>
      <c r="C28" s="378"/>
      <c r="D28" s="34"/>
      <c r="E28" s="34"/>
    </row>
    <row r="29" spans="1:5" ht="19.5" thickBot="1">
      <c r="A29" s="582" t="s">
        <v>1258</v>
      </c>
      <c r="B29" s="583" t="s">
        <v>69</v>
      </c>
      <c r="C29" s="378">
        <f>SUM(C25:C28)</f>
        <v>0</v>
      </c>
      <c r="D29" s="378">
        <f>SUM(D25:D28)</f>
        <v>0</v>
      </c>
      <c r="E29" s="378">
        <f>SUM(E25:E28)</f>
        <v>0</v>
      </c>
    </row>
    <row r="30" spans="1:5" ht="19.5" thickBot="1">
      <c r="A30" s="282"/>
      <c r="B30" s="283"/>
      <c r="C30" s="377"/>
      <c r="D30" s="34"/>
      <c r="E30" s="34"/>
    </row>
    <row r="31" spans="1:5" ht="18.75">
      <c r="A31" s="249" t="s">
        <v>1259</v>
      </c>
      <c r="B31" s="291" t="s">
        <v>533</v>
      </c>
      <c r="C31" s="377"/>
      <c r="D31" s="34"/>
      <c r="E31" s="34"/>
    </row>
    <row r="32" spans="1:5" ht="18.75">
      <c r="A32" s="253" t="s">
        <v>1260</v>
      </c>
      <c r="B32" s="254" t="s">
        <v>534</v>
      </c>
      <c r="C32" s="377"/>
      <c r="D32" s="41"/>
      <c r="E32" s="34"/>
    </row>
    <row r="33" spans="1:5" ht="18.75">
      <c r="A33" s="253" t="s">
        <v>1262</v>
      </c>
      <c r="B33" s="254" t="s">
        <v>1261</v>
      </c>
      <c r="C33" s="377"/>
      <c r="D33" s="41"/>
      <c r="E33" s="34"/>
    </row>
    <row r="34" spans="1:5" ht="18.75">
      <c r="A34" s="253" t="s">
        <v>1263</v>
      </c>
      <c r="B34" s="254" t="s">
        <v>124</v>
      </c>
      <c r="C34" s="377"/>
      <c r="D34" s="41"/>
      <c r="E34" s="34"/>
    </row>
    <row r="35" spans="1:5" ht="18.75">
      <c r="A35" s="253" t="s">
        <v>1264</v>
      </c>
      <c r="B35" s="254" t="s">
        <v>1265</v>
      </c>
      <c r="C35" s="570"/>
      <c r="D35" s="41"/>
      <c r="E35" s="34"/>
    </row>
    <row r="36" spans="1:5" ht="18.75">
      <c r="A36" s="253" t="s">
        <v>1335</v>
      </c>
      <c r="B36" s="562" t="s">
        <v>548</v>
      </c>
      <c r="C36" s="570">
        <f>SUM(C31:C35)</f>
        <v>0</v>
      </c>
      <c r="D36" s="570">
        <f>SUM(D31:D35)</f>
        <v>0</v>
      </c>
      <c r="E36" s="570">
        <f>SUM(E31:E35)</f>
        <v>0</v>
      </c>
    </row>
    <row r="37" spans="1:5" ht="18.75">
      <c r="A37" s="253" t="s">
        <v>1342</v>
      </c>
      <c r="B37" s="254" t="s">
        <v>1343</v>
      </c>
      <c r="C37" s="570"/>
      <c r="D37" s="570">
        <v>796</v>
      </c>
      <c r="E37" s="570">
        <v>1119</v>
      </c>
    </row>
    <row r="38" spans="1:5" ht="18.75">
      <c r="A38" s="253" t="s">
        <v>1344</v>
      </c>
      <c r="B38" s="254" t="s">
        <v>1267</v>
      </c>
      <c r="C38" s="570"/>
      <c r="D38" s="34"/>
      <c r="E38" s="34"/>
    </row>
    <row r="39" spans="1:5" ht="18.75">
      <c r="A39" s="253" t="s">
        <v>1345</v>
      </c>
      <c r="B39" s="254" t="s">
        <v>88</v>
      </c>
      <c r="C39" s="570"/>
      <c r="D39" s="34"/>
      <c r="E39" s="34"/>
    </row>
    <row r="40" spans="1:5" ht="18.75">
      <c r="A40" s="253" t="s">
        <v>1346</v>
      </c>
      <c r="B40" s="254" t="s">
        <v>1268</v>
      </c>
      <c r="C40" s="377"/>
      <c r="D40" s="34"/>
      <c r="E40" s="34"/>
    </row>
    <row r="41" spans="1:5" ht="19.5" thickBot="1">
      <c r="A41" s="288" t="s">
        <v>1347</v>
      </c>
      <c r="B41" s="289" t="s">
        <v>1269</v>
      </c>
      <c r="C41" s="377"/>
      <c r="D41" s="34"/>
      <c r="E41" s="34"/>
    </row>
    <row r="42" spans="1:5" ht="17.25" customHeight="1" thickBot="1">
      <c r="A42" s="268" t="s">
        <v>1266</v>
      </c>
      <c r="B42" s="571" t="s">
        <v>1270</v>
      </c>
      <c r="C42" s="377">
        <f>SUM(C37:C41)</f>
        <v>0</v>
      </c>
      <c r="D42" s="377">
        <f>SUM(D37:D41)</f>
        <v>796</v>
      </c>
      <c r="E42" s="377">
        <f>SUM(E37:E41)</f>
        <v>1119</v>
      </c>
    </row>
    <row r="43" spans="1:5" ht="22.5" customHeight="1" thickBot="1">
      <c r="A43" s="572" t="s">
        <v>1300</v>
      </c>
      <c r="B43" s="573" t="s">
        <v>595</v>
      </c>
      <c r="C43" s="574">
        <f>SUM(C42,C36)</f>
        <v>0</v>
      </c>
      <c r="D43" s="574">
        <f>SUM(D42,D36)</f>
        <v>796</v>
      </c>
      <c r="E43" s="574">
        <f>SUM(E42,E36)</f>
        <v>1119</v>
      </c>
    </row>
    <row r="44" spans="1:5" ht="18.75">
      <c r="A44" s="249" t="s">
        <v>1271</v>
      </c>
      <c r="B44" s="291" t="s">
        <v>1348</v>
      </c>
      <c r="C44" s="377"/>
      <c r="D44" s="34"/>
      <c r="E44" s="34"/>
    </row>
    <row r="45" spans="1:5" ht="18.75">
      <c r="A45" s="494" t="s">
        <v>1350</v>
      </c>
      <c r="B45" s="590" t="s">
        <v>1351</v>
      </c>
      <c r="C45" s="377"/>
      <c r="D45" s="34"/>
      <c r="E45" s="34"/>
    </row>
    <row r="46" spans="1:5" ht="18.75">
      <c r="A46" s="253" t="s">
        <v>1272</v>
      </c>
      <c r="B46" s="254" t="s">
        <v>1349</v>
      </c>
      <c r="C46" s="295"/>
      <c r="D46" s="566"/>
      <c r="E46" s="34"/>
    </row>
    <row r="47" spans="1:5" ht="18.75">
      <c r="A47" s="575" t="s">
        <v>1301</v>
      </c>
      <c r="B47" s="576" t="s">
        <v>1366</v>
      </c>
      <c r="C47" s="577">
        <f>SUM(C44:C46)</f>
        <v>0</v>
      </c>
      <c r="D47" s="577">
        <f>SUM(D44:D46)</f>
        <v>0</v>
      </c>
      <c r="E47" s="577">
        <f>SUM(E44:E46)</f>
        <v>0</v>
      </c>
    </row>
    <row r="48" spans="1:5" ht="18.75">
      <c r="A48" s="253" t="s">
        <v>1275</v>
      </c>
      <c r="B48" s="254" t="s">
        <v>544</v>
      </c>
      <c r="C48" s="295"/>
      <c r="D48" s="566"/>
      <c r="E48" s="34"/>
    </row>
    <row r="49" spans="1:5" ht="18.75">
      <c r="A49" s="253" t="s">
        <v>1274</v>
      </c>
      <c r="B49" s="254" t="s">
        <v>543</v>
      </c>
      <c r="C49" s="295"/>
      <c r="D49" s="34"/>
      <c r="E49" s="34"/>
    </row>
    <row r="50" spans="1:5" ht="18.75">
      <c r="A50" s="253" t="s">
        <v>1276</v>
      </c>
      <c r="B50" s="254" t="s">
        <v>503</v>
      </c>
      <c r="C50" s="295"/>
      <c r="D50" s="34"/>
      <c r="E50" s="34"/>
    </row>
    <row r="51" spans="1:5" ht="18.75">
      <c r="A51" s="575" t="s">
        <v>1273</v>
      </c>
      <c r="B51" s="576" t="s">
        <v>1277</v>
      </c>
      <c r="C51" s="577">
        <f>SUM(C48:C50)</f>
        <v>0</v>
      </c>
      <c r="D51" s="577">
        <f>SUM(D48:D50)</f>
        <v>0</v>
      </c>
      <c r="E51" s="577">
        <f>SUM(E48:E50)</f>
        <v>0</v>
      </c>
    </row>
    <row r="52" spans="1:5" ht="18.75">
      <c r="A52" s="253" t="s">
        <v>1332</v>
      </c>
      <c r="B52" s="254" t="s">
        <v>1278</v>
      </c>
      <c r="C52" s="295"/>
      <c r="D52" s="34"/>
      <c r="E52" s="34"/>
    </row>
    <row r="53" spans="1:5" ht="18.75">
      <c r="A53" s="253" t="s">
        <v>1280</v>
      </c>
      <c r="B53" s="254" t="s">
        <v>26</v>
      </c>
      <c r="C53" s="295"/>
      <c r="D53" s="41"/>
      <c r="E53" s="34"/>
    </row>
    <row r="54" spans="1:5" ht="18.75">
      <c r="A54" s="253" t="s">
        <v>1281</v>
      </c>
      <c r="B54" s="254" t="s">
        <v>1352</v>
      </c>
      <c r="C54" s="377"/>
      <c r="D54" s="34"/>
      <c r="E54" s="34"/>
    </row>
    <row r="55" spans="1:5" ht="18.75">
      <c r="A55" s="575" t="s">
        <v>1283</v>
      </c>
      <c r="B55" s="576" t="s">
        <v>1282</v>
      </c>
      <c r="C55" s="574">
        <f>SUM(C53:C54)</f>
        <v>0</v>
      </c>
      <c r="D55" s="574">
        <f>SUM(D53:D54)</f>
        <v>0</v>
      </c>
      <c r="E55" s="574">
        <f>SUM(E53:E54)</f>
        <v>0</v>
      </c>
    </row>
    <row r="56" spans="1:5" ht="18.75">
      <c r="A56" s="575" t="s">
        <v>1284</v>
      </c>
      <c r="B56" s="588" t="s">
        <v>1333</v>
      </c>
      <c r="C56" s="589"/>
      <c r="D56" s="589"/>
      <c r="E56" s="589"/>
    </row>
    <row r="57" spans="1:5" ht="18.75">
      <c r="A57" s="288"/>
      <c r="B57" s="554" t="s">
        <v>943</v>
      </c>
      <c r="C57" s="554"/>
      <c r="D57" s="554"/>
      <c r="E57" s="554"/>
    </row>
    <row r="58" spans="1:5" ht="18.75">
      <c r="A58" s="288" t="s">
        <v>1353</v>
      </c>
      <c r="B58" s="554" t="s">
        <v>547</v>
      </c>
      <c r="C58" s="554"/>
      <c r="D58" s="554"/>
      <c r="E58" s="554"/>
    </row>
    <row r="59" spans="1:5" ht="18.75">
      <c r="A59" s="288" t="s">
        <v>1354</v>
      </c>
      <c r="B59" s="554" t="s">
        <v>1355</v>
      </c>
      <c r="C59" s="554"/>
      <c r="D59" s="554"/>
      <c r="E59" s="554"/>
    </row>
    <row r="60" spans="1:5" ht="27" customHeight="1">
      <c r="A60" s="561" t="s">
        <v>1285</v>
      </c>
      <c r="B60" s="552" t="s">
        <v>945</v>
      </c>
      <c r="C60" s="591">
        <f>SUM(C58:C59)</f>
        <v>0</v>
      </c>
      <c r="D60" s="591">
        <f>SUM(D58:D59)</f>
        <v>0</v>
      </c>
      <c r="E60" s="591">
        <f>SUM(E58:E59)</f>
        <v>0</v>
      </c>
    </row>
    <row r="61" spans="1:5" ht="23.25" customHeight="1">
      <c r="A61" s="462" t="s">
        <v>1356</v>
      </c>
      <c r="B61" s="553" t="s">
        <v>1362</v>
      </c>
      <c r="C61" s="591"/>
      <c r="D61" s="591"/>
      <c r="E61" s="591"/>
    </row>
    <row r="62" spans="1:5" ht="23.25" customHeight="1">
      <c r="A62" s="462" t="s">
        <v>1357</v>
      </c>
      <c r="B62" s="553" t="s">
        <v>1358</v>
      </c>
      <c r="C62" s="591"/>
      <c r="D62" s="591"/>
      <c r="E62" s="591"/>
    </row>
    <row r="63" spans="1:5" ht="23.25" customHeight="1">
      <c r="A63" s="462" t="s">
        <v>1359</v>
      </c>
      <c r="B63" s="553" t="s">
        <v>9</v>
      </c>
      <c r="C63" s="591"/>
      <c r="D63" s="591"/>
      <c r="E63" s="591"/>
    </row>
    <row r="64" spans="1:6" ht="23.25" customHeight="1" thickBot="1">
      <c r="A64" s="462" t="s">
        <v>1360</v>
      </c>
      <c r="B64" s="553" t="s">
        <v>1361</v>
      </c>
      <c r="C64" s="591"/>
      <c r="D64" s="591"/>
      <c r="E64" s="591"/>
      <c r="F64" s="21" t="s">
        <v>1368</v>
      </c>
    </row>
    <row r="65" spans="1:5" ht="17.25" customHeight="1" thickBot="1">
      <c r="A65" s="298" t="s">
        <v>1286</v>
      </c>
      <c r="B65" s="552" t="s">
        <v>948</v>
      </c>
      <c r="C65" s="591">
        <f>SUM(C61:C64)</f>
        <v>0</v>
      </c>
      <c r="D65" s="591">
        <f>SUM(D61:D64)</f>
        <v>0</v>
      </c>
      <c r="E65" s="591">
        <f>SUM(E61:E64)</f>
        <v>0</v>
      </c>
    </row>
    <row r="66" spans="1:5" ht="25.5" customHeight="1">
      <c r="A66" s="578" t="s">
        <v>1279</v>
      </c>
      <c r="B66" s="579" t="s">
        <v>1287</v>
      </c>
      <c r="C66" s="579">
        <f>SUM(C65+C60+C56+C55+C52)</f>
        <v>0</v>
      </c>
      <c r="D66" s="579">
        <f>SUM(D65+D60+D56+D55+D52)</f>
        <v>0</v>
      </c>
      <c r="E66" s="579">
        <f>SUM(E65+E60+E56+E55+E52)</f>
        <v>0</v>
      </c>
    </row>
    <row r="67" spans="1:5" ht="18.75">
      <c r="A67" s="253" t="s">
        <v>1288</v>
      </c>
      <c r="B67" s="553" t="s">
        <v>952</v>
      </c>
      <c r="C67" s="553"/>
      <c r="D67" s="553"/>
      <c r="E67" s="553"/>
    </row>
    <row r="68" spans="1:5" ht="18.75">
      <c r="A68" s="253" t="s">
        <v>1289</v>
      </c>
      <c r="B68" s="553" t="s">
        <v>954</v>
      </c>
      <c r="C68" s="553"/>
      <c r="D68" s="553"/>
      <c r="E68" s="553"/>
    </row>
    <row r="69" spans="1:5" ht="24" customHeight="1">
      <c r="A69" s="575" t="s">
        <v>1291</v>
      </c>
      <c r="B69" s="579" t="s">
        <v>1290</v>
      </c>
      <c r="C69" s="579">
        <f>SUM(C67:C68)</f>
        <v>0</v>
      </c>
      <c r="D69" s="579">
        <f>SUM(D67:D68)</f>
        <v>0</v>
      </c>
      <c r="E69" s="579">
        <f>SUM(E67:E68)</f>
        <v>0</v>
      </c>
    </row>
    <row r="70" spans="1:7" ht="26.25" customHeight="1" thickBot="1">
      <c r="A70" s="561" t="s">
        <v>1294</v>
      </c>
      <c r="B70" s="552" t="s">
        <v>958</v>
      </c>
      <c r="C70" s="552"/>
      <c r="D70" s="552">
        <v>196</v>
      </c>
      <c r="E70" s="552">
        <v>302</v>
      </c>
      <c r="F70" s="21">
        <f>E43</f>
        <v>1119</v>
      </c>
      <c r="G70" s="21">
        <f>F70*27%</f>
        <v>302.13</v>
      </c>
    </row>
    <row r="71" spans="1:5" ht="27" customHeight="1" thickBot="1">
      <c r="A71" s="268" t="s">
        <v>1295</v>
      </c>
      <c r="B71" s="552" t="s">
        <v>960</v>
      </c>
      <c r="C71" s="552"/>
      <c r="D71" s="552"/>
      <c r="E71" s="552"/>
    </row>
    <row r="72" spans="1:5" ht="19.5" thickBot="1">
      <c r="A72" s="210" t="s">
        <v>1296</v>
      </c>
      <c r="B72" s="552" t="s">
        <v>1293</v>
      </c>
      <c r="C72" s="552"/>
      <c r="D72" s="552"/>
      <c r="E72" s="552"/>
    </row>
    <row r="73" spans="1:5" ht="24.75" customHeight="1">
      <c r="A73" s="593" t="s">
        <v>1298</v>
      </c>
      <c r="B73" s="594" t="s">
        <v>1363</v>
      </c>
      <c r="C73" s="594"/>
      <c r="D73" s="552"/>
      <c r="E73" s="552"/>
    </row>
    <row r="74" spans="1:6" ht="24.75" customHeight="1">
      <c r="A74" s="592" t="s">
        <v>1364</v>
      </c>
      <c r="B74" s="563" t="s">
        <v>1365</v>
      </c>
      <c r="C74" s="563"/>
      <c r="D74" s="553"/>
      <c r="E74" s="553"/>
      <c r="F74" s="21" t="s">
        <v>1369</v>
      </c>
    </row>
    <row r="75" spans="1:5" ht="24.75" customHeight="1">
      <c r="A75" s="592" t="s">
        <v>1370</v>
      </c>
      <c r="B75" s="563" t="s">
        <v>1367</v>
      </c>
      <c r="C75" s="563"/>
      <c r="D75" s="553"/>
      <c r="E75" s="553"/>
    </row>
    <row r="76" spans="1:5" ht="18.75">
      <c r="A76" s="98" t="s">
        <v>1297</v>
      </c>
      <c r="B76" s="552" t="s">
        <v>970</v>
      </c>
      <c r="C76" s="552">
        <f>SUM(C74:C75)</f>
        <v>0</v>
      </c>
      <c r="D76" s="552">
        <f>SUM(D74:D75)</f>
        <v>0</v>
      </c>
      <c r="E76" s="552">
        <f>SUM(E74:E75)</f>
        <v>0</v>
      </c>
    </row>
    <row r="77" spans="1:5" ht="24.75" customHeight="1">
      <c r="A77" s="580" t="s">
        <v>1292</v>
      </c>
      <c r="B77" s="579" t="s">
        <v>1334</v>
      </c>
      <c r="C77" s="579">
        <f>C76+C73+C72+C71+C70</f>
        <v>0</v>
      </c>
      <c r="D77" s="579">
        <f>D76+D73+D72+D71+D70</f>
        <v>196</v>
      </c>
      <c r="E77" s="579">
        <f>E76+E73+E72+E71+E70</f>
        <v>302</v>
      </c>
    </row>
    <row r="78" spans="1:10" ht="24.75" customHeight="1">
      <c r="A78" s="587" t="s">
        <v>1299</v>
      </c>
      <c r="B78" s="585" t="s">
        <v>70</v>
      </c>
      <c r="C78" s="579">
        <f>SUM(C77+C69+C66+C47+C43)</f>
        <v>0</v>
      </c>
      <c r="D78" s="579">
        <f>SUM(D77+D69+D66+D47+D43)</f>
        <v>992</v>
      </c>
      <c r="E78" s="579">
        <f>SUM(E77+E69+E66+E47+E43)</f>
        <v>1421</v>
      </c>
      <c r="F78" s="560"/>
      <c r="G78" s="560"/>
      <c r="H78" s="560"/>
      <c r="I78" s="560"/>
      <c r="J78" s="560"/>
    </row>
    <row r="79" spans="1:10" ht="24.75" customHeight="1">
      <c r="A79" s="98" t="s">
        <v>1307</v>
      </c>
      <c r="B79" s="553" t="s">
        <v>1302</v>
      </c>
      <c r="C79" s="552"/>
      <c r="D79" s="552"/>
      <c r="E79" s="552"/>
      <c r="F79" s="560"/>
      <c r="G79" s="560"/>
      <c r="H79" s="560"/>
      <c r="I79" s="560"/>
      <c r="J79" s="560"/>
    </row>
    <row r="80" spans="1:10" ht="24.75" customHeight="1">
      <c r="A80" s="98" t="s">
        <v>1306</v>
      </c>
      <c r="B80" s="553" t="s">
        <v>1308</v>
      </c>
      <c r="C80" s="552"/>
      <c r="D80" s="552"/>
      <c r="E80" s="552"/>
      <c r="F80" s="560"/>
      <c r="G80" s="560"/>
      <c r="H80" s="560"/>
      <c r="I80" s="560"/>
      <c r="J80" s="560"/>
    </row>
    <row r="81" spans="1:10" ht="24.75" customHeight="1">
      <c r="A81" s="98"/>
      <c r="B81" s="97" t="s">
        <v>1304</v>
      </c>
      <c r="C81" s="552"/>
      <c r="D81" s="552"/>
      <c r="E81" s="552"/>
      <c r="F81" s="560"/>
      <c r="G81" s="560"/>
      <c r="H81" s="560"/>
      <c r="I81" s="560"/>
      <c r="J81" s="560"/>
    </row>
    <row r="82" spans="1:5" ht="18.75">
      <c r="A82" s="98"/>
      <c r="B82" s="97" t="s">
        <v>1303</v>
      </c>
      <c r="C82" s="377"/>
      <c r="D82" s="34"/>
      <c r="E82" s="34"/>
    </row>
    <row r="83" spans="1:5" ht="18.75">
      <c r="A83" s="98"/>
      <c r="B83" s="567" t="s">
        <v>1305</v>
      </c>
      <c r="C83" s="377"/>
      <c r="D83" s="34"/>
      <c r="E83" s="34"/>
    </row>
    <row r="84" spans="1:5" ht="25.5">
      <c r="A84" s="580" t="s">
        <v>1341</v>
      </c>
      <c r="B84" s="579" t="s">
        <v>1337</v>
      </c>
      <c r="C84" s="377">
        <f>SUM(C80:C83)</f>
        <v>0</v>
      </c>
      <c r="D84" s="377">
        <f>SUM(D80:D83)</f>
        <v>0</v>
      </c>
      <c r="E84" s="377">
        <f>SUM(E80:E83)</f>
        <v>0</v>
      </c>
    </row>
    <row r="85" spans="1:5" s="564" customFormat="1" ht="18.75">
      <c r="A85" s="587" t="s">
        <v>1336</v>
      </c>
      <c r="B85" s="587" t="s">
        <v>1340</v>
      </c>
      <c r="C85" s="574">
        <f>SUM(C79+C84)</f>
        <v>0</v>
      </c>
      <c r="D85" s="574">
        <f>SUM(D79+D84)</f>
        <v>0</v>
      </c>
      <c r="E85" s="574">
        <f>SUM(E79+E84)</f>
        <v>0</v>
      </c>
    </row>
    <row r="86" spans="1:5" ht="18.75">
      <c r="A86" s="97" t="s">
        <v>1309</v>
      </c>
      <c r="B86" s="553" t="s">
        <v>1113</v>
      </c>
      <c r="C86" s="553"/>
      <c r="D86" s="553"/>
      <c r="E86" s="553"/>
    </row>
    <row r="87" spans="1:5" s="382" customFormat="1" ht="15">
      <c r="A87" s="97" t="s">
        <v>1310</v>
      </c>
      <c r="B87" s="553" t="s">
        <v>1371</v>
      </c>
      <c r="C87" s="553"/>
      <c r="D87" s="553"/>
      <c r="E87" s="553"/>
    </row>
    <row r="88" spans="1:5" ht="18.75">
      <c r="A88" s="172" t="s">
        <v>1311</v>
      </c>
      <c r="B88" s="553" t="s">
        <v>1117</v>
      </c>
      <c r="C88" s="553"/>
      <c r="D88" s="553"/>
      <c r="E88" s="553"/>
    </row>
    <row r="89" spans="1:5" ht="24" customHeight="1">
      <c r="A89" s="172" t="s">
        <v>1312</v>
      </c>
      <c r="B89" s="553" t="s">
        <v>1118</v>
      </c>
      <c r="C89" s="553"/>
      <c r="D89" s="553"/>
      <c r="E89" s="553"/>
    </row>
    <row r="90" spans="1:5" ht="26.25" customHeight="1">
      <c r="A90" s="172" t="s">
        <v>1313</v>
      </c>
      <c r="B90" s="553" t="s">
        <v>1120</v>
      </c>
      <c r="C90" s="553"/>
      <c r="D90" s="553"/>
      <c r="E90" s="553"/>
    </row>
    <row r="91" spans="1:5" ht="25.5" customHeight="1">
      <c r="A91" s="172" t="s">
        <v>1314</v>
      </c>
      <c r="B91" s="553" t="s">
        <v>1126</v>
      </c>
      <c r="C91" s="553"/>
      <c r="D91" s="553"/>
      <c r="E91" s="553"/>
    </row>
    <row r="92" spans="1:5" ht="18.75">
      <c r="A92" s="584" t="s">
        <v>1315</v>
      </c>
      <c r="B92" s="585" t="s">
        <v>1339</v>
      </c>
      <c r="C92" s="552">
        <f>SUM(C86:C91)</f>
        <v>0</v>
      </c>
      <c r="D92" s="552">
        <f>SUM(D86:D91)</f>
        <v>0</v>
      </c>
      <c r="E92" s="552">
        <f>SUM(E86:E91)</f>
        <v>0</v>
      </c>
    </row>
    <row r="93" spans="1:5" ht="18.75">
      <c r="A93" s="172" t="s">
        <v>1316</v>
      </c>
      <c r="B93" s="553" t="s">
        <v>1130</v>
      </c>
      <c r="C93" s="553"/>
      <c r="D93" s="553"/>
      <c r="E93" s="553"/>
    </row>
    <row r="94" spans="1:5" ht="18.75">
      <c r="A94" s="172" t="s">
        <v>1317</v>
      </c>
      <c r="B94" s="553" t="s">
        <v>1132</v>
      </c>
      <c r="C94" s="553"/>
      <c r="D94" s="553"/>
      <c r="E94" s="553"/>
    </row>
    <row r="95" spans="1:5" ht="18.75">
      <c r="A95" s="172" t="s">
        <v>1318</v>
      </c>
      <c r="B95" s="553" t="s">
        <v>1134</v>
      </c>
      <c r="C95" s="553"/>
      <c r="D95" s="553"/>
      <c r="E95" s="553"/>
    </row>
    <row r="96" spans="1:5" ht="24" customHeight="1">
      <c r="A96" s="172" t="s">
        <v>1319</v>
      </c>
      <c r="B96" s="553" t="s">
        <v>1136</v>
      </c>
      <c r="C96" s="553"/>
      <c r="D96" s="553"/>
      <c r="E96" s="553"/>
    </row>
    <row r="97" spans="1:5" ht="18.75">
      <c r="A97" s="584" t="s">
        <v>1320</v>
      </c>
      <c r="B97" s="585" t="s">
        <v>1338</v>
      </c>
      <c r="C97" s="552">
        <f>SUM(C93:C96)</f>
        <v>0</v>
      </c>
      <c r="D97" s="552">
        <f>SUM(D93:D96)</f>
        <v>0</v>
      </c>
      <c r="E97" s="552">
        <f>SUM(E93:E96)</f>
        <v>0</v>
      </c>
    </row>
    <row r="98" spans="1:5" ht="25.5" customHeight="1">
      <c r="A98" s="172" t="s">
        <v>1323</v>
      </c>
      <c r="B98" s="555" t="s">
        <v>1325</v>
      </c>
      <c r="C98" s="555"/>
      <c r="D98" s="555"/>
      <c r="E98" s="555"/>
    </row>
    <row r="99" spans="1:5" ht="27" customHeight="1">
      <c r="A99" s="457" t="s">
        <v>1322</v>
      </c>
      <c r="B99" s="553" t="s">
        <v>1321</v>
      </c>
      <c r="C99" s="553"/>
      <c r="D99" s="553"/>
      <c r="E99" s="553"/>
    </row>
    <row r="100" spans="1:5" ht="18.75">
      <c r="A100" s="584" t="s">
        <v>1326</v>
      </c>
      <c r="B100" s="586" t="s">
        <v>1324</v>
      </c>
      <c r="C100" s="295">
        <f>SUM(C98:C99)</f>
        <v>0</v>
      </c>
      <c r="D100" s="295">
        <f>SUM(D98:D99)</f>
        <v>0</v>
      </c>
      <c r="E100" s="295">
        <f>SUM(E98:E99)</f>
        <v>0</v>
      </c>
    </row>
    <row r="101" spans="1:5" ht="18.75">
      <c r="A101" s="34"/>
      <c r="B101" s="36" t="s">
        <v>118</v>
      </c>
      <c r="C101" s="581">
        <f>SUM(C100+C97+C92+C85+C78+C29+C23)</f>
        <v>0</v>
      </c>
      <c r="D101" s="581">
        <f>SUM(D100+D97+D92+D85+D78+D29+D23)</f>
        <v>992</v>
      </c>
      <c r="E101" s="581">
        <f>SUM(E100+E97+E92+E85+E78+E29+E23)</f>
        <v>1421</v>
      </c>
    </row>
    <row r="104" spans="2:4" ht="18.75">
      <c r="B104" s="607" t="s">
        <v>698</v>
      </c>
      <c r="C104" s="607"/>
      <c r="D104" s="607"/>
    </row>
    <row r="105" spans="2:4" ht="18.75">
      <c r="B105" s="196" t="s">
        <v>1491</v>
      </c>
      <c r="C105" s="607">
        <f>13*40*375</f>
        <v>195000</v>
      </c>
      <c r="D105" s="607" t="s">
        <v>393</v>
      </c>
    </row>
    <row r="106" spans="2:4" ht="18.75">
      <c r="B106" s="607" t="s">
        <v>232</v>
      </c>
      <c r="C106" s="608">
        <f>C105*0.27</f>
        <v>52650</v>
      </c>
      <c r="D106" s="607"/>
    </row>
    <row r="107" spans="2:4" ht="18.75">
      <c r="B107" s="609" t="s">
        <v>99</v>
      </c>
      <c r="C107" s="608">
        <f>C105*1.27</f>
        <v>247650</v>
      </c>
      <c r="D107" s="607"/>
    </row>
    <row r="108" spans="2:4" ht="18.75">
      <c r="B108"/>
      <c r="C108"/>
      <c r="D108"/>
    </row>
    <row r="109" spans="2:4" ht="18.75">
      <c r="B109" s="607" t="s">
        <v>700</v>
      </c>
      <c r="C109" s="607"/>
      <c r="D109" s="607"/>
    </row>
    <row r="110" spans="2:4" ht="18.75">
      <c r="B110" s="196" t="s">
        <v>1492</v>
      </c>
      <c r="C110" s="607">
        <f>13*180*395</f>
        <v>924300</v>
      </c>
      <c r="D110" s="607" t="s">
        <v>393</v>
      </c>
    </row>
    <row r="111" spans="2:4" ht="18.75">
      <c r="B111" s="607" t="s">
        <v>232</v>
      </c>
      <c r="C111" s="608">
        <f>C110*0.27</f>
        <v>249561.00000000003</v>
      </c>
      <c r="D111" s="607"/>
    </row>
    <row r="112" spans="2:4" ht="18.75">
      <c r="B112" s="609" t="s">
        <v>99</v>
      </c>
      <c r="C112" s="608">
        <f>C110*1.27</f>
        <v>1173861</v>
      </c>
      <c r="D112" s="607"/>
    </row>
    <row r="113" spans="2:4" ht="18.75">
      <c r="B113"/>
      <c r="C113"/>
      <c r="D113"/>
    </row>
    <row r="114" spans="2:4" ht="18.75">
      <c r="B114"/>
      <c r="C114"/>
      <c r="D114"/>
    </row>
  </sheetData>
  <sheetProtection/>
  <mergeCells count="1">
    <mergeCell ref="A2:E2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00B050"/>
  </sheetPr>
  <dimension ref="A2:H47"/>
  <sheetViews>
    <sheetView view="pageBreakPreview" zoomScale="60" zoomScalePageLayoutView="0" workbookViewId="0" topLeftCell="A1">
      <selection activeCell="H12" sqref="H12"/>
    </sheetView>
  </sheetViews>
  <sheetFormatPr defaultColWidth="8.66015625" defaultRowHeight="18"/>
  <cols>
    <col min="1" max="1" width="8.91015625" style="21" customWidth="1"/>
    <col min="2" max="2" width="45.58203125" style="21" customWidth="1"/>
    <col min="3" max="3" width="6.75" style="21" customWidth="1"/>
    <col min="4" max="4" width="8" style="3" customWidth="1"/>
    <col min="5" max="5" width="8.33203125" style="21" customWidth="1"/>
    <col min="6" max="8" width="8.91015625" style="21" customWidth="1"/>
    <col min="9" max="9" width="11.66015625" style="21" customWidth="1"/>
    <col min="10" max="16384" width="8.91015625" style="21" customWidth="1"/>
  </cols>
  <sheetData>
    <row r="2" spans="1:4" ht="19.5" thickBot="1">
      <c r="A2" s="3">
        <v>889924</v>
      </c>
      <c r="B2" s="136" t="s">
        <v>204</v>
      </c>
      <c r="C2" s="23"/>
      <c r="D2" s="9"/>
    </row>
    <row r="3" spans="1:7" ht="36.75" customHeight="1">
      <c r="A3" s="23"/>
      <c r="B3" s="9"/>
      <c r="C3" s="120" t="s">
        <v>265</v>
      </c>
      <c r="D3" s="134" t="s">
        <v>281</v>
      </c>
      <c r="E3" s="326" t="s">
        <v>614</v>
      </c>
      <c r="F3" s="41" t="s">
        <v>626</v>
      </c>
      <c r="G3" s="41" t="s">
        <v>616</v>
      </c>
    </row>
    <row r="4" spans="1:7" ht="18.75">
      <c r="A4" s="34"/>
      <c r="B4" s="34"/>
      <c r="C4" s="137"/>
      <c r="D4" s="138"/>
      <c r="E4" s="34"/>
      <c r="F4" s="34"/>
      <c r="G4" s="34"/>
    </row>
    <row r="5" spans="1:7" ht="18.75">
      <c r="A5" s="729">
        <v>5531</v>
      </c>
      <c r="B5" s="730" t="s">
        <v>812</v>
      </c>
      <c r="C5" s="732">
        <v>834</v>
      </c>
      <c r="D5" s="733">
        <v>834</v>
      </c>
      <c r="E5" s="34"/>
      <c r="F5" s="34"/>
      <c r="G5" s="34"/>
    </row>
    <row r="6" spans="1:8" ht="36.75" customHeight="1">
      <c r="A6" s="729"/>
      <c r="B6" s="731"/>
      <c r="C6" s="732"/>
      <c r="D6" s="734"/>
      <c r="E6" s="34">
        <v>834</v>
      </c>
      <c r="F6" s="34">
        <v>558</v>
      </c>
      <c r="G6" s="34">
        <v>800</v>
      </c>
      <c r="H6"/>
    </row>
    <row r="7" spans="1:8" ht="36.75" customHeight="1">
      <c r="A7" s="534"/>
      <c r="B7" s="423" t="s">
        <v>813</v>
      </c>
      <c r="C7" s="535"/>
      <c r="D7" s="536"/>
      <c r="E7" s="34"/>
      <c r="F7" s="34"/>
      <c r="G7" s="540">
        <v>372</v>
      </c>
      <c r="H7" t="s">
        <v>814</v>
      </c>
    </row>
    <row r="8" spans="1:7" ht="18.75">
      <c r="A8" s="36">
        <v>55</v>
      </c>
      <c r="B8" s="36" t="s">
        <v>94</v>
      </c>
      <c r="C8" s="44">
        <f>SUM(C4:C6)</f>
        <v>834</v>
      </c>
      <c r="D8" s="43">
        <f>SUM(D4:D6)</f>
        <v>834</v>
      </c>
      <c r="E8" s="43">
        <f>SUM(E4:E6)</f>
        <v>834</v>
      </c>
      <c r="F8" s="43">
        <f>SUM(F4:F6)</f>
        <v>558</v>
      </c>
      <c r="G8" s="43">
        <f>SUM(G6:G7)</f>
        <v>1172</v>
      </c>
    </row>
    <row r="9" spans="1:7" ht="18.75">
      <c r="A9" s="36"/>
      <c r="B9" s="36"/>
      <c r="C9" s="34"/>
      <c r="D9" s="36"/>
      <c r="E9" s="34"/>
      <c r="F9" s="34"/>
      <c r="G9" s="34"/>
    </row>
    <row r="10" spans="1:7" ht="18.75">
      <c r="A10" s="36"/>
      <c r="B10" s="36" t="s">
        <v>29</v>
      </c>
      <c r="C10" s="44">
        <f>SUM(C8,)</f>
        <v>834</v>
      </c>
      <c r="D10" s="44">
        <f>SUM(D8,)</f>
        <v>834</v>
      </c>
      <c r="E10" s="44">
        <f>SUM(E8,)</f>
        <v>834</v>
      </c>
      <c r="F10" s="44">
        <f>SUM(F8,)</f>
        <v>558</v>
      </c>
      <c r="G10" s="44">
        <f>SUM(G8,)</f>
        <v>1172</v>
      </c>
    </row>
    <row r="11" spans="1:7" ht="18.75">
      <c r="A11" s="36"/>
      <c r="B11" s="36"/>
      <c r="C11" s="34"/>
      <c r="D11" s="36"/>
      <c r="E11" s="34"/>
      <c r="F11" s="34"/>
      <c r="G11" s="34"/>
    </row>
    <row r="12" spans="1:7" ht="18.75">
      <c r="A12" s="36"/>
      <c r="B12" s="36" t="s">
        <v>98</v>
      </c>
      <c r="C12" s="44">
        <f>SUM(C10,)</f>
        <v>834</v>
      </c>
      <c r="D12" s="44">
        <f>SUM(D10,)</f>
        <v>834</v>
      </c>
      <c r="E12" s="44">
        <f>SUM(E10,)</f>
        <v>834</v>
      </c>
      <c r="F12" s="44">
        <f>SUM(F10,)</f>
        <v>558</v>
      </c>
      <c r="G12" s="44">
        <f>SUM(G10,)</f>
        <v>1172</v>
      </c>
    </row>
    <row r="13" spans="1:7" ht="18.75">
      <c r="A13" s="34"/>
      <c r="B13" s="34"/>
      <c r="C13" s="34"/>
      <c r="D13" s="36"/>
      <c r="E13" s="34"/>
      <c r="F13" s="34"/>
      <c r="G13" s="34"/>
    </row>
    <row r="14" spans="1:7" ht="18.75">
      <c r="A14" s="36"/>
      <c r="B14" s="36" t="s">
        <v>0</v>
      </c>
      <c r="C14" s="44">
        <f>SUM(C12)</f>
        <v>834</v>
      </c>
      <c r="D14" s="43">
        <f>SUM(D12)</f>
        <v>834</v>
      </c>
      <c r="E14" s="43">
        <f>SUM(E12)</f>
        <v>834</v>
      </c>
      <c r="F14" s="43">
        <f>SUM(F12)</f>
        <v>558</v>
      </c>
      <c r="G14" s="43">
        <f>SUM(G12)</f>
        <v>1172</v>
      </c>
    </row>
    <row r="15" ht="18.75">
      <c r="D15" s="4"/>
    </row>
    <row r="22" spans="1:2" ht="18.75">
      <c r="A22" s="3"/>
      <c r="B22" s="3"/>
    </row>
    <row r="27" spans="1:2" ht="18.75">
      <c r="A27" s="3"/>
      <c r="B27" s="3"/>
    </row>
    <row r="33" spans="1:2" ht="18.75">
      <c r="A33" s="3"/>
      <c r="B33" s="3"/>
    </row>
    <row r="39" spans="1:2" ht="18.75">
      <c r="A39" s="3"/>
      <c r="B39" s="3"/>
    </row>
    <row r="43" spans="1:2" ht="18.75">
      <c r="A43" s="3"/>
      <c r="B43" s="3"/>
    </row>
    <row r="46" spans="1:2" ht="18.75">
      <c r="A46" s="3"/>
      <c r="B46" s="3"/>
    </row>
    <row r="47" spans="1:2" ht="18.75">
      <c r="A47" s="3"/>
      <c r="B47" s="3"/>
    </row>
  </sheetData>
  <sheetProtection/>
  <mergeCells count="4">
    <mergeCell ref="A5:A6"/>
    <mergeCell ref="B5:B6"/>
    <mergeCell ref="C5:C6"/>
    <mergeCell ref="D5:D6"/>
  </mergeCells>
  <printOptions/>
  <pageMargins left="0.7" right="0.7" top="0.75" bottom="0.75" header="0.3" footer="0.3"/>
  <pageSetup horizontalDpi="300" verticalDpi="300" orientation="portrait" paperSize="9" scale="54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C00000"/>
  </sheetPr>
  <dimension ref="A2:J101"/>
  <sheetViews>
    <sheetView zoomScalePageLayoutView="0" workbookViewId="0" topLeftCell="A94">
      <selection activeCell="E6" sqref="E6"/>
    </sheetView>
  </sheetViews>
  <sheetFormatPr defaultColWidth="8.41015625" defaultRowHeight="18"/>
  <cols>
    <col min="1" max="1" width="8.41015625" style="21" customWidth="1"/>
    <col min="2" max="2" width="29.41015625" style="21" customWidth="1"/>
    <col min="3" max="3" width="8" style="382" customWidth="1"/>
    <col min="4" max="4" width="7.33203125" style="21" customWidth="1"/>
    <col min="5" max="5" width="7.75" style="21" customWidth="1"/>
    <col min="6" max="249" width="7.08203125" style="21" customWidth="1"/>
    <col min="250" max="16384" width="8.41015625" style="21" customWidth="1"/>
  </cols>
  <sheetData>
    <row r="2" spans="1:5" ht="18.75">
      <c r="A2" s="620" t="s">
        <v>1331</v>
      </c>
      <c r="B2" s="620"/>
      <c r="C2" s="620"/>
      <c r="D2" s="620"/>
      <c r="E2" s="620"/>
    </row>
    <row r="3" ht="19.5" thickBot="1">
      <c r="C3" s="243"/>
    </row>
    <row r="4" spans="1:5" ht="19.5" thickBot="1">
      <c r="A4" s="595">
        <v>889924</v>
      </c>
      <c r="B4" s="245" t="s">
        <v>243</v>
      </c>
      <c r="C4" s="421" t="s">
        <v>616</v>
      </c>
      <c r="D4" s="41" t="s">
        <v>626</v>
      </c>
      <c r="E4" s="34">
        <v>2016</v>
      </c>
    </row>
    <row r="5" spans="1:5" ht="19.5" thickBot="1">
      <c r="A5" s="596">
        <v>107054</v>
      </c>
      <c r="B5" s="210"/>
      <c r="C5" s="295"/>
      <c r="D5" s="34"/>
      <c r="E5" s="34"/>
    </row>
    <row r="6" spans="1:5" ht="18.75">
      <c r="A6" s="249" t="s">
        <v>819</v>
      </c>
      <c r="B6" s="250" t="s">
        <v>1238</v>
      </c>
      <c r="C6" s="376"/>
      <c r="D6" s="565"/>
      <c r="E6" s="565"/>
    </row>
    <row r="7" spans="1:5" ht="18.75">
      <c r="A7" s="253" t="s">
        <v>822</v>
      </c>
      <c r="B7" s="254" t="s">
        <v>821</v>
      </c>
      <c r="C7" s="377"/>
      <c r="D7" s="34"/>
      <c r="E7" s="34"/>
    </row>
    <row r="8" spans="1:5" ht="18.75">
      <c r="A8" s="253" t="s">
        <v>823</v>
      </c>
      <c r="B8" s="254" t="s">
        <v>820</v>
      </c>
      <c r="C8" s="377"/>
      <c r="D8" s="34"/>
      <c r="E8" s="381"/>
    </row>
    <row r="9" spans="1:5" ht="18.75">
      <c r="A9" s="253" t="s">
        <v>825</v>
      </c>
      <c r="B9" s="254" t="s">
        <v>824</v>
      </c>
      <c r="C9" s="377"/>
      <c r="D9" s="34"/>
      <c r="E9" s="34"/>
    </row>
    <row r="10" spans="1:5" ht="18.75">
      <c r="A10" s="253" t="s">
        <v>826</v>
      </c>
      <c r="B10" s="260" t="s">
        <v>1239</v>
      </c>
      <c r="C10" s="377"/>
      <c r="D10" s="34"/>
      <c r="E10" s="34"/>
    </row>
    <row r="11" spans="1:5" ht="18.75">
      <c r="A11" s="253" t="s">
        <v>1233</v>
      </c>
      <c r="B11" s="260" t="s">
        <v>1240</v>
      </c>
      <c r="C11" s="378"/>
      <c r="D11" s="34"/>
      <c r="E11" s="34"/>
    </row>
    <row r="12" spans="1:5" ht="18.75">
      <c r="A12" s="253" t="s">
        <v>1241</v>
      </c>
      <c r="B12" s="262" t="s">
        <v>1234</v>
      </c>
      <c r="C12" s="377"/>
      <c r="D12" s="34"/>
      <c r="E12" s="34"/>
    </row>
    <row r="13" spans="1:5" ht="18.75">
      <c r="A13" s="253" t="s">
        <v>1242</v>
      </c>
      <c r="B13" s="262" t="s">
        <v>1235</v>
      </c>
      <c r="C13" s="377"/>
      <c r="D13" s="34"/>
      <c r="E13" s="34"/>
    </row>
    <row r="14" spans="1:5" ht="18.75">
      <c r="A14" s="253" t="s">
        <v>1243</v>
      </c>
      <c r="B14" s="254" t="s">
        <v>528</v>
      </c>
      <c r="C14" s="377"/>
      <c r="D14" s="34"/>
      <c r="E14" s="34"/>
    </row>
    <row r="15" spans="1:5" ht="18.75">
      <c r="A15" s="253" t="s">
        <v>1244</v>
      </c>
      <c r="B15" s="254" t="s">
        <v>1236</v>
      </c>
      <c r="C15" s="377"/>
      <c r="D15" s="34"/>
      <c r="E15" s="34"/>
    </row>
    <row r="16" spans="1:5" ht="19.5" thickBot="1">
      <c r="A16" s="264" t="s">
        <v>1245</v>
      </c>
      <c r="B16" s="265" t="s">
        <v>791</v>
      </c>
      <c r="C16" s="377"/>
      <c r="D16" s="34"/>
      <c r="E16" s="34"/>
    </row>
    <row r="17" spans="1:5" ht="19.5" thickBot="1">
      <c r="A17" s="568" t="s">
        <v>1327</v>
      </c>
      <c r="B17" s="569" t="s">
        <v>1249</v>
      </c>
      <c r="C17" s="379">
        <f>SUM(C6:C16)</f>
        <v>0</v>
      </c>
      <c r="D17" s="379">
        <f>SUM(D6:D16)</f>
        <v>0</v>
      </c>
      <c r="E17" s="379">
        <f>SUM(E6:E16)</f>
        <v>0</v>
      </c>
    </row>
    <row r="18" spans="1:5" ht="19.5" thickBot="1">
      <c r="A18" s="557" t="s">
        <v>1329</v>
      </c>
      <c r="B18" s="558" t="s">
        <v>1248</v>
      </c>
      <c r="C18" s="377"/>
      <c r="D18" s="34"/>
      <c r="E18" s="34"/>
    </row>
    <row r="19" spans="1:5" ht="19.5" thickBot="1">
      <c r="A19" s="557" t="s">
        <v>1328</v>
      </c>
      <c r="B19" s="558" t="s">
        <v>1246</v>
      </c>
      <c r="C19" s="377"/>
      <c r="D19" s="34"/>
      <c r="E19" s="34"/>
    </row>
    <row r="20" spans="1:5" ht="19.5" thickBot="1">
      <c r="A20" s="557" t="s">
        <v>1253</v>
      </c>
      <c r="B20" s="558" t="s">
        <v>19</v>
      </c>
      <c r="C20" s="377"/>
      <c r="D20" s="34"/>
      <c r="E20" s="34"/>
    </row>
    <row r="21" spans="1:5" ht="19.5" thickBot="1">
      <c r="A21" s="557" t="s">
        <v>1254</v>
      </c>
      <c r="B21" s="558" t="s">
        <v>889</v>
      </c>
      <c r="C21" s="377"/>
      <c r="D21" s="34"/>
      <c r="E21" s="34"/>
    </row>
    <row r="22" spans="1:5" ht="19.5" thickBot="1">
      <c r="A22" s="568" t="s">
        <v>1330</v>
      </c>
      <c r="B22" s="569" t="s">
        <v>1247</v>
      </c>
      <c r="C22" s="377">
        <f>SUM(C18:C21)</f>
        <v>0</v>
      </c>
      <c r="D22" s="377">
        <f>SUM(D18:D21)</f>
        <v>0</v>
      </c>
      <c r="E22" s="377">
        <f>SUM(E18:E21)</f>
        <v>0</v>
      </c>
    </row>
    <row r="23" spans="1:5" ht="27" customHeight="1" thickBot="1">
      <c r="A23" s="268" t="s">
        <v>1250</v>
      </c>
      <c r="B23" s="269" t="s">
        <v>1237</v>
      </c>
      <c r="C23" s="379">
        <f>SUM(C22,C17)</f>
        <v>0</v>
      </c>
      <c r="D23" s="379">
        <f>SUM(D22,D17)</f>
        <v>0</v>
      </c>
      <c r="E23" s="379">
        <f>SUM(E22,E17)</f>
        <v>0</v>
      </c>
    </row>
    <row r="24" spans="1:5" ht="19.5" thickBot="1">
      <c r="A24" s="270"/>
      <c r="B24" s="271"/>
      <c r="C24" s="377"/>
      <c r="D24" s="34"/>
      <c r="E24" s="34"/>
    </row>
    <row r="25" spans="1:5" ht="18.75">
      <c r="A25" s="272" t="s">
        <v>1255</v>
      </c>
      <c r="B25" s="97" t="s">
        <v>590</v>
      </c>
      <c r="C25" s="275"/>
      <c r="D25" s="44"/>
      <c r="E25" s="34"/>
    </row>
    <row r="26" spans="1:5" ht="18.75">
      <c r="A26" s="559" t="s">
        <v>1256</v>
      </c>
      <c r="B26" s="97" t="s">
        <v>1251</v>
      </c>
      <c r="C26" s="275"/>
      <c r="D26" s="44"/>
      <c r="E26" s="34"/>
    </row>
    <row r="27" spans="1:5" ht="18.75">
      <c r="A27" s="276" t="s">
        <v>1252</v>
      </c>
      <c r="B27" s="255" t="s">
        <v>4</v>
      </c>
      <c r="C27" s="378"/>
      <c r="D27" s="34"/>
      <c r="E27" s="34"/>
    </row>
    <row r="28" spans="1:5" ht="19.5" thickBot="1">
      <c r="A28" s="462" t="s">
        <v>1257</v>
      </c>
      <c r="B28" s="255" t="s">
        <v>635</v>
      </c>
      <c r="C28" s="378"/>
      <c r="D28" s="34"/>
      <c r="E28" s="34"/>
    </row>
    <row r="29" spans="1:5" ht="19.5" thickBot="1">
      <c r="A29" s="582" t="s">
        <v>1258</v>
      </c>
      <c r="B29" s="583" t="s">
        <v>69</v>
      </c>
      <c r="C29" s="378">
        <f>SUM(C25:C28)</f>
        <v>0</v>
      </c>
      <c r="D29" s="378">
        <f>SUM(D25:D28)</f>
        <v>0</v>
      </c>
      <c r="E29" s="378">
        <f>SUM(E25:E28)</f>
        <v>0</v>
      </c>
    </row>
    <row r="30" spans="1:5" ht="19.5" thickBot="1">
      <c r="A30" s="282"/>
      <c r="B30" s="283"/>
      <c r="C30" s="377"/>
      <c r="D30" s="34"/>
      <c r="E30" s="34"/>
    </row>
    <row r="31" spans="1:5" ht="18.75">
      <c r="A31" s="249" t="s">
        <v>1259</v>
      </c>
      <c r="B31" s="291" t="s">
        <v>533</v>
      </c>
      <c r="C31" s="377"/>
      <c r="D31" s="34"/>
      <c r="E31" s="34"/>
    </row>
    <row r="32" spans="1:5" ht="18.75">
      <c r="A32" s="253" t="s">
        <v>1260</v>
      </c>
      <c r="B32" s="254" t="s">
        <v>534</v>
      </c>
      <c r="C32" s="377"/>
      <c r="D32" s="41"/>
      <c r="E32" s="34"/>
    </row>
    <row r="33" spans="1:5" ht="18.75">
      <c r="A33" s="253" t="s">
        <v>1262</v>
      </c>
      <c r="B33" s="254" t="s">
        <v>1261</v>
      </c>
      <c r="C33" s="377"/>
      <c r="D33" s="41"/>
      <c r="E33" s="34"/>
    </row>
    <row r="34" spans="1:5" ht="18.75">
      <c r="A34" s="253" t="s">
        <v>1263</v>
      </c>
      <c r="B34" s="254" t="s">
        <v>124</v>
      </c>
      <c r="C34" s="377"/>
      <c r="D34" s="41"/>
      <c r="E34" s="34"/>
    </row>
    <row r="35" spans="1:5" ht="18.75">
      <c r="A35" s="253" t="s">
        <v>1264</v>
      </c>
      <c r="B35" s="254" t="s">
        <v>1265</v>
      </c>
      <c r="C35" s="570"/>
      <c r="D35" s="41"/>
      <c r="E35" s="34"/>
    </row>
    <row r="36" spans="1:5" ht="18.75">
      <c r="A36" s="253" t="s">
        <v>1335</v>
      </c>
      <c r="B36" s="562" t="s">
        <v>548</v>
      </c>
      <c r="C36" s="570">
        <f>SUM(C31:C35)</f>
        <v>0</v>
      </c>
      <c r="D36" s="570">
        <f>SUM(D31:D35)</f>
        <v>0</v>
      </c>
      <c r="E36" s="570">
        <f>SUM(E31:E35)</f>
        <v>0</v>
      </c>
    </row>
    <row r="37" spans="1:5" ht="18.75">
      <c r="A37" s="253" t="s">
        <v>1342</v>
      </c>
      <c r="B37" s="254" t="s">
        <v>1343</v>
      </c>
      <c r="C37" s="570"/>
      <c r="D37" s="570"/>
      <c r="E37" s="570"/>
    </row>
    <row r="38" spans="1:5" ht="18.75">
      <c r="A38" s="253" t="s">
        <v>1344</v>
      </c>
      <c r="B38" s="254" t="s">
        <v>1267</v>
      </c>
      <c r="C38" s="570"/>
      <c r="D38" s="34"/>
      <c r="E38" s="34"/>
    </row>
    <row r="39" spans="1:5" ht="18.75">
      <c r="A39" s="253" t="s">
        <v>1345</v>
      </c>
      <c r="B39" s="254" t="s">
        <v>88</v>
      </c>
      <c r="C39" s="570"/>
      <c r="D39" s="34"/>
      <c r="E39" s="34"/>
    </row>
    <row r="40" spans="1:5" ht="18.75">
      <c r="A40" s="253" t="s">
        <v>1346</v>
      </c>
      <c r="B40" s="254" t="s">
        <v>1268</v>
      </c>
      <c r="C40" s="377"/>
      <c r="D40" s="34"/>
      <c r="E40" s="34"/>
    </row>
    <row r="41" spans="1:5" ht="19.5" thickBot="1">
      <c r="A41" s="288" t="s">
        <v>1347</v>
      </c>
      <c r="B41" s="289" t="s">
        <v>1269</v>
      </c>
      <c r="C41" s="377"/>
      <c r="D41" s="34"/>
      <c r="E41" s="34"/>
    </row>
    <row r="42" spans="1:5" ht="17.25" customHeight="1" thickBot="1">
      <c r="A42" s="268" t="s">
        <v>1266</v>
      </c>
      <c r="B42" s="571" t="s">
        <v>1270</v>
      </c>
      <c r="C42" s="377">
        <f>SUM(C37:C41)</f>
        <v>0</v>
      </c>
      <c r="D42" s="377">
        <f>SUM(D38:D41)</f>
        <v>0</v>
      </c>
      <c r="E42" s="377">
        <f>SUM(E38:E41)</f>
        <v>0</v>
      </c>
    </row>
    <row r="43" spans="1:5" ht="22.5" customHeight="1" thickBot="1">
      <c r="A43" s="572" t="s">
        <v>1300</v>
      </c>
      <c r="B43" s="573" t="s">
        <v>595</v>
      </c>
      <c r="C43" s="574">
        <f>SUM(C42,C36)</f>
        <v>0</v>
      </c>
      <c r="D43" s="574">
        <f>SUM(D42,D36)</f>
        <v>0</v>
      </c>
      <c r="E43" s="574">
        <f>SUM(E42,E36)</f>
        <v>0</v>
      </c>
    </row>
    <row r="44" spans="1:5" ht="18.75">
      <c r="A44" s="249" t="s">
        <v>1271</v>
      </c>
      <c r="B44" s="291" t="s">
        <v>1348</v>
      </c>
      <c r="C44" s="377"/>
      <c r="D44" s="34"/>
      <c r="E44" s="34"/>
    </row>
    <row r="45" spans="1:5" ht="18.75">
      <c r="A45" s="494" t="s">
        <v>1350</v>
      </c>
      <c r="B45" s="590" t="s">
        <v>1351</v>
      </c>
      <c r="C45" s="377"/>
      <c r="D45" s="34"/>
      <c r="E45" s="34"/>
    </row>
    <row r="46" spans="1:5" ht="18.75">
      <c r="A46" s="253" t="s">
        <v>1272</v>
      </c>
      <c r="B46" s="254" t="s">
        <v>1349</v>
      </c>
      <c r="C46" s="295"/>
      <c r="D46" s="566"/>
      <c r="E46" s="34"/>
    </row>
    <row r="47" spans="1:5" ht="18.75">
      <c r="A47" s="575" t="s">
        <v>1301</v>
      </c>
      <c r="B47" s="576" t="s">
        <v>1366</v>
      </c>
      <c r="C47" s="577">
        <f>SUM(C44:C46)</f>
        <v>0</v>
      </c>
      <c r="D47" s="577">
        <f>SUM(D44:D46)</f>
        <v>0</v>
      </c>
      <c r="E47" s="577">
        <f>SUM(E44:E46)</f>
        <v>0</v>
      </c>
    </row>
    <row r="48" spans="1:5" ht="18.75">
      <c r="A48" s="253" t="s">
        <v>1275</v>
      </c>
      <c r="B48" s="254" t="s">
        <v>544</v>
      </c>
      <c r="C48" s="295"/>
      <c r="D48" s="566"/>
      <c r="E48" s="34"/>
    </row>
    <row r="49" spans="1:5" ht="18.75">
      <c r="A49" s="253" t="s">
        <v>1274</v>
      </c>
      <c r="B49" s="254" t="s">
        <v>543</v>
      </c>
      <c r="C49" s="295"/>
      <c r="D49" s="34"/>
      <c r="E49" s="34"/>
    </row>
    <row r="50" spans="1:5" ht="18.75">
      <c r="A50" s="253" t="s">
        <v>1276</v>
      </c>
      <c r="B50" s="254" t="s">
        <v>503</v>
      </c>
      <c r="C50" s="295"/>
      <c r="D50" s="34"/>
      <c r="E50" s="34"/>
    </row>
    <row r="51" spans="1:5" ht="18.75">
      <c r="A51" s="575" t="s">
        <v>1273</v>
      </c>
      <c r="B51" s="576" t="s">
        <v>1277</v>
      </c>
      <c r="C51" s="577">
        <f>SUM(C48:C50)</f>
        <v>0</v>
      </c>
      <c r="D51" s="577">
        <f>SUM(D48:D50)</f>
        <v>0</v>
      </c>
      <c r="E51" s="577">
        <f>SUM(E48:E50)</f>
        <v>0</v>
      </c>
    </row>
    <row r="52" spans="1:5" ht="18.75">
      <c r="A52" s="253" t="s">
        <v>1332</v>
      </c>
      <c r="B52" s="254" t="s">
        <v>1278</v>
      </c>
      <c r="C52" s="295"/>
      <c r="D52" s="34"/>
      <c r="E52" s="34"/>
    </row>
    <row r="53" spans="1:5" ht="18.75">
      <c r="A53" s="253" t="s">
        <v>1280</v>
      </c>
      <c r="B53" s="254" t="s">
        <v>26</v>
      </c>
      <c r="C53" s="295"/>
      <c r="D53" s="41"/>
      <c r="E53" s="34"/>
    </row>
    <row r="54" spans="1:5" ht="18.75">
      <c r="A54" s="253" t="s">
        <v>1281</v>
      </c>
      <c r="B54" s="254" t="s">
        <v>1352</v>
      </c>
      <c r="C54" s="377"/>
      <c r="D54" s="34"/>
      <c r="E54" s="34"/>
    </row>
    <row r="55" spans="1:5" ht="18.75">
      <c r="A55" s="575" t="s">
        <v>1283</v>
      </c>
      <c r="B55" s="576" t="s">
        <v>1282</v>
      </c>
      <c r="C55" s="574">
        <f>SUM(C53:C54)</f>
        <v>0</v>
      </c>
      <c r="D55" s="574">
        <f>SUM(D53:D54)</f>
        <v>0</v>
      </c>
      <c r="E55" s="574">
        <f>SUM(E53:E54)</f>
        <v>0</v>
      </c>
    </row>
    <row r="56" spans="1:5" ht="18.75">
      <c r="A56" s="575" t="s">
        <v>1284</v>
      </c>
      <c r="B56" s="588" t="s">
        <v>1333</v>
      </c>
      <c r="C56" s="589"/>
      <c r="D56" s="589"/>
      <c r="E56" s="589"/>
    </row>
    <row r="57" spans="1:5" ht="18.75">
      <c r="A57" s="288"/>
      <c r="B57" s="554" t="s">
        <v>943</v>
      </c>
      <c r="C57" s="554"/>
      <c r="D57" s="554"/>
      <c r="E57" s="554"/>
    </row>
    <row r="58" spans="1:6" ht="18.75">
      <c r="A58" s="288" t="s">
        <v>1353</v>
      </c>
      <c r="B58" s="554" t="s">
        <v>547</v>
      </c>
      <c r="C58" s="554">
        <v>1172</v>
      </c>
      <c r="D58" s="554">
        <v>965</v>
      </c>
      <c r="E58" s="554">
        <v>372</v>
      </c>
      <c r="F58" s="21" t="s">
        <v>1534</v>
      </c>
    </row>
    <row r="59" spans="1:5" ht="18.75">
      <c r="A59" s="288" t="s">
        <v>1354</v>
      </c>
      <c r="B59" s="554" t="s">
        <v>1355</v>
      </c>
      <c r="C59" s="554"/>
      <c r="D59" s="554"/>
      <c r="E59" s="554"/>
    </row>
    <row r="60" spans="1:5" ht="27" customHeight="1">
      <c r="A60" s="561" t="s">
        <v>1285</v>
      </c>
      <c r="B60" s="552" t="s">
        <v>945</v>
      </c>
      <c r="C60" s="591">
        <f>SUM(C58:C59)</f>
        <v>1172</v>
      </c>
      <c r="D60" s="591">
        <f>SUM(D58:D59)</f>
        <v>965</v>
      </c>
      <c r="E60" s="591">
        <f>SUM(E58:E59)</f>
        <v>372</v>
      </c>
    </row>
    <row r="61" spans="1:5" ht="23.25" customHeight="1">
      <c r="A61" s="462" t="s">
        <v>1356</v>
      </c>
      <c r="B61" s="553" t="s">
        <v>1362</v>
      </c>
      <c r="C61" s="591"/>
      <c r="D61" s="591"/>
      <c r="E61" s="591"/>
    </row>
    <row r="62" spans="1:5" ht="23.25" customHeight="1">
      <c r="A62" s="462" t="s">
        <v>1357</v>
      </c>
      <c r="B62" s="553" t="s">
        <v>1358</v>
      </c>
      <c r="C62" s="591"/>
      <c r="D62" s="591"/>
      <c r="E62" s="591"/>
    </row>
    <row r="63" spans="1:5" ht="23.25" customHeight="1">
      <c r="A63" s="462" t="s">
        <v>1359</v>
      </c>
      <c r="B63" s="553" t="s">
        <v>9</v>
      </c>
      <c r="C63" s="591"/>
      <c r="D63" s="591"/>
      <c r="E63" s="591"/>
    </row>
    <row r="64" spans="1:6" ht="23.25" customHeight="1" thickBot="1">
      <c r="A64" s="462" t="s">
        <v>1360</v>
      </c>
      <c r="B64" s="553" t="s">
        <v>1361</v>
      </c>
      <c r="C64" s="591"/>
      <c r="D64" s="591"/>
      <c r="E64" s="591"/>
      <c r="F64" s="21" t="s">
        <v>1368</v>
      </c>
    </row>
    <row r="65" spans="1:5" ht="17.25" customHeight="1" thickBot="1">
      <c r="A65" s="298" t="s">
        <v>1286</v>
      </c>
      <c r="B65" s="552" t="s">
        <v>948</v>
      </c>
      <c r="C65" s="591">
        <f>SUM(C61:C64)</f>
        <v>0</v>
      </c>
      <c r="D65" s="591">
        <f>SUM(D61:D64)</f>
        <v>0</v>
      </c>
      <c r="E65" s="591">
        <f>SUM(E61:E64)</f>
        <v>0</v>
      </c>
    </row>
    <row r="66" spans="1:5" ht="25.5" customHeight="1">
      <c r="A66" s="578" t="s">
        <v>1279</v>
      </c>
      <c r="B66" s="579" t="s">
        <v>1287</v>
      </c>
      <c r="C66" s="579">
        <f>SUM(C65+C60+C56+C55+C52)</f>
        <v>1172</v>
      </c>
      <c r="D66" s="579">
        <f>SUM(D65+D60+D56+D55+D52)</f>
        <v>965</v>
      </c>
      <c r="E66" s="579">
        <f>SUM(E65+E60+E56+E55+E52)</f>
        <v>372</v>
      </c>
    </row>
    <row r="67" spans="1:5" ht="18.75">
      <c r="A67" s="253" t="s">
        <v>1288</v>
      </c>
      <c r="B67" s="553" t="s">
        <v>952</v>
      </c>
      <c r="C67" s="553"/>
      <c r="D67" s="553"/>
      <c r="E67" s="553"/>
    </row>
    <row r="68" spans="1:5" ht="18.75">
      <c r="A68" s="253" t="s">
        <v>1289</v>
      </c>
      <c r="B68" s="553" t="s">
        <v>954</v>
      </c>
      <c r="C68" s="553"/>
      <c r="D68" s="553"/>
      <c r="E68" s="553"/>
    </row>
    <row r="69" spans="1:5" ht="24" customHeight="1">
      <c r="A69" s="575" t="s">
        <v>1291</v>
      </c>
      <c r="B69" s="579" t="s">
        <v>1290</v>
      </c>
      <c r="C69" s="579">
        <f>SUM(C67:C68)</f>
        <v>0</v>
      </c>
      <c r="D69" s="579">
        <f>SUM(D67:D68)</f>
        <v>0</v>
      </c>
      <c r="E69" s="579">
        <f>SUM(E67:E68)</f>
        <v>0</v>
      </c>
    </row>
    <row r="70" spans="1:5" ht="26.25" customHeight="1" thickBot="1">
      <c r="A70" s="561" t="s">
        <v>1294</v>
      </c>
      <c r="B70" s="552" t="s">
        <v>958</v>
      </c>
      <c r="C70" s="552"/>
      <c r="D70" s="552"/>
      <c r="E70" s="552"/>
    </row>
    <row r="71" spans="1:5" ht="27" customHeight="1" thickBot="1">
      <c r="A71" s="268" t="s">
        <v>1295</v>
      </c>
      <c r="B71" s="552" t="s">
        <v>960</v>
      </c>
      <c r="C71" s="552"/>
      <c r="D71" s="552"/>
      <c r="E71" s="552"/>
    </row>
    <row r="72" spans="1:5" ht="19.5" thickBot="1">
      <c r="A72" s="210" t="s">
        <v>1296</v>
      </c>
      <c r="B72" s="552" t="s">
        <v>1293</v>
      </c>
      <c r="C72" s="552"/>
      <c r="D72" s="552"/>
      <c r="E72" s="552"/>
    </row>
    <row r="73" spans="1:5" ht="24.75" customHeight="1">
      <c r="A73" s="593" t="s">
        <v>1298</v>
      </c>
      <c r="B73" s="594" t="s">
        <v>1363</v>
      </c>
      <c r="C73" s="594"/>
      <c r="D73" s="552"/>
      <c r="E73" s="552"/>
    </row>
    <row r="74" spans="1:6" ht="24.75" customHeight="1">
      <c r="A74" s="592" t="s">
        <v>1364</v>
      </c>
      <c r="B74" s="563" t="s">
        <v>1365</v>
      </c>
      <c r="C74" s="563"/>
      <c r="D74" s="553"/>
      <c r="E74" s="553"/>
      <c r="F74" s="21" t="s">
        <v>1369</v>
      </c>
    </row>
    <row r="75" spans="1:5" ht="24.75" customHeight="1">
      <c r="A75" s="592" t="s">
        <v>1370</v>
      </c>
      <c r="B75" s="563" t="s">
        <v>1367</v>
      </c>
      <c r="C75" s="563"/>
      <c r="D75" s="553"/>
      <c r="E75" s="553"/>
    </row>
    <row r="76" spans="1:5" ht="18.75">
      <c r="A76" s="98" t="s">
        <v>1297</v>
      </c>
      <c r="B76" s="552" t="s">
        <v>970</v>
      </c>
      <c r="C76" s="552">
        <f>SUM(C74:C75)</f>
        <v>0</v>
      </c>
      <c r="D76" s="552">
        <f>SUM(D74:D75)</f>
        <v>0</v>
      </c>
      <c r="E76" s="552">
        <f>SUM(E74:E75)</f>
        <v>0</v>
      </c>
    </row>
    <row r="77" spans="1:5" ht="24.75" customHeight="1">
      <c r="A77" s="580" t="s">
        <v>1292</v>
      </c>
      <c r="B77" s="579" t="s">
        <v>1334</v>
      </c>
      <c r="C77" s="579">
        <f>C76+C73+C72+C71+C70</f>
        <v>0</v>
      </c>
      <c r="D77" s="579">
        <f>D76+D73+D72+D71+D70</f>
        <v>0</v>
      </c>
      <c r="E77" s="579">
        <f>E76+E73+E72+E71+E70</f>
        <v>0</v>
      </c>
    </row>
    <row r="78" spans="1:10" ht="24.75" customHeight="1">
      <c r="A78" s="587" t="s">
        <v>1299</v>
      </c>
      <c r="B78" s="585" t="s">
        <v>70</v>
      </c>
      <c r="C78" s="579">
        <f>SUM(C77+C69+C66+C47+C43)</f>
        <v>1172</v>
      </c>
      <c r="D78" s="579">
        <f>SUM(D77+D69+D66+D47+D43)</f>
        <v>965</v>
      </c>
      <c r="E78" s="579">
        <f>SUM(E77+E69+E66+E47+E43)</f>
        <v>372</v>
      </c>
      <c r="F78" s="560"/>
      <c r="G78" s="560"/>
      <c r="H78" s="560"/>
      <c r="I78" s="560"/>
      <c r="J78" s="560"/>
    </row>
    <row r="79" spans="1:10" ht="24.75" customHeight="1">
      <c r="A79" s="98" t="s">
        <v>1307</v>
      </c>
      <c r="B79" s="553" t="s">
        <v>1302</v>
      </c>
      <c r="C79" s="552"/>
      <c r="D79" s="552"/>
      <c r="E79" s="552"/>
      <c r="F79" s="560"/>
      <c r="G79" s="560"/>
      <c r="H79" s="560"/>
      <c r="I79" s="560"/>
      <c r="J79" s="560"/>
    </row>
    <row r="80" spans="1:10" ht="24.75" customHeight="1">
      <c r="A80" s="98" t="s">
        <v>1306</v>
      </c>
      <c r="B80" s="553" t="s">
        <v>1308</v>
      </c>
      <c r="C80" s="552"/>
      <c r="D80" s="552"/>
      <c r="E80" s="552"/>
      <c r="F80" s="560"/>
      <c r="G80" s="560"/>
      <c r="H80" s="560"/>
      <c r="I80" s="560"/>
      <c r="J80" s="560"/>
    </row>
    <row r="81" spans="1:10" ht="24.75" customHeight="1">
      <c r="A81" s="98"/>
      <c r="B81" s="97" t="s">
        <v>1304</v>
      </c>
      <c r="C81" s="552"/>
      <c r="D81" s="552"/>
      <c r="E81" s="552"/>
      <c r="F81" s="560"/>
      <c r="G81" s="560"/>
      <c r="H81" s="560"/>
      <c r="I81" s="560"/>
      <c r="J81" s="560"/>
    </row>
    <row r="82" spans="1:5" ht="18.75">
      <c r="A82" s="98"/>
      <c r="B82" s="97" t="s">
        <v>1303</v>
      </c>
      <c r="C82" s="377"/>
      <c r="D82" s="34"/>
      <c r="E82" s="34"/>
    </row>
    <row r="83" spans="1:5" ht="18.75">
      <c r="A83" s="98"/>
      <c r="B83" s="567" t="s">
        <v>1305</v>
      </c>
      <c r="C83" s="377"/>
      <c r="D83" s="34"/>
      <c r="E83" s="34"/>
    </row>
    <row r="84" spans="1:5" ht="25.5">
      <c r="A84" s="580" t="s">
        <v>1341</v>
      </c>
      <c r="B84" s="579" t="s">
        <v>1337</v>
      </c>
      <c r="C84" s="377">
        <f>SUM(C80:C83)</f>
        <v>0</v>
      </c>
      <c r="D84" s="377">
        <f>SUM(D80:D83)</f>
        <v>0</v>
      </c>
      <c r="E84" s="377">
        <f>SUM(E80:E83)</f>
        <v>0</v>
      </c>
    </row>
    <row r="85" spans="1:5" s="564" customFormat="1" ht="18.75">
      <c r="A85" s="587" t="s">
        <v>1336</v>
      </c>
      <c r="B85" s="587" t="s">
        <v>1340</v>
      </c>
      <c r="C85" s="574">
        <f>SUM(C79+C84)</f>
        <v>0</v>
      </c>
      <c r="D85" s="574">
        <f>SUM(D79+D84)</f>
        <v>0</v>
      </c>
      <c r="E85" s="574">
        <f>SUM(E79+E84)</f>
        <v>0</v>
      </c>
    </row>
    <row r="86" spans="1:5" ht="18.75">
      <c r="A86" s="97" t="s">
        <v>1309</v>
      </c>
      <c r="B86" s="553" t="s">
        <v>1113</v>
      </c>
      <c r="C86" s="553"/>
      <c r="D86" s="553"/>
      <c r="E86" s="553"/>
    </row>
    <row r="87" spans="1:5" s="382" customFormat="1" ht="15">
      <c r="A87" s="97" t="s">
        <v>1310</v>
      </c>
      <c r="B87" s="553" t="s">
        <v>1371</v>
      </c>
      <c r="C87" s="553"/>
      <c r="D87" s="553"/>
      <c r="E87" s="553"/>
    </row>
    <row r="88" spans="1:5" ht="18.75">
      <c r="A88" s="172" t="s">
        <v>1311</v>
      </c>
      <c r="B88" s="553" t="s">
        <v>1117</v>
      </c>
      <c r="C88" s="553"/>
      <c r="D88" s="553"/>
      <c r="E88" s="553"/>
    </row>
    <row r="89" spans="1:5" ht="24" customHeight="1">
      <c r="A89" s="172" t="s">
        <v>1312</v>
      </c>
      <c r="B89" s="553" t="s">
        <v>1118</v>
      </c>
      <c r="C89" s="553"/>
      <c r="D89" s="553"/>
      <c r="E89" s="553"/>
    </row>
    <row r="90" spans="1:5" ht="26.25" customHeight="1">
      <c r="A90" s="172" t="s">
        <v>1313</v>
      </c>
      <c r="B90" s="553" t="s">
        <v>1120</v>
      </c>
      <c r="C90" s="553"/>
      <c r="D90" s="553"/>
      <c r="E90" s="553"/>
    </row>
    <row r="91" spans="1:5" ht="25.5" customHeight="1">
      <c r="A91" s="172" t="s">
        <v>1314</v>
      </c>
      <c r="B91" s="553" t="s">
        <v>1126</v>
      </c>
      <c r="C91" s="553"/>
      <c r="D91" s="553"/>
      <c r="E91" s="553"/>
    </row>
    <row r="92" spans="1:5" ht="18.75">
      <c r="A92" s="584" t="s">
        <v>1315</v>
      </c>
      <c r="B92" s="585" t="s">
        <v>1339</v>
      </c>
      <c r="C92" s="552">
        <f>SUM(C86:C91)</f>
        <v>0</v>
      </c>
      <c r="D92" s="552">
        <f>SUM(D86:D91)</f>
        <v>0</v>
      </c>
      <c r="E92" s="552">
        <f>SUM(E86:E91)</f>
        <v>0</v>
      </c>
    </row>
    <row r="93" spans="1:5" ht="18.75">
      <c r="A93" s="172" t="s">
        <v>1316</v>
      </c>
      <c r="B93" s="553" t="s">
        <v>1130</v>
      </c>
      <c r="C93" s="553"/>
      <c r="D93" s="553"/>
      <c r="E93" s="553"/>
    </row>
    <row r="94" spans="1:5" ht="18.75">
      <c r="A94" s="172" t="s">
        <v>1317</v>
      </c>
      <c r="B94" s="553" t="s">
        <v>1132</v>
      </c>
      <c r="C94" s="553"/>
      <c r="D94" s="553"/>
      <c r="E94" s="553"/>
    </row>
    <row r="95" spans="1:5" ht="18.75">
      <c r="A95" s="172" t="s">
        <v>1318</v>
      </c>
      <c r="B95" s="553" t="s">
        <v>1134</v>
      </c>
      <c r="C95" s="553"/>
      <c r="D95" s="553"/>
      <c r="E95" s="553"/>
    </row>
    <row r="96" spans="1:5" ht="24" customHeight="1">
      <c r="A96" s="172" t="s">
        <v>1319</v>
      </c>
      <c r="B96" s="553" t="s">
        <v>1136</v>
      </c>
      <c r="C96" s="553"/>
      <c r="D96" s="553"/>
      <c r="E96" s="553"/>
    </row>
    <row r="97" spans="1:5" ht="18.75">
      <c r="A97" s="584" t="s">
        <v>1320</v>
      </c>
      <c r="B97" s="585" t="s">
        <v>1338</v>
      </c>
      <c r="C97" s="552">
        <f>SUM(C93:C96)</f>
        <v>0</v>
      </c>
      <c r="D97" s="552">
        <f>SUM(D93:D96)</f>
        <v>0</v>
      </c>
      <c r="E97" s="552">
        <f>SUM(E93:E96)</f>
        <v>0</v>
      </c>
    </row>
    <row r="98" spans="1:5" ht="25.5" customHeight="1">
      <c r="A98" s="172" t="s">
        <v>1323</v>
      </c>
      <c r="B98" s="555" t="s">
        <v>1325</v>
      </c>
      <c r="C98" s="555"/>
      <c r="D98" s="555"/>
      <c r="E98" s="555"/>
    </row>
    <row r="99" spans="1:5" ht="27" customHeight="1">
      <c r="A99" s="457" t="s">
        <v>1322</v>
      </c>
      <c r="B99" s="553" t="s">
        <v>1321</v>
      </c>
      <c r="C99" s="553"/>
      <c r="D99" s="553"/>
      <c r="E99" s="553"/>
    </row>
    <row r="100" spans="1:5" ht="18.75">
      <c r="A100" s="584" t="s">
        <v>1326</v>
      </c>
      <c r="B100" s="586" t="s">
        <v>1324</v>
      </c>
      <c r="C100" s="295">
        <f>SUM(C98:C99)</f>
        <v>0</v>
      </c>
      <c r="D100" s="295">
        <f>SUM(D98:D99)</f>
        <v>0</v>
      </c>
      <c r="E100" s="295">
        <f>SUM(E98:E99)</f>
        <v>0</v>
      </c>
    </row>
    <row r="101" spans="1:5" ht="18.75">
      <c r="A101" s="34"/>
      <c r="B101" s="36" t="s">
        <v>118</v>
      </c>
      <c r="C101" s="581">
        <f>SUM(C100+C97+C92+C85+C78+C29+C23)</f>
        <v>1172</v>
      </c>
      <c r="D101" s="581">
        <f>SUM(D100+D97+D92+D85+D78+D29+D23)</f>
        <v>965</v>
      </c>
      <c r="E101" s="581">
        <f>SUM(E100+E97+E92+E85+E78+E29+E23)</f>
        <v>372</v>
      </c>
    </row>
  </sheetData>
  <sheetProtection/>
  <mergeCells count="1">
    <mergeCell ref="A2:E2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00B050"/>
  </sheetPr>
  <dimension ref="A2:J80"/>
  <sheetViews>
    <sheetView view="pageBreakPreview" zoomScale="6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28" sqref="H28:M31"/>
    </sheetView>
  </sheetViews>
  <sheetFormatPr defaultColWidth="8.66015625" defaultRowHeight="18"/>
  <cols>
    <col min="1" max="1" width="8.91015625" style="21" customWidth="1"/>
    <col min="2" max="2" width="45.58203125" style="21" customWidth="1"/>
    <col min="3" max="3" width="6.75" style="21" customWidth="1"/>
    <col min="4" max="4" width="8.25" style="21" customWidth="1"/>
    <col min="5" max="5" width="8.66015625" style="21" customWidth="1"/>
    <col min="6" max="16384" width="8.91015625" style="21" customWidth="1"/>
  </cols>
  <sheetData>
    <row r="2" spans="1:5" ht="18.75">
      <c r="A2" s="3">
        <v>889928</v>
      </c>
      <c r="B2" s="9" t="s">
        <v>205</v>
      </c>
      <c r="C2" s="23"/>
      <c r="D2" s="23"/>
      <c r="E2" s="52"/>
    </row>
    <row r="3" spans="1:7" ht="34.5" customHeight="1">
      <c r="A3" s="34"/>
      <c r="B3" s="36"/>
      <c r="C3" s="120" t="s">
        <v>286</v>
      </c>
      <c r="D3" s="326" t="s">
        <v>281</v>
      </c>
      <c r="E3" s="326" t="s">
        <v>614</v>
      </c>
      <c r="F3" s="41" t="s">
        <v>615</v>
      </c>
      <c r="G3" s="41" t="s">
        <v>616</v>
      </c>
    </row>
    <row r="4" spans="1:7" ht="24" customHeight="1">
      <c r="A4" s="34">
        <v>1325</v>
      </c>
      <c r="B4" s="36" t="s">
        <v>247</v>
      </c>
      <c r="C4" s="50">
        <v>3945</v>
      </c>
      <c r="D4" s="118"/>
      <c r="E4" s="50"/>
      <c r="F4" s="34"/>
      <c r="G4" s="34"/>
    </row>
    <row r="5" spans="1:7" ht="21" customHeight="1">
      <c r="A5" s="34"/>
      <c r="B5" s="36" t="s">
        <v>258</v>
      </c>
      <c r="C5" s="50">
        <v>1017</v>
      </c>
      <c r="D5" s="118"/>
      <c r="E5" s="50"/>
      <c r="F5" s="34"/>
      <c r="G5" s="34"/>
    </row>
    <row r="6" spans="1:7" ht="34.5" customHeight="1">
      <c r="A6" s="34"/>
      <c r="B6" s="36" t="s">
        <v>259</v>
      </c>
      <c r="C6" s="50">
        <f>SUM(C4:C5)</f>
        <v>4962</v>
      </c>
      <c r="D6" s="139">
        <f>SUM(D4:D5)</f>
        <v>0</v>
      </c>
      <c r="E6" s="50"/>
      <c r="F6" s="34"/>
      <c r="G6" s="34"/>
    </row>
    <row r="7" spans="1:7" ht="34.5" customHeight="1">
      <c r="A7" s="34"/>
      <c r="B7" s="36"/>
      <c r="C7" s="134"/>
      <c r="D7" s="81"/>
      <c r="E7" s="134"/>
      <c r="F7" s="34"/>
      <c r="G7" s="34"/>
    </row>
    <row r="8" spans="1:7" ht="18.75">
      <c r="A8" s="34">
        <v>511112</v>
      </c>
      <c r="B8" s="34" t="s">
        <v>66</v>
      </c>
      <c r="C8" s="36">
        <v>1287</v>
      </c>
      <c r="D8" s="34">
        <v>1368</v>
      </c>
      <c r="E8" s="36">
        <f>'[3]GEVSZ'!$P$13/1000</f>
        <v>1412</v>
      </c>
      <c r="F8" s="34"/>
      <c r="G8" s="34">
        <v>1464</v>
      </c>
    </row>
    <row r="9" spans="1:7" ht="18.75">
      <c r="A9" s="34"/>
      <c r="B9" s="34" t="s">
        <v>215</v>
      </c>
      <c r="C9" s="36"/>
      <c r="D9" s="34"/>
      <c r="E9" s="36">
        <v>15</v>
      </c>
      <c r="F9" s="34"/>
      <c r="G9" s="34">
        <v>29</v>
      </c>
    </row>
    <row r="10" spans="1:7" ht="18.75">
      <c r="A10" s="34">
        <v>511112</v>
      </c>
      <c r="B10" s="41" t="s">
        <v>759</v>
      </c>
      <c r="C10" s="36">
        <v>180</v>
      </c>
      <c r="D10" s="34">
        <v>180</v>
      </c>
      <c r="E10" s="36"/>
      <c r="F10" s="34"/>
      <c r="G10" s="34">
        <v>131</v>
      </c>
    </row>
    <row r="11" spans="1:7" ht="18.75">
      <c r="A11" s="34">
        <v>513192</v>
      </c>
      <c r="B11" s="34" t="s">
        <v>147</v>
      </c>
      <c r="C11" s="36">
        <v>10</v>
      </c>
      <c r="D11" s="34">
        <v>10</v>
      </c>
      <c r="E11" s="36"/>
      <c r="F11" s="34"/>
      <c r="G11" s="34"/>
    </row>
    <row r="12" spans="1:7" ht="18.75">
      <c r="A12" s="34"/>
      <c r="B12" s="41" t="s">
        <v>795</v>
      </c>
      <c r="C12" s="36">
        <v>150</v>
      </c>
      <c r="D12" s="34"/>
      <c r="E12" s="36"/>
      <c r="F12" s="34"/>
      <c r="G12" s="34">
        <v>133</v>
      </c>
    </row>
    <row r="13" spans="1:7" ht="18.75">
      <c r="A13" s="34">
        <v>512132</v>
      </c>
      <c r="B13" s="34" t="s">
        <v>130</v>
      </c>
      <c r="C13" s="36">
        <v>100</v>
      </c>
      <c r="D13" s="34">
        <v>100</v>
      </c>
      <c r="E13" s="36">
        <v>100</v>
      </c>
      <c r="F13" s="34"/>
      <c r="G13" s="34">
        <v>100</v>
      </c>
    </row>
    <row r="14" spans="1:7" ht="18.75">
      <c r="A14" s="34">
        <v>514142</v>
      </c>
      <c r="B14" s="41" t="s">
        <v>639</v>
      </c>
      <c r="C14" s="36">
        <v>120</v>
      </c>
      <c r="D14" s="34">
        <v>120</v>
      </c>
      <c r="E14" s="36">
        <v>120</v>
      </c>
      <c r="F14" s="34"/>
      <c r="G14" s="34">
        <v>150</v>
      </c>
    </row>
    <row r="15" spans="1:7" ht="18.75">
      <c r="A15" s="34"/>
      <c r="B15" s="34"/>
      <c r="C15" s="36"/>
      <c r="D15" s="34"/>
      <c r="E15" s="36"/>
      <c r="F15" s="34"/>
      <c r="G15" s="34"/>
    </row>
    <row r="16" spans="1:10" ht="18.75">
      <c r="A16" s="36">
        <v>51</v>
      </c>
      <c r="B16" s="36" t="s">
        <v>91</v>
      </c>
      <c r="C16" s="43">
        <f>SUM(C8:C15)</f>
        <v>1847</v>
      </c>
      <c r="D16" s="44">
        <f>SUM(D8:D15)</f>
        <v>1778</v>
      </c>
      <c r="E16" s="43">
        <f>SUM(E8:E15)</f>
        <v>1647</v>
      </c>
      <c r="F16" s="43">
        <f>SUM(F8:F15)</f>
        <v>0</v>
      </c>
      <c r="G16" s="43">
        <f>SUM(G8:G15)</f>
        <v>2007</v>
      </c>
      <c r="J16" s="21">
        <f>D8+D10+D11+D13</f>
        <v>1658</v>
      </c>
    </row>
    <row r="17" spans="1:7" ht="18.75">
      <c r="A17" s="34"/>
      <c r="B17" s="34"/>
      <c r="C17" s="36"/>
      <c r="D17" s="34"/>
      <c r="E17" s="36"/>
      <c r="F17" s="34"/>
      <c r="G17" s="34"/>
    </row>
    <row r="18" spans="1:8" ht="18.75">
      <c r="A18" s="34">
        <v>531125</v>
      </c>
      <c r="B18" s="34" t="s">
        <v>301</v>
      </c>
      <c r="C18" s="50"/>
      <c r="D18" s="118">
        <f>J16*27%</f>
        <v>447.66</v>
      </c>
      <c r="E18" s="50">
        <f>(E16-E14)*27%</f>
        <v>412.29</v>
      </c>
      <c r="F18" s="34"/>
      <c r="G18" s="118">
        <f>H18*27%+1</f>
        <v>502.39000000000004</v>
      </c>
      <c r="H18" s="20">
        <f>G16-G14</f>
        <v>1857</v>
      </c>
    </row>
    <row r="19" spans="1:7" ht="18.75">
      <c r="A19" s="34">
        <v>5331</v>
      </c>
      <c r="B19" s="34" t="s">
        <v>4</v>
      </c>
      <c r="C19" s="50"/>
      <c r="D19" s="118"/>
      <c r="E19" s="50">
        <f>E14*16.7%</f>
        <v>20.04</v>
      </c>
      <c r="F19" s="34"/>
      <c r="G19" s="34">
        <v>25</v>
      </c>
    </row>
    <row r="20" spans="1:7" ht="18.75">
      <c r="A20" s="34">
        <v>5341</v>
      </c>
      <c r="B20" s="41" t="s">
        <v>631</v>
      </c>
      <c r="C20" s="50"/>
      <c r="D20" s="118"/>
      <c r="E20" s="50"/>
      <c r="F20" s="34"/>
      <c r="G20" s="34">
        <v>29</v>
      </c>
    </row>
    <row r="21" spans="1:7" ht="18.75">
      <c r="A21" s="36">
        <v>53</v>
      </c>
      <c r="B21" s="36" t="s">
        <v>69</v>
      </c>
      <c r="C21" s="43">
        <v>460</v>
      </c>
      <c r="D21" s="44">
        <f>SUM(D18:D20)</f>
        <v>447.66</v>
      </c>
      <c r="E21" s="43">
        <f>SUM(E18:E20)</f>
        <v>432.33000000000004</v>
      </c>
      <c r="F21" s="43">
        <f>SUM(F18:F20)</f>
        <v>0</v>
      </c>
      <c r="G21" s="43">
        <f>SUM(G18:G20)</f>
        <v>556.3900000000001</v>
      </c>
    </row>
    <row r="22" spans="1:7" ht="18.75">
      <c r="A22" s="34"/>
      <c r="B22" s="34"/>
      <c r="C22" s="36"/>
      <c r="D22" s="34"/>
      <c r="E22" s="36"/>
      <c r="F22" s="34"/>
      <c r="G22" s="34"/>
    </row>
    <row r="23" spans="1:7" ht="18.75">
      <c r="A23" s="34">
        <v>5431</v>
      </c>
      <c r="B23" s="34" t="s">
        <v>131</v>
      </c>
      <c r="C23" s="36">
        <v>5</v>
      </c>
      <c r="D23" s="34">
        <v>5</v>
      </c>
      <c r="E23" s="36">
        <v>5</v>
      </c>
      <c r="F23" s="34">
        <v>3</v>
      </c>
      <c r="G23" s="34">
        <v>5</v>
      </c>
    </row>
    <row r="24" spans="1:7" ht="18.75">
      <c r="A24" s="34">
        <v>5461</v>
      </c>
      <c r="B24" s="34" t="s">
        <v>88</v>
      </c>
      <c r="C24" s="36">
        <v>750</v>
      </c>
      <c r="D24" s="34">
        <v>650</v>
      </c>
      <c r="E24" s="36">
        <v>700</v>
      </c>
      <c r="F24" s="34">
        <v>786</v>
      </c>
      <c r="G24" s="34">
        <v>800</v>
      </c>
    </row>
    <row r="25" spans="1:8" ht="18.75">
      <c r="A25" s="34">
        <v>54711</v>
      </c>
      <c r="B25" s="34" t="s">
        <v>200</v>
      </c>
      <c r="C25" s="36">
        <v>117</v>
      </c>
      <c r="D25" s="34">
        <v>30</v>
      </c>
      <c r="E25" s="36">
        <v>30</v>
      </c>
      <c r="F25" s="34">
        <v>24</v>
      </c>
      <c r="G25" s="34">
        <v>80</v>
      </c>
      <c r="H25" t="s">
        <v>769</v>
      </c>
    </row>
    <row r="26" spans="1:7" ht="18.75">
      <c r="A26" s="34">
        <v>5481</v>
      </c>
      <c r="B26" s="34" t="s">
        <v>126</v>
      </c>
      <c r="C26" s="36">
        <v>40</v>
      </c>
      <c r="D26" s="34">
        <v>40</v>
      </c>
      <c r="E26" s="36">
        <v>40</v>
      </c>
      <c r="F26" s="34">
        <v>40</v>
      </c>
      <c r="G26" s="34">
        <v>40</v>
      </c>
    </row>
    <row r="27" spans="1:7" ht="18.75">
      <c r="A27" s="34">
        <v>54913</v>
      </c>
      <c r="B27" s="34" t="s">
        <v>97</v>
      </c>
      <c r="C27" s="36">
        <v>5</v>
      </c>
      <c r="D27" s="34">
        <v>10</v>
      </c>
      <c r="E27" s="36">
        <v>10</v>
      </c>
      <c r="F27" s="34"/>
      <c r="G27" s="34"/>
    </row>
    <row r="28" spans="1:7" ht="18.75">
      <c r="A28" s="36">
        <v>54</v>
      </c>
      <c r="B28" s="36" t="s">
        <v>92</v>
      </c>
      <c r="C28" s="43">
        <f>SUM(C23:C27)</f>
        <v>917</v>
      </c>
      <c r="D28" s="44">
        <f>SUM(D23:D27)</f>
        <v>735</v>
      </c>
      <c r="E28" s="43">
        <f>SUM(E23:E27)</f>
        <v>785</v>
      </c>
      <c r="F28" s="43">
        <f>SUM(F23:F27)</f>
        <v>853</v>
      </c>
      <c r="G28" s="43">
        <f>SUM(G23:G27)</f>
        <v>925</v>
      </c>
    </row>
    <row r="29" spans="1:7" ht="18.75">
      <c r="A29" s="34"/>
      <c r="B29" s="34"/>
      <c r="C29" s="36"/>
      <c r="D29" s="34"/>
      <c r="E29" s="36"/>
      <c r="F29" s="34"/>
      <c r="G29" s="34"/>
    </row>
    <row r="30" spans="1:7" ht="18.75">
      <c r="A30" s="34">
        <v>55111</v>
      </c>
      <c r="B30" s="34" t="s">
        <v>95</v>
      </c>
      <c r="C30" s="36">
        <v>60</v>
      </c>
      <c r="D30" s="34">
        <v>60</v>
      </c>
      <c r="E30" s="36">
        <v>100</v>
      </c>
      <c r="F30" s="34">
        <v>85</v>
      </c>
      <c r="G30" s="34">
        <v>85</v>
      </c>
    </row>
    <row r="31" spans="1:7" ht="18.75">
      <c r="A31" s="34">
        <v>552183</v>
      </c>
      <c r="B31" s="34" t="s">
        <v>93</v>
      </c>
      <c r="C31" s="36">
        <v>100</v>
      </c>
      <c r="D31" s="34">
        <v>100</v>
      </c>
      <c r="E31" s="36">
        <v>210</v>
      </c>
      <c r="F31" s="34">
        <v>204</v>
      </c>
      <c r="G31" s="34">
        <v>210</v>
      </c>
    </row>
    <row r="32" spans="1:7" ht="18.75">
      <c r="A32" s="34">
        <v>55213</v>
      </c>
      <c r="B32" s="34" t="s">
        <v>180</v>
      </c>
      <c r="C32" s="36">
        <v>100</v>
      </c>
      <c r="D32" s="34"/>
      <c r="E32" s="36"/>
      <c r="F32" s="34"/>
      <c r="G32" s="34"/>
    </row>
    <row r="33" spans="1:7" ht="18.75">
      <c r="A33" s="36">
        <v>55</v>
      </c>
      <c r="B33" s="36" t="s">
        <v>94</v>
      </c>
      <c r="C33" s="43">
        <f>SUM(C30:C32)</f>
        <v>260</v>
      </c>
      <c r="D33" s="44">
        <f>SUM(D30:D32)</f>
        <v>160</v>
      </c>
      <c r="E33" s="43">
        <f>SUM(E30:E32)</f>
        <v>310</v>
      </c>
      <c r="F33" s="43">
        <f>SUM(F30:F32)</f>
        <v>289</v>
      </c>
      <c r="G33" s="43">
        <f>SUM(G30:G32)</f>
        <v>295</v>
      </c>
    </row>
    <row r="34" spans="1:7" ht="18.75">
      <c r="A34" s="36"/>
      <c r="B34" s="36"/>
      <c r="C34" s="36"/>
      <c r="D34" s="34"/>
      <c r="E34" s="36"/>
      <c r="F34" s="34"/>
      <c r="G34" s="34"/>
    </row>
    <row r="35" spans="1:8" ht="18.75">
      <c r="A35" s="34">
        <v>56111</v>
      </c>
      <c r="B35" s="34" t="s">
        <v>60</v>
      </c>
      <c r="C35" s="118">
        <f>(C28+C30+C31+C32)*0.27</f>
        <v>317.79</v>
      </c>
      <c r="D35" s="118">
        <f>(D28+D30+D31+D32)*0.27</f>
        <v>241.65</v>
      </c>
      <c r="E35" s="118">
        <f>(E28+E30+E31+E32)*0.27</f>
        <v>295.65000000000003</v>
      </c>
      <c r="F35" s="34">
        <v>308</v>
      </c>
      <c r="G35" s="118">
        <f>H35*27%+1</f>
        <v>330.40000000000003</v>
      </c>
      <c r="H35" s="20">
        <f>G33+G28</f>
        <v>1220</v>
      </c>
    </row>
    <row r="36" spans="1:7" ht="18.75">
      <c r="A36" s="34">
        <v>56211</v>
      </c>
      <c r="B36" s="34" t="s">
        <v>18</v>
      </c>
      <c r="C36" s="36">
        <v>10</v>
      </c>
      <c r="D36" s="34">
        <v>31</v>
      </c>
      <c r="E36" s="36">
        <v>20</v>
      </c>
      <c r="F36" s="34"/>
      <c r="G36" s="34"/>
    </row>
    <row r="37" spans="1:7" ht="18.75">
      <c r="A37" s="36">
        <v>56</v>
      </c>
      <c r="B37" s="36" t="s">
        <v>20</v>
      </c>
      <c r="C37" s="43">
        <f>SUM(C35:C36)</f>
        <v>327.79</v>
      </c>
      <c r="D37" s="44">
        <f>SUM(D35:D36)</f>
        <v>272.65</v>
      </c>
      <c r="E37" s="43">
        <f>SUM(E35:E36)</f>
        <v>315.65000000000003</v>
      </c>
      <c r="F37" s="43">
        <f>SUM(F35:F36)</f>
        <v>308</v>
      </c>
      <c r="G37" s="43">
        <f>SUM(G35:G36)</f>
        <v>330.40000000000003</v>
      </c>
    </row>
    <row r="38" spans="1:7" ht="18.75">
      <c r="A38" s="34"/>
      <c r="B38" s="34"/>
      <c r="C38" s="36"/>
      <c r="D38" s="34"/>
      <c r="E38" s="36"/>
      <c r="F38" s="34"/>
      <c r="G38" s="34"/>
    </row>
    <row r="39" spans="1:7" ht="18.75">
      <c r="A39" s="34">
        <v>572192</v>
      </c>
      <c r="B39" s="34" t="s">
        <v>96</v>
      </c>
      <c r="C39" s="36">
        <v>300</v>
      </c>
      <c r="D39" s="34">
        <v>250</v>
      </c>
      <c r="E39" s="36">
        <f>77+93</f>
        <v>170</v>
      </c>
      <c r="F39" s="34">
        <v>87</v>
      </c>
      <c r="G39" s="34">
        <v>100</v>
      </c>
    </row>
    <row r="40" spans="1:7" ht="18.75">
      <c r="A40" s="34">
        <v>57211</v>
      </c>
      <c r="B40" s="34" t="s">
        <v>213</v>
      </c>
      <c r="C40" s="36">
        <v>23</v>
      </c>
      <c r="D40" s="34">
        <v>23</v>
      </c>
      <c r="E40" s="50">
        <f>E14*19.04%</f>
        <v>22.848</v>
      </c>
      <c r="F40" s="34"/>
      <c r="G40" s="34"/>
    </row>
    <row r="41" spans="1:7" ht="18.75">
      <c r="A41" s="36">
        <v>57</v>
      </c>
      <c r="B41" s="36" t="s">
        <v>82</v>
      </c>
      <c r="C41" s="43">
        <f>SUM(C39:C40)</f>
        <v>323</v>
      </c>
      <c r="D41" s="44">
        <f>SUM(D39:D40)</f>
        <v>273</v>
      </c>
      <c r="E41" s="43">
        <f>SUM(E39:E40)</f>
        <v>192.848</v>
      </c>
      <c r="F41" s="43">
        <f>SUM(F39:F40)</f>
        <v>87</v>
      </c>
      <c r="G41" s="43">
        <f>SUM(G39:G40)</f>
        <v>100</v>
      </c>
    </row>
    <row r="42" spans="1:7" ht="18.75">
      <c r="A42" s="36"/>
      <c r="B42" s="36"/>
      <c r="C42" s="36"/>
      <c r="D42" s="34"/>
      <c r="E42" s="36"/>
      <c r="F42" s="34"/>
      <c r="G42" s="34"/>
    </row>
    <row r="43" spans="1:7" ht="18.75">
      <c r="A43" s="36"/>
      <c r="B43" s="36" t="s">
        <v>29</v>
      </c>
      <c r="C43" s="43">
        <f>SUM(C41,C37,C33,C28)</f>
        <v>1827.79</v>
      </c>
      <c r="D43" s="44">
        <f>SUM(D41,D37,D33,D28)</f>
        <v>1440.65</v>
      </c>
      <c r="E43" s="43">
        <f>SUM(E41,E37,E33,E28)</f>
        <v>1603.498</v>
      </c>
      <c r="F43" s="43">
        <f>SUM(F41,F37,F33,F28)</f>
        <v>1537</v>
      </c>
      <c r="G43" s="43">
        <f>SUM(G41,G37,G33,G28)</f>
        <v>1650.4</v>
      </c>
    </row>
    <row r="44" spans="1:7" ht="18.75">
      <c r="A44" s="36"/>
      <c r="B44" s="36"/>
      <c r="C44" s="36"/>
      <c r="D44" s="34"/>
      <c r="E44" s="36"/>
      <c r="F44" s="34"/>
      <c r="G44" s="34"/>
    </row>
    <row r="45" spans="1:7" ht="18.75">
      <c r="A45" s="36"/>
      <c r="B45" s="36" t="s">
        <v>98</v>
      </c>
      <c r="C45" s="43">
        <f>SUM(C43,C21,C16)</f>
        <v>4134.79</v>
      </c>
      <c r="D45" s="44">
        <f>SUM(D43,D21,D16)</f>
        <v>3666.3100000000004</v>
      </c>
      <c r="E45" s="43">
        <f>SUM(E43,E21,E16)</f>
        <v>3682.828</v>
      </c>
      <c r="F45" s="43">
        <f>SUM(F43,F21,F16)</f>
        <v>1537</v>
      </c>
      <c r="G45" s="43">
        <f>SUM(G43,G21,G16)</f>
        <v>4213.79</v>
      </c>
    </row>
    <row r="46" spans="1:7" ht="18.75">
      <c r="A46" s="34"/>
      <c r="B46" s="34"/>
      <c r="C46" s="36"/>
      <c r="D46" s="34"/>
      <c r="E46" s="36"/>
      <c r="F46" s="34"/>
      <c r="G46" s="34"/>
    </row>
    <row r="47" spans="1:7" ht="18.75">
      <c r="A47" s="36"/>
      <c r="B47" s="36" t="s">
        <v>0</v>
      </c>
      <c r="C47" s="43">
        <f>SUM(C45+C6)</f>
        <v>9096.79</v>
      </c>
      <c r="D47" s="44">
        <f>SUM(D45+D6)</f>
        <v>3666.3100000000004</v>
      </c>
      <c r="E47" s="43">
        <f>SUM(E45+E6)</f>
        <v>3682.828</v>
      </c>
      <c r="F47" s="43">
        <f>SUM(F45+F6)</f>
        <v>1537</v>
      </c>
      <c r="G47" s="43">
        <f>SUM(G45+G6)</f>
        <v>4213.79</v>
      </c>
    </row>
    <row r="48" ht="18.75">
      <c r="D48" s="20"/>
    </row>
    <row r="55" spans="1:2" ht="18.75">
      <c r="A55" s="3"/>
      <c r="B55" s="3"/>
    </row>
    <row r="60" spans="1:2" ht="18.75">
      <c r="A60" s="3"/>
      <c r="B60" s="3"/>
    </row>
    <row r="66" spans="1:2" ht="18.75">
      <c r="A66" s="3"/>
      <c r="B66" s="3"/>
    </row>
    <row r="72" spans="1:2" ht="18.75">
      <c r="A72" s="3"/>
      <c r="B72" s="3"/>
    </row>
    <row r="76" spans="1:2" ht="18.75">
      <c r="A76" s="3"/>
      <c r="B76" s="3"/>
    </row>
    <row r="79" spans="1:2" ht="18.75">
      <c r="A79" s="3"/>
      <c r="B79" s="3"/>
    </row>
    <row r="80" spans="1:2" ht="18.75">
      <c r="A80" s="3"/>
      <c r="B80" s="3"/>
    </row>
  </sheetData>
  <sheetProtection/>
  <printOptions horizontalCentered="1" verticalCentered="1"/>
  <pageMargins left="0" right="0" top="0" bottom="0" header="0" footer="0"/>
  <pageSetup horizontalDpi="300" verticalDpi="300" orientation="portrait" paperSize="9" scale="61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C00000"/>
  </sheetPr>
  <dimension ref="A2:J101"/>
  <sheetViews>
    <sheetView zoomScalePageLayoutView="0" workbookViewId="0" topLeftCell="A61">
      <selection activeCell="E72" sqref="E72"/>
    </sheetView>
  </sheetViews>
  <sheetFormatPr defaultColWidth="8.41015625" defaultRowHeight="18"/>
  <cols>
    <col min="1" max="1" width="8.41015625" style="21" customWidth="1"/>
    <col min="2" max="2" width="29.41015625" style="21" customWidth="1"/>
    <col min="3" max="3" width="8" style="382" customWidth="1"/>
    <col min="4" max="4" width="7.33203125" style="21" customWidth="1"/>
    <col min="5" max="5" width="7.75" style="21" customWidth="1"/>
    <col min="6" max="249" width="7.08203125" style="21" customWidth="1"/>
    <col min="250" max="16384" width="8.41015625" style="21" customWidth="1"/>
  </cols>
  <sheetData>
    <row r="2" spans="1:5" ht="18.75">
      <c r="A2" s="620" t="s">
        <v>1331</v>
      </c>
      <c r="B2" s="620"/>
      <c r="C2" s="620"/>
      <c r="D2" s="620"/>
      <c r="E2" s="620"/>
    </row>
    <row r="3" ht="19.5" thickBot="1">
      <c r="C3" s="243"/>
    </row>
    <row r="4" spans="1:5" ht="19.5" thickBot="1">
      <c r="A4" s="595">
        <v>889928</v>
      </c>
      <c r="B4" s="245" t="s">
        <v>1404</v>
      </c>
      <c r="C4" s="421" t="s">
        <v>616</v>
      </c>
      <c r="D4" s="41" t="s">
        <v>626</v>
      </c>
      <c r="E4" s="34">
        <v>2016</v>
      </c>
    </row>
    <row r="5" spans="1:5" ht="19.5" thickBot="1">
      <c r="A5" s="596">
        <v>107055</v>
      </c>
      <c r="B5" s="210"/>
      <c r="C5" s="295"/>
      <c r="D5" s="34"/>
      <c r="E5" s="34"/>
    </row>
    <row r="6" spans="1:5" ht="18.75">
      <c r="A6" s="249" t="s">
        <v>819</v>
      </c>
      <c r="B6" s="250" t="s">
        <v>1238</v>
      </c>
      <c r="C6" s="376">
        <v>1464</v>
      </c>
      <c r="D6" s="565"/>
      <c r="E6" s="565">
        <v>1540</v>
      </c>
    </row>
    <row r="7" spans="1:5" ht="18.75">
      <c r="A7" s="253" t="s">
        <v>822</v>
      </c>
      <c r="B7" s="254" t="s">
        <v>821</v>
      </c>
      <c r="C7" s="377"/>
      <c r="D7" s="34"/>
      <c r="E7" s="34"/>
    </row>
    <row r="8" spans="1:5" ht="18.75">
      <c r="A8" s="253" t="s">
        <v>823</v>
      </c>
      <c r="B8" s="254" t="s">
        <v>820</v>
      </c>
      <c r="C8" s="377">
        <v>131</v>
      </c>
      <c r="D8" s="34"/>
      <c r="E8" s="381">
        <v>132</v>
      </c>
    </row>
    <row r="9" spans="1:5" ht="18.75">
      <c r="A9" s="253" t="s">
        <v>825</v>
      </c>
      <c r="B9" s="254" t="s">
        <v>824</v>
      </c>
      <c r="C9" s="377">
        <v>29</v>
      </c>
      <c r="D9" s="34"/>
      <c r="E9" s="34"/>
    </row>
    <row r="10" spans="1:5" ht="18.75">
      <c r="A10" s="253" t="s">
        <v>826</v>
      </c>
      <c r="B10" s="260" t="s">
        <v>1239</v>
      </c>
      <c r="C10" s="377">
        <v>100</v>
      </c>
      <c r="D10" s="34"/>
      <c r="E10" s="34"/>
    </row>
    <row r="11" spans="1:5" ht="18.75">
      <c r="A11" s="253" t="s">
        <v>1233</v>
      </c>
      <c r="B11" s="260" t="s">
        <v>1240</v>
      </c>
      <c r="C11" s="378"/>
      <c r="D11" s="34"/>
      <c r="E11" s="34"/>
    </row>
    <row r="12" spans="1:5" ht="18.75">
      <c r="A12" s="253" t="s">
        <v>1241</v>
      </c>
      <c r="B12" s="262" t="s">
        <v>1234</v>
      </c>
      <c r="C12" s="377">
        <v>150</v>
      </c>
      <c r="D12" s="34"/>
      <c r="E12" s="34"/>
    </row>
    <row r="13" spans="1:5" ht="18.75">
      <c r="A13" s="253" t="s">
        <v>1242</v>
      </c>
      <c r="B13" s="262" t="s">
        <v>1235</v>
      </c>
      <c r="C13" s="377"/>
      <c r="D13" s="34"/>
      <c r="E13" s="34">
        <v>150</v>
      </c>
    </row>
    <row r="14" spans="1:5" ht="18.75">
      <c r="A14" s="253" t="s">
        <v>1243</v>
      </c>
      <c r="B14" s="254" t="s">
        <v>528</v>
      </c>
      <c r="C14" s="377"/>
      <c r="D14" s="34"/>
      <c r="E14" s="34"/>
    </row>
    <row r="15" spans="1:5" ht="18.75">
      <c r="A15" s="253" t="s">
        <v>1244</v>
      </c>
      <c r="B15" s="254" t="s">
        <v>1236</v>
      </c>
      <c r="C15" s="377"/>
      <c r="D15" s="34"/>
      <c r="E15" s="34"/>
    </row>
    <row r="16" spans="1:5" ht="19.5" thickBot="1">
      <c r="A16" s="264" t="s">
        <v>1245</v>
      </c>
      <c r="B16" s="265" t="s">
        <v>791</v>
      </c>
      <c r="C16" s="377">
        <v>133</v>
      </c>
      <c r="D16" s="34"/>
      <c r="E16" s="34">
        <v>129</v>
      </c>
    </row>
    <row r="17" spans="1:5" ht="19.5" thickBot="1">
      <c r="A17" s="568" t="s">
        <v>1327</v>
      </c>
      <c r="B17" s="569" t="s">
        <v>1249</v>
      </c>
      <c r="C17" s="379">
        <f>SUM(C6:C16)</f>
        <v>2007</v>
      </c>
      <c r="D17" s="379">
        <f>SUM(D6:D16)</f>
        <v>0</v>
      </c>
      <c r="E17" s="379">
        <f>SUM(E6:E16)</f>
        <v>1951</v>
      </c>
    </row>
    <row r="18" spans="1:5" ht="19.5" thickBot="1">
      <c r="A18" s="557" t="s">
        <v>1329</v>
      </c>
      <c r="B18" s="558" t="s">
        <v>1248</v>
      </c>
      <c r="C18" s="377"/>
      <c r="D18" s="34"/>
      <c r="E18" s="34"/>
    </row>
    <row r="19" spans="1:5" ht="19.5" thickBot="1">
      <c r="A19" s="557" t="s">
        <v>1328</v>
      </c>
      <c r="B19" s="558" t="s">
        <v>1246</v>
      </c>
      <c r="C19" s="377"/>
      <c r="D19" s="34"/>
      <c r="E19" s="34"/>
    </row>
    <row r="20" spans="1:5" ht="19.5" thickBot="1">
      <c r="A20" s="557" t="s">
        <v>1253</v>
      </c>
      <c r="B20" s="558" t="s">
        <v>19</v>
      </c>
      <c r="C20" s="377"/>
      <c r="D20" s="34"/>
      <c r="E20" s="34"/>
    </row>
    <row r="21" spans="1:5" ht="19.5" thickBot="1">
      <c r="A21" s="557" t="s">
        <v>1254</v>
      </c>
      <c r="B21" s="558" t="s">
        <v>889</v>
      </c>
      <c r="C21" s="377"/>
      <c r="D21" s="34"/>
      <c r="E21" s="34"/>
    </row>
    <row r="22" spans="1:5" ht="19.5" thickBot="1">
      <c r="A22" s="568" t="s">
        <v>1330</v>
      </c>
      <c r="B22" s="569" t="s">
        <v>1247</v>
      </c>
      <c r="C22" s="377">
        <f>SUM(C18:C21)</f>
        <v>0</v>
      </c>
      <c r="D22" s="377">
        <f>SUM(D18:D21)</f>
        <v>0</v>
      </c>
      <c r="E22" s="377">
        <f>SUM(E18:E21)</f>
        <v>0</v>
      </c>
    </row>
    <row r="23" spans="1:5" ht="27" customHeight="1" thickBot="1">
      <c r="A23" s="268" t="s">
        <v>1250</v>
      </c>
      <c r="B23" s="269" t="s">
        <v>1237</v>
      </c>
      <c r="C23" s="379">
        <f>SUM(C22,C17)</f>
        <v>2007</v>
      </c>
      <c r="D23" s="379">
        <f>SUM(D22,D17)</f>
        <v>0</v>
      </c>
      <c r="E23" s="379">
        <f>SUM(E22,E17)</f>
        <v>1951</v>
      </c>
    </row>
    <row r="24" spans="1:5" ht="19.5" thickBot="1">
      <c r="A24" s="270"/>
      <c r="B24" s="271"/>
      <c r="C24" s="377"/>
      <c r="D24" s="34"/>
      <c r="E24" s="34"/>
    </row>
    <row r="25" spans="1:6" ht="18.75">
      <c r="A25" s="272" t="s">
        <v>1255</v>
      </c>
      <c r="B25" s="97" t="s">
        <v>590</v>
      </c>
      <c r="C25" s="275">
        <v>502</v>
      </c>
      <c r="D25" s="44"/>
      <c r="E25" s="118">
        <f>F25*27%</f>
        <v>486.27000000000004</v>
      </c>
      <c r="F25" s="21">
        <f>E6+E7+E8+E9+E10+E11+E16+E22</f>
        <v>1801</v>
      </c>
    </row>
    <row r="26" spans="1:5" ht="18.75">
      <c r="A26" s="559" t="s">
        <v>1256</v>
      </c>
      <c r="B26" s="97" t="s">
        <v>1251</v>
      </c>
      <c r="C26" s="275"/>
      <c r="D26" s="44"/>
      <c r="E26" s="118"/>
    </row>
    <row r="27" spans="1:6" ht="18.75">
      <c r="A27" s="276" t="s">
        <v>1252</v>
      </c>
      <c r="B27" s="255" t="s">
        <v>4</v>
      </c>
      <c r="C27" s="378">
        <v>25</v>
      </c>
      <c r="D27" s="34"/>
      <c r="E27" s="118">
        <f>F27*16.67%</f>
        <v>25.005000000000003</v>
      </c>
      <c r="F27" s="21">
        <f>E12+E13</f>
        <v>150</v>
      </c>
    </row>
    <row r="28" spans="1:5" ht="19.5" thickBot="1">
      <c r="A28" s="462" t="s">
        <v>1257</v>
      </c>
      <c r="B28" s="255" t="s">
        <v>635</v>
      </c>
      <c r="C28" s="378">
        <v>29</v>
      </c>
      <c r="D28" s="34"/>
      <c r="E28" s="118">
        <f>F27*19.04%</f>
        <v>28.56</v>
      </c>
    </row>
    <row r="29" spans="1:5" ht="19.5" thickBot="1">
      <c r="A29" s="582" t="s">
        <v>1258</v>
      </c>
      <c r="B29" s="583" t="s">
        <v>69</v>
      </c>
      <c r="C29" s="378">
        <f>SUM(C25:C28)</f>
        <v>556</v>
      </c>
      <c r="D29" s="378">
        <f>SUM(D25:D28)</f>
        <v>0</v>
      </c>
      <c r="E29" s="378">
        <f>SUM(E25:E28)</f>
        <v>539.835</v>
      </c>
    </row>
    <row r="30" spans="1:5" ht="19.5" thickBot="1">
      <c r="A30" s="282"/>
      <c r="B30" s="283"/>
      <c r="C30" s="377"/>
      <c r="D30" s="34"/>
      <c r="E30" s="34"/>
    </row>
    <row r="31" spans="1:5" ht="18.75">
      <c r="A31" s="249" t="s">
        <v>1259</v>
      </c>
      <c r="B31" s="291" t="s">
        <v>533</v>
      </c>
      <c r="C31" s="377"/>
      <c r="D31" s="34"/>
      <c r="E31" s="34"/>
    </row>
    <row r="32" spans="1:5" ht="18.75">
      <c r="A32" s="253" t="s">
        <v>1260</v>
      </c>
      <c r="B32" s="254" t="s">
        <v>534</v>
      </c>
      <c r="C32" s="377"/>
      <c r="D32" s="41"/>
      <c r="E32" s="34"/>
    </row>
    <row r="33" spans="1:5" ht="18.75">
      <c r="A33" s="253" t="s">
        <v>1262</v>
      </c>
      <c r="B33" s="254" t="s">
        <v>1261</v>
      </c>
      <c r="C33" s="377"/>
      <c r="D33" s="41"/>
      <c r="E33" s="34"/>
    </row>
    <row r="34" spans="1:5" ht="18.75">
      <c r="A34" s="253" t="s">
        <v>1263</v>
      </c>
      <c r="B34" s="254" t="s">
        <v>124</v>
      </c>
      <c r="C34" s="377"/>
      <c r="D34" s="41"/>
      <c r="E34" s="34"/>
    </row>
    <row r="35" spans="1:5" ht="18.75">
      <c r="A35" s="253" t="s">
        <v>1264</v>
      </c>
      <c r="B35" s="254" t="s">
        <v>1265</v>
      </c>
      <c r="C35" s="570">
        <v>80</v>
      </c>
      <c r="D35" s="41"/>
      <c r="E35" s="34">
        <v>50</v>
      </c>
    </row>
    <row r="36" spans="1:5" ht="18.75">
      <c r="A36" s="253" t="s">
        <v>1335</v>
      </c>
      <c r="B36" s="562" t="s">
        <v>548</v>
      </c>
      <c r="C36" s="570">
        <f>SUM(C31:C35)</f>
        <v>80</v>
      </c>
      <c r="D36" s="570">
        <f>SUM(D31:D35)</f>
        <v>0</v>
      </c>
      <c r="E36" s="570">
        <f>SUM(E31:E35)</f>
        <v>50</v>
      </c>
    </row>
    <row r="37" spans="1:5" ht="18.75">
      <c r="A37" s="253" t="s">
        <v>1342</v>
      </c>
      <c r="B37" s="254" t="s">
        <v>1343</v>
      </c>
      <c r="C37" s="570"/>
      <c r="D37" s="570"/>
      <c r="E37" s="570"/>
    </row>
    <row r="38" spans="1:5" ht="18.75">
      <c r="A38" s="253" t="s">
        <v>1344</v>
      </c>
      <c r="B38" s="254" t="s">
        <v>1267</v>
      </c>
      <c r="C38" s="570">
        <v>5</v>
      </c>
      <c r="D38" s="34">
        <v>7</v>
      </c>
      <c r="E38" s="34">
        <v>10</v>
      </c>
    </row>
    <row r="39" spans="1:5" ht="18.75">
      <c r="A39" s="253" t="s">
        <v>1345</v>
      </c>
      <c r="B39" s="254" t="s">
        <v>88</v>
      </c>
      <c r="C39" s="570">
        <v>800</v>
      </c>
      <c r="D39" s="34">
        <v>749</v>
      </c>
      <c r="E39" s="34">
        <v>800</v>
      </c>
    </row>
    <row r="40" spans="1:5" ht="18.75">
      <c r="A40" s="253" t="s">
        <v>1346</v>
      </c>
      <c r="B40" s="254" t="s">
        <v>1268</v>
      </c>
      <c r="C40" s="377">
        <v>40</v>
      </c>
      <c r="D40" s="34">
        <v>40</v>
      </c>
      <c r="E40" s="34">
        <v>40</v>
      </c>
    </row>
    <row r="41" spans="1:6" ht="19.5" thickBot="1">
      <c r="A41" s="288" t="s">
        <v>1347</v>
      </c>
      <c r="B41" s="289" t="s">
        <v>1269</v>
      </c>
      <c r="C41" s="377"/>
      <c r="D41" s="34">
        <v>100</v>
      </c>
      <c r="E41" s="34">
        <v>100</v>
      </c>
      <c r="F41" s="21" t="s">
        <v>1587</v>
      </c>
    </row>
    <row r="42" spans="1:5" ht="17.25" customHeight="1" thickBot="1">
      <c r="A42" s="268" t="s">
        <v>1266</v>
      </c>
      <c r="B42" s="571" t="s">
        <v>1270</v>
      </c>
      <c r="C42" s="377">
        <f>SUM(C37:C41)</f>
        <v>845</v>
      </c>
      <c r="D42" s="377">
        <f>SUM(D38:D41)</f>
        <v>896</v>
      </c>
      <c r="E42" s="377">
        <f>SUM(E38:E41)</f>
        <v>950</v>
      </c>
    </row>
    <row r="43" spans="1:5" ht="22.5" customHeight="1" thickBot="1">
      <c r="A43" s="572" t="s">
        <v>1300</v>
      </c>
      <c r="B43" s="573" t="s">
        <v>595</v>
      </c>
      <c r="C43" s="574">
        <f>SUM(C42,C36)</f>
        <v>925</v>
      </c>
      <c r="D43" s="574">
        <f>SUM(D42,D36)</f>
        <v>896</v>
      </c>
      <c r="E43" s="574">
        <f>SUM(E42,E36)</f>
        <v>1000</v>
      </c>
    </row>
    <row r="44" spans="1:5" ht="18.75">
      <c r="A44" s="249" t="s">
        <v>1271</v>
      </c>
      <c r="B44" s="291" t="s">
        <v>1348</v>
      </c>
      <c r="C44" s="377"/>
      <c r="D44" s="34"/>
      <c r="E44" s="34"/>
    </row>
    <row r="45" spans="1:5" ht="18.75">
      <c r="A45" s="494" t="s">
        <v>1350</v>
      </c>
      <c r="B45" s="590" t="s">
        <v>1351</v>
      </c>
      <c r="C45" s="377"/>
      <c r="D45" s="34"/>
      <c r="E45" s="34"/>
    </row>
    <row r="46" spans="1:5" s="600" customFormat="1" ht="18.75">
      <c r="A46" s="613" t="s">
        <v>1272</v>
      </c>
      <c r="B46" s="614" t="s">
        <v>1349</v>
      </c>
      <c r="C46" s="615">
        <v>85</v>
      </c>
      <c r="D46" s="616">
        <v>49</v>
      </c>
      <c r="E46" s="617">
        <v>55</v>
      </c>
    </row>
    <row r="47" spans="1:5" ht="18.75">
      <c r="A47" s="575" t="s">
        <v>1301</v>
      </c>
      <c r="B47" s="576" t="s">
        <v>1366</v>
      </c>
      <c r="C47" s="577">
        <f>SUM(C44:C46)</f>
        <v>85</v>
      </c>
      <c r="D47" s="577">
        <f>SUM(D44:D46)</f>
        <v>49</v>
      </c>
      <c r="E47" s="577">
        <f>SUM(E44:E46)</f>
        <v>55</v>
      </c>
    </row>
    <row r="48" spans="1:5" ht="18.75">
      <c r="A48" s="253" t="s">
        <v>1275</v>
      </c>
      <c r="B48" s="254" t="s">
        <v>544</v>
      </c>
      <c r="C48" s="295"/>
      <c r="D48" s="566"/>
      <c r="E48" s="34"/>
    </row>
    <row r="49" spans="1:5" ht="18.75">
      <c r="A49" s="253" t="s">
        <v>1274</v>
      </c>
      <c r="B49" s="254" t="s">
        <v>543</v>
      </c>
      <c r="C49" s="295"/>
      <c r="D49" s="34"/>
      <c r="E49" s="34"/>
    </row>
    <row r="50" spans="1:5" ht="18.75">
      <c r="A50" s="253" t="s">
        <v>1276</v>
      </c>
      <c r="B50" s="254" t="s">
        <v>503</v>
      </c>
      <c r="C50" s="295"/>
      <c r="D50" s="34"/>
      <c r="E50" s="34"/>
    </row>
    <row r="51" spans="1:5" ht="18.75">
      <c r="A51" s="575" t="s">
        <v>1273</v>
      </c>
      <c r="B51" s="576" t="s">
        <v>1277</v>
      </c>
      <c r="C51" s="577">
        <f>SUM(C48:C50)</f>
        <v>0</v>
      </c>
      <c r="D51" s="577">
        <f>SUM(D48:D50)</f>
        <v>0</v>
      </c>
      <c r="E51" s="577">
        <f>SUM(E48:E50)</f>
        <v>0</v>
      </c>
    </row>
    <row r="52" spans="1:5" ht="18.75">
      <c r="A52" s="253" t="s">
        <v>1332</v>
      </c>
      <c r="B52" s="254" t="s">
        <v>1278</v>
      </c>
      <c r="C52" s="295"/>
      <c r="D52" s="34"/>
      <c r="E52" s="34"/>
    </row>
    <row r="53" spans="1:5" ht="18.75">
      <c r="A53" s="253" t="s">
        <v>1280</v>
      </c>
      <c r="B53" s="254" t="s">
        <v>26</v>
      </c>
      <c r="C53" s="295"/>
      <c r="D53" s="41"/>
      <c r="E53" s="34"/>
    </row>
    <row r="54" spans="1:5" ht="18.75">
      <c r="A54" s="253" t="s">
        <v>1281</v>
      </c>
      <c r="B54" s="254" t="s">
        <v>1352</v>
      </c>
      <c r="C54" s="377">
        <v>210</v>
      </c>
      <c r="D54" s="34">
        <v>160</v>
      </c>
      <c r="E54" s="34">
        <v>200</v>
      </c>
    </row>
    <row r="55" spans="1:5" ht="18.75">
      <c r="A55" s="575" t="s">
        <v>1283</v>
      </c>
      <c r="B55" s="576" t="s">
        <v>1282</v>
      </c>
      <c r="C55" s="574">
        <f>SUM(C53:C54)</f>
        <v>210</v>
      </c>
      <c r="D55" s="574">
        <f>SUM(D53:D54)</f>
        <v>160</v>
      </c>
      <c r="E55" s="574">
        <f>SUM(E53:E54)</f>
        <v>200</v>
      </c>
    </row>
    <row r="56" spans="1:5" ht="18.75">
      <c r="A56" s="575" t="s">
        <v>1284</v>
      </c>
      <c r="B56" s="588" t="s">
        <v>1333</v>
      </c>
      <c r="C56" s="589"/>
      <c r="D56" s="589"/>
      <c r="E56" s="589"/>
    </row>
    <row r="57" spans="1:5" ht="18.75">
      <c r="A57" s="288"/>
      <c r="B57" s="554" t="s">
        <v>943</v>
      </c>
      <c r="C57" s="554"/>
      <c r="D57" s="554"/>
      <c r="E57" s="554"/>
    </row>
    <row r="58" spans="1:5" ht="18.75">
      <c r="A58" s="288" t="s">
        <v>1353</v>
      </c>
      <c r="B58" s="554" t="s">
        <v>547</v>
      </c>
      <c r="C58" s="554"/>
      <c r="D58" s="554">
        <v>28</v>
      </c>
      <c r="E58" s="554"/>
    </row>
    <row r="59" spans="1:5" ht="18.75">
      <c r="A59" s="288" t="s">
        <v>1354</v>
      </c>
      <c r="B59" s="554" t="s">
        <v>1355</v>
      </c>
      <c r="C59" s="554"/>
      <c r="D59" s="554"/>
      <c r="E59" s="554"/>
    </row>
    <row r="60" spans="1:5" ht="27" customHeight="1">
      <c r="A60" s="561" t="s">
        <v>1285</v>
      </c>
      <c r="B60" s="552" t="s">
        <v>945</v>
      </c>
      <c r="C60" s="591">
        <f>SUM(C58:C59)</f>
        <v>0</v>
      </c>
      <c r="D60" s="591">
        <f>SUM(D58:D59)</f>
        <v>28</v>
      </c>
      <c r="E60" s="591">
        <f>SUM(E58:E59)</f>
        <v>0</v>
      </c>
    </row>
    <row r="61" spans="1:5" ht="23.25" customHeight="1">
      <c r="A61" s="462" t="s">
        <v>1356</v>
      </c>
      <c r="B61" s="553" t="s">
        <v>1362</v>
      </c>
      <c r="C61" s="591">
        <v>100</v>
      </c>
      <c r="D61" s="591">
        <v>186</v>
      </c>
      <c r="E61" s="591">
        <v>100</v>
      </c>
    </row>
    <row r="62" spans="1:5" ht="23.25" customHeight="1">
      <c r="A62" s="462" t="s">
        <v>1357</v>
      </c>
      <c r="B62" s="553" t="s">
        <v>1358</v>
      </c>
      <c r="C62" s="591"/>
      <c r="D62" s="591"/>
      <c r="E62" s="591"/>
    </row>
    <row r="63" spans="1:5" ht="23.25" customHeight="1">
      <c r="A63" s="462" t="s">
        <v>1359</v>
      </c>
      <c r="B63" s="553" t="s">
        <v>9</v>
      </c>
      <c r="C63" s="591"/>
      <c r="D63" s="591"/>
      <c r="E63" s="591"/>
    </row>
    <row r="64" spans="1:6" ht="23.25" customHeight="1" thickBot="1">
      <c r="A64" s="462" t="s">
        <v>1360</v>
      </c>
      <c r="B64" s="553" t="s">
        <v>1361</v>
      </c>
      <c r="C64" s="591"/>
      <c r="D64" s="591"/>
      <c r="E64" s="591">
        <v>30</v>
      </c>
      <c r="F64" s="21" t="s">
        <v>1586</v>
      </c>
    </row>
    <row r="65" spans="1:5" ht="17.25" customHeight="1" thickBot="1">
      <c r="A65" s="298" t="s">
        <v>1286</v>
      </c>
      <c r="B65" s="552" t="s">
        <v>948</v>
      </c>
      <c r="C65" s="591">
        <f>SUM(C61:C64)</f>
        <v>100</v>
      </c>
      <c r="D65" s="591">
        <f>SUM(D61:D64)</f>
        <v>186</v>
      </c>
      <c r="E65" s="591">
        <f>SUM(E61:E64)</f>
        <v>130</v>
      </c>
    </row>
    <row r="66" spans="1:5" ht="25.5" customHeight="1">
      <c r="A66" s="578" t="s">
        <v>1279</v>
      </c>
      <c r="B66" s="579" t="s">
        <v>1287</v>
      </c>
      <c r="C66" s="579">
        <f>SUM(C65+C60+C56+C55+C52)</f>
        <v>310</v>
      </c>
      <c r="D66" s="579">
        <f>SUM(D65+D60+D56+D55+D52)</f>
        <v>374</v>
      </c>
      <c r="E66" s="579">
        <f>SUM(E65+E60+E56+E55+E52)</f>
        <v>330</v>
      </c>
    </row>
    <row r="67" spans="1:5" ht="18.75">
      <c r="A67" s="253" t="s">
        <v>1288</v>
      </c>
      <c r="B67" s="553" t="s">
        <v>952</v>
      </c>
      <c r="C67" s="553"/>
      <c r="D67" s="553"/>
      <c r="E67" s="553"/>
    </row>
    <row r="68" spans="1:5" ht="18.75">
      <c r="A68" s="253" t="s">
        <v>1289</v>
      </c>
      <c r="B68" s="553" t="s">
        <v>954</v>
      </c>
      <c r="C68" s="553"/>
      <c r="D68" s="553"/>
      <c r="E68" s="553"/>
    </row>
    <row r="69" spans="1:5" ht="24" customHeight="1">
      <c r="A69" s="575" t="s">
        <v>1291</v>
      </c>
      <c r="B69" s="579" t="s">
        <v>1290</v>
      </c>
      <c r="C69" s="579">
        <f>SUM(C67:C68)</f>
        <v>0</v>
      </c>
      <c r="D69" s="579">
        <f>SUM(D67:D68)</f>
        <v>0</v>
      </c>
      <c r="E69" s="579">
        <f>SUM(E67:E68)</f>
        <v>0</v>
      </c>
    </row>
    <row r="70" spans="1:7" ht="26.25" customHeight="1" thickBot="1">
      <c r="A70" s="561" t="s">
        <v>1294</v>
      </c>
      <c r="B70" s="552" t="s">
        <v>958</v>
      </c>
      <c r="C70" s="552">
        <v>330</v>
      </c>
      <c r="D70" s="552">
        <v>309</v>
      </c>
      <c r="E70" s="552">
        <v>347</v>
      </c>
      <c r="F70" s="597">
        <f>E43+E47+E51+E55+E60+E64</f>
        <v>1285</v>
      </c>
      <c r="G70" s="21">
        <f>F70*27%</f>
        <v>346.95000000000005</v>
      </c>
    </row>
    <row r="71" spans="1:5" ht="27" customHeight="1" thickBot="1">
      <c r="A71" s="268" t="s">
        <v>1295</v>
      </c>
      <c r="B71" s="552" t="s">
        <v>960</v>
      </c>
      <c r="C71" s="552"/>
      <c r="D71" s="552"/>
      <c r="E71" s="552"/>
    </row>
    <row r="72" spans="1:5" ht="19.5" thickBot="1">
      <c r="A72" s="210" t="s">
        <v>1296</v>
      </c>
      <c r="B72" s="552" t="s">
        <v>1293</v>
      </c>
      <c r="C72" s="552"/>
      <c r="D72" s="552"/>
      <c r="E72" s="552"/>
    </row>
    <row r="73" spans="1:5" ht="24.75" customHeight="1">
      <c r="A73" s="593" t="s">
        <v>1298</v>
      </c>
      <c r="B73" s="594" t="s">
        <v>1363</v>
      </c>
      <c r="C73" s="594"/>
      <c r="D73" s="552"/>
      <c r="E73" s="552"/>
    </row>
    <row r="74" spans="1:6" ht="24.75" customHeight="1">
      <c r="A74" s="592" t="s">
        <v>1364</v>
      </c>
      <c r="B74" s="563" t="s">
        <v>1365</v>
      </c>
      <c r="C74" s="563"/>
      <c r="D74" s="553"/>
      <c r="E74" s="553">
        <v>15</v>
      </c>
      <c r="F74" s="21" t="s">
        <v>1369</v>
      </c>
    </row>
    <row r="75" spans="1:5" ht="24.75" customHeight="1">
      <c r="A75" s="592" t="s">
        <v>1370</v>
      </c>
      <c r="B75" s="563" t="s">
        <v>1367</v>
      </c>
      <c r="C75" s="563"/>
      <c r="D75" s="553"/>
      <c r="E75" s="553"/>
    </row>
    <row r="76" spans="1:5" ht="18.75">
      <c r="A76" s="98" t="s">
        <v>1297</v>
      </c>
      <c r="B76" s="552" t="s">
        <v>970</v>
      </c>
      <c r="C76" s="552">
        <f>SUM(C74:C75)</f>
        <v>0</v>
      </c>
      <c r="D76" s="552">
        <f>SUM(D74:D75)</f>
        <v>0</v>
      </c>
      <c r="E76" s="552">
        <f>SUM(E74:E75)</f>
        <v>15</v>
      </c>
    </row>
    <row r="77" spans="1:5" ht="24.75" customHeight="1">
      <c r="A77" s="580" t="s">
        <v>1292</v>
      </c>
      <c r="B77" s="579" t="s">
        <v>1334</v>
      </c>
      <c r="C77" s="579">
        <f>C76+C73+C72+C71+C70</f>
        <v>330</v>
      </c>
      <c r="D77" s="579">
        <f>D76+D73+D72+D71+D70</f>
        <v>309</v>
      </c>
      <c r="E77" s="579">
        <f>E76+E73+E72+E71+E70</f>
        <v>362</v>
      </c>
    </row>
    <row r="78" spans="1:10" ht="24.75" customHeight="1">
      <c r="A78" s="587" t="s">
        <v>1299</v>
      </c>
      <c r="B78" s="585" t="s">
        <v>70</v>
      </c>
      <c r="C78" s="579">
        <f>SUM(C77+C69+C66+C47+C43)</f>
        <v>1650</v>
      </c>
      <c r="D78" s="579">
        <f>SUM(D77+D69+D66+D47+D43)</f>
        <v>1628</v>
      </c>
      <c r="E78" s="579">
        <f>SUM(E77+E69+E66+E47+E43)</f>
        <v>1747</v>
      </c>
      <c r="F78" s="560"/>
      <c r="G78" s="560"/>
      <c r="H78" s="560"/>
      <c r="I78" s="560"/>
      <c r="J78" s="560"/>
    </row>
    <row r="79" spans="1:10" ht="24.75" customHeight="1">
      <c r="A79" s="98" t="s">
        <v>1307</v>
      </c>
      <c r="B79" s="553" t="s">
        <v>1302</v>
      </c>
      <c r="C79" s="552"/>
      <c r="D79" s="552"/>
      <c r="E79" s="552"/>
      <c r="F79" s="560"/>
      <c r="G79" s="560"/>
      <c r="H79" s="560"/>
      <c r="I79" s="560"/>
      <c r="J79" s="560"/>
    </row>
    <row r="80" spans="1:10" ht="24.75" customHeight="1">
      <c r="A80" s="98" t="s">
        <v>1306</v>
      </c>
      <c r="B80" s="553" t="s">
        <v>1308</v>
      </c>
      <c r="C80" s="552"/>
      <c r="D80" s="552"/>
      <c r="E80" s="552"/>
      <c r="F80" s="560"/>
      <c r="G80" s="560"/>
      <c r="H80" s="560"/>
      <c r="I80" s="560"/>
      <c r="J80" s="560"/>
    </row>
    <row r="81" spans="1:10" ht="24.75" customHeight="1">
      <c r="A81" s="98"/>
      <c r="B81" s="97" t="s">
        <v>1304</v>
      </c>
      <c r="C81" s="552"/>
      <c r="D81" s="552"/>
      <c r="E81" s="552"/>
      <c r="F81" s="560"/>
      <c r="G81" s="560"/>
      <c r="H81" s="560"/>
      <c r="I81" s="560"/>
      <c r="J81" s="560"/>
    </row>
    <row r="82" spans="1:5" ht="18.75">
      <c r="A82" s="98"/>
      <c r="B82" s="97" t="s">
        <v>1303</v>
      </c>
      <c r="C82" s="377"/>
      <c r="D82" s="34"/>
      <c r="E82" s="34"/>
    </row>
    <row r="83" spans="1:5" ht="18.75">
      <c r="A83" s="98"/>
      <c r="B83" s="567" t="s">
        <v>1305</v>
      </c>
      <c r="C83" s="377"/>
      <c r="D83" s="34"/>
      <c r="E83" s="34"/>
    </row>
    <row r="84" spans="1:5" ht="25.5">
      <c r="A84" s="580" t="s">
        <v>1341</v>
      </c>
      <c r="B84" s="579" t="s">
        <v>1337</v>
      </c>
      <c r="C84" s="377">
        <f>SUM(C80:C83)</f>
        <v>0</v>
      </c>
      <c r="D84" s="377">
        <f>SUM(D80:D83)</f>
        <v>0</v>
      </c>
      <c r="E84" s="377">
        <f>SUM(E80:E83)</f>
        <v>0</v>
      </c>
    </row>
    <row r="85" spans="1:5" s="564" customFormat="1" ht="18.75">
      <c r="A85" s="587" t="s">
        <v>1336</v>
      </c>
      <c r="B85" s="587" t="s">
        <v>1340</v>
      </c>
      <c r="C85" s="574">
        <f>SUM(C79+C84)</f>
        <v>0</v>
      </c>
      <c r="D85" s="574">
        <f>SUM(D79+D84)</f>
        <v>0</v>
      </c>
      <c r="E85" s="574">
        <f>SUM(E79+E84)</f>
        <v>0</v>
      </c>
    </row>
    <row r="86" spans="1:5" ht="18.75">
      <c r="A86" s="97" t="s">
        <v>1309</v>
      </c>
      <c r="B86" s="553" t="s">
        <v>1113</v>
      </c>
      <c r="C86" s="553"/>
      <c r="D86" s="553"/>
      <c r="E86" s="553"/>
    </row>
    <row r="87" spans="1:5" s="382" customFormat="1" ht="15">
      <c r="A87" s="97" t="s">
        <v>1310</v>
      </c>
      <c r="B87" s="553" t="s">
        <v>1371</v>
      </c>
      <c r="C87" s="553"/>
      <c r="D87" s="553"/>
      <c r="E87" s="553"/>
    </row>
    <row r="88" spans="1:5" ht="18.75">
      <c r="A88" s="172" t="s">
        <v>1311</v>
      </c>
      <c r="B88" s="553" t="s">
        <v>1117</v>
      </c>
      <c r="C88" s="553"/>
      <c r="D88" s="553"/>
      <c r="E88" s="553"/>
    </row>
    <row r="89" spans="1:5" ht="24" customHeight="1">
      <c r="A89" s="172" t="s">
        <v>1312</v>
      </c>
      <c r="B89" s="553" t="s">
        <v>1118</v>
      </c>
      <c r="C89" s="553"/>
      <c r="D89" s="553"/>
      <c r="E89" s="553"/>
    </row>
    <row r="90" spans="1:5" ht="26.25" customHeight="1">
      <c r="A90" s="172" t="s">
        <v>1313</v>
      </c>
      <c r="B90" s="553" t="s">
        <v>1120</v>
      </c>
      <c r="C90" s="553"/>
      <c r="D90" s="553"/>
      <c r="E90" s="553"/>
    </row>
    <row r="91" spans="1:5" ht="25.5" customHeight="1">
      <c r="A91" s="172" t="s">
        <v>1314</v>
      </c>
      <c r="B91" s="553" t="s">
        <v>1126</v>
      </c>
      <c r="C91" s="553"/>
      <c r="D91" s="553"/>
      <c r="E91" s="553"/>
    </row>
    <row r="92" spans="1:5" ht="18.75">
      <c r="A92" s="584" t="s">
        <v>1315</v>
      </c>
      <c r="B92" s="585" t="s">
        <v>1339</v>
      </c>
      <c r="C92" s="552">
        <f>SUM(C86:C91)</f>
        <v>0</v>
      </c>
      <c r="D92" s="552">
        <f>SUM(D86:D91)</f>
        <v>0</v>
      </c>
      <c r="E92" s="552">
        <f>SUM(E86:E91)</f>
        <v>0</v>
      </c>
    </row>
    <row r="93" spans="1:5" ht="18.75">
      <c r="A93" s="172" t="s">
        <v>1316</v>
      </c>
      <c r="B93" s="553" t="s">
        <v>1130</v>
      </c>
      <c r="C93" s="553"/>
      <c r="D93" s="553"/>
      <c r="E93" s="553"/>
    </row>
    <row r="94" spans="1:5" ht="18.75">
      <c r="A94" s="172" t="s">
        <v>1317</v>
      </c>
      <c r="B94" s="553" t="s">
        <v>1132</v>
      </c>
      <c r="C94" s="553"/>
      <c r="D94" s="553"/>
      <c r="E94" s="553"/>
    </row>
    <row r="95" spans="1:5" ht="18.75">
      <c r="A95" s="172" t="s">
        <v>1318</v>
      </c>
      <c r="B95" s="553" t="s">
        <v>1134</v>
      </c>
      <c r="C95" s="553"/>
      <c r="D95" s="553"/>
      <c r="E95" s="553"/>
    </row>
    <row r="96" spans="1:5" ht="24" customHeight="1">
      <c r="A96" s="172" t="s">
        <v>1319</v>
      </c>
      <c r="B96" s="553" t="s">
        <v>1136</v>
      </c>
      <c r="C96" s="553"/>
      <c r="D96" s="553"/>
      <c r="E96" s="553"/>
    </row>
    <row r="97" spans="1:5" ht="18.75">
      <c r="A97" s="584" t="s">
        <v>1320</v>
      </c>
      <c r="B97" s="585" t="s">
        <v>1338</v>
      </c>
      <c r="C97" s="552">
        <f>SUM(C93:C96)</f>
        <v>0</v>
      </c>
      <c r="D97" s="552">
        <f>SUM(D93:D96)</f>
        <v>0</v>
      </c>
      <c r="E97" s="552">
        <f>SUM(E93:E96)</f>
        <v>0</v>
      </c>
    </row>
    <row r="98" spans="1:5" ht="25.5" customHeight="1">
      <c r="A98" s="172" t="s">
        <v>1323</v>
      </c>
      <c r="B98" s="555" t="s">
        <v>1325</v>
      </c>
      <c r="C98" s="555"/>
      <c r="D98" s="555"/>
      <c r="E98" s="555"/>
    </row>
    <row r="99" spans="1:5" ht="27" customHeight="1">
      <c r="A99" s="457" t="s">
        <v>1322</v>
      </c>
      <c r="B99" s="553" t="s">
        <v>1321</v>
      </c>
      <c r="C99" s="553"/>
      <c r="D99" s="553"/>
      <c r="E99" s="553"/>
    </row>
    <row r="100" spans="1:5" ht="18.75">
      <c r="A100" s="584" t="s">
        <v>1326</v>
      </c>
      <c r="B100" s="586" t="s">
        <v>1324</v>
      </c>
      <c r="C100" s="295">
        <f>SUM(C98:C99)</f>
        <v>0</v>
      </c>
      <c r="D100" s="295">
        <f>SUM(D98:D99)</f>
        <v>0</v>
      </c>
      <c r="E100" s="295">
        <f>SUM(E98:E99)</f>
        <v>0</v>
      </c>
    </row>
    <row r="101" spans="1:5" ht="18.75">
      <c r="A101" s="34"/>
      <c r="B101" s="36" t="s">
        <v>118</v>
      </c>
      <c r="C101" s="581">
        <f>SUM(C100+C97+C92+C85+C78+C29+C23)</f>
        <v>4213</v>
      </c>
      <c r="D101" s="581">
        <f>SUM(D100+D97+D92+D85+D78+D29+D23)</f>
        <v>1628</v>
      </c>
      <c r="E101" s="581">
        <f>SUM(E100+E97+E92+E85+E78+E29+E23)</f>
        <v>4237.835</v>
      </c>
    </row>
  </sheetData>
  <sheetProtection/>
  <mergeCells count="1">
    <mergeCell ref="A2:E2"/>
  </mergeCells>
  <printOptions/>
  <pageMargins left="0.7" right="0.7" top="0.75" bottom="0.75" header="0.3" footer="0.3"/>
  <pageSetup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00B050"/>
  </sheetPr>
  <dimension ref="A2:H24"/>
  <sheetViews>
    <sheetView view="pageBreakPreview" zoomScale="60" zoomScalePageLayoutView="0" workbookViewId="0" topLeftCell="A1">
      <selection activeCell="J18" sqref="J18"/>
    </sheetView>
  </sheetViews>
  <sheetFormatPr defaultColWidth="8.66015625" defaultRowHeight="18"/>
  <cols>
    <col min="1" max="1" width="8.91015625" style="11" customWidth="1"/>
    <col min="2" max="2" width="39.08203125" style="11" customWidth="1"/>
    <col min="3" max="3" width="10.25" style="11" customWidth="1"/>
    <col min="4" max="4" width="6.25" style="18" customWidth="1"/>
    <col min="5" max="16384" width="8.91015625" style="11" customWidth="1"/>
  </cols>
  <sheetData>
    <row r="2" spans="1:8" ht="31.5" customHeight="1">
      <c r="A2" s="25">
        <v>890301</v>
      </c>
      <c r="B2" s="28" t="s">
        <v>209</v>
      </c>
      <c r="C2" s="419" t="s">
        <v>262</v>
      </c>
      <c r="D2" s="420" t="s">
        <v>281</v>
      </c>
      <c r="E2" s="397" t="s">
        <v>614</v>
      </c>
      <c r="F2" s="25" t="s">
        <v>626</v>
      </c>
      <c r="G2" s="25" t="s">
        <v>616</v>
      </c>
      <c r="H2" s="25"/>
    </row>
    <row r="3" spans="1:7" ht="15">
      <c r="A3" s="25"/>
      <c r="B3" s="25"/>
      <c r="C3" s="25"/>
      <c r="D3" s="30"/>
      <c r="E3" s="25"/>
      <c r="F3" s="25"/>
      <c r="G3" s="25"/>
    </row>
    <row r="4" spans="1:8" ht="15">
      <c r="A4" s="193">
        <v>38115</v>
      </c>
      <c r="B4" s="172" t="s">
        <v>107</v>
      </c>
      <c r="C4" s="97">
        <v>460</v>
      </c>
      <c r="D4" s="97">
        <v>460</v>
      </c>
      <c r="E4" s="172">
        <v>1037</v>
      </c>
      <c r="F4" s="25">
        <v>1012</v>
      </c>
      <c r="G4" s="25">
        <v>750</v>
      </c>
      <c r="H4" s="30">
        <f>támogatás!D25</f>
        <v>910</v>
      </c>
    </row>
    <row r="5" spans="1:8" s="12" customFormat="1" ht="15.75">
      <c r="A5" s="193"/>
      <c r="B5" s="193" t="s">
        <v>143</v>
      </c>
      <c r="C5" s="172">
        <f aca="true" t="shared" si="0" ref="C5:H5">SUM(C3:C4)</f>
        <v>460</v>
      </c>
      <c r="D5" s="97">
        <f t="shared" si="0"/>
        <v>460</v>
      </c>
      <c r="E5" s="97">
        <f t="shared" si="0"/>
        <v>1037</v>
      </c>
      <c r="F5" s="97">
        <f t="shared" si="0"/>
        <v>1012</v>
      </c>
      <c r="G5" s="97">
        <f t="shared" si="0"/>
        <v>750</v>
      </c>
      <c r="H5" s="97">
        <f t="shared" si="0"/>
        <v>910</v>
      </c>
    </row>
    <row r="6" spans="1:7" s="12" customFormat="1" ht="15.75">
      <c r="A6" s="193"/>
      <c r="B6" s="193"/>
      <c r="C6" s="172"/>
      <c r="D6" s="97"/>
      <c r="E6" s="193"/>
      <c r="F6" s="28"/>
      <c r="G6" s="28"/>
    </row>
    <row r="7" spans="1:7" s="12" customFormat="1" ht="15.75">
      <c r="A7" s="193"/>
      <c r="B7" s="193"/>
      <c r="C7" s="172"/>
      <c r="D7" s="97"/>
      <c r="E7" s="193"/>
      <c r="F7" s="28"/>
      <c r="G7" s="28"/>
    </row>
    <row r="8" spans="1:8" ht="15">
      <c r="A8" s="193"/>
      <c r="B8" s="193" t="s">
        <v>29</v>
      </c>
      <c r="C8" s="97">
        <f aca="true" t="shared" si="1" ref="C8:H8">SUM(C5)</f>
        <v>460</v>
      </c>
      <c r="D8" s="97">
        <f t="shared" si="1"/>
        <v>460</v>
      </c>
      <c r="E8" s="97">
        <f t="shared" si="1"/>
        <v>1037</v>
      </c>
      <c r="F8" s="97">
        <f t="shared" si="1"/>
        <v>1012</v>
      </c>
      <c r="G8" s="97">
        <f t="shared" si="1"/>
        <v>750</v>
      </c>
      <c r="H8" s="97">
        <f t="shared" si="1"/>
        <v>910</v>
      </c>
    </row>
    <row r="9" spans="1:7" ht="15">
      <c r="A9" s="193"/>
      <c r="B9" s="193"/>
      <c r="C9" s="172"/>
      <c r="D9" s="97"/>
      <c r="E9" s="172"/>
      <c r="F9" s="25"/>
      <c r="G9" s="25"/>
    </row>
    <row r="10" spans="1:8" ht="15">
      <c r="A10" s="193"/>
      <c r="B10" s="193" t="s">
        <v>111</v>
      </c>
      <c r="C10" s="97">
        <f aca="true" t="shared" si="2" ref="C10:H10">SUM(C8,)</f>
        <v>460</v>
      </c>
      <c r="D10" s="97">
        <f t="shared" si="2"/>
        <v>460</v>
      </c>
      <c r="E10" s="97">
        <f t="shared" si="2"/>
        <v>1037</v>
      </c>
      <c r="F10" s="97">
        <f t="shared" si="2"/>
        <v>1012</v>
      </c>
      <c r="G10" s="97">
        <f t="shared" si="2"/>
        <v>750</v>
      </c>
      <c r="H10" s="97">
        <f t="shared" si="2"/>
        <v>910</v>
      </c>
    </row>
    <row r="11" spans="1:7" ht="15">
      <c r="A11" s="172"/>
      <c r="B11" s="172"/>
      <c r="C11" s="172"/>
      <c r="D11" s="97"/>
      <c r="E11" s="172"/>
      <c r="F11" s="25"/>
      <c r="G11" s="25"/>
    </row>
    <row r="12" spans="1:8" s="12" customFormat="1" ht="15.75">
      <c r="A12" s="193"/>
      <c r="B12" s="193" t="s">
        <v>108</v>
      </c>
      <c r="C12" s="97">
        <f aca="true" t="shared" si="3" ref="C12:H12">SUM(C10)</f>
        <v>460</v>
      </c>
      <c r="D12" s="97">
        <f t="shared" si="3"/>
        <v>460</v>
      </c>
      <c r="E12" s="97">
        <f t="shared" si="3"/>
        <v>1037</v>
      </c>
      <c r="F12" s="97">
        <f t="shared" si="3"/>
        <v>1012</v>
      </c>
      <c r="G12" s="97">
        <f t="shared" si="3"/>
        <v>750</v>
      </c>
      <c r="H12" s="97">
        <f t="shared" si="3"/>
        <v>910</v>
      </c>
    </row>
    <row r="22" ht="15.75">
      <c r="C22" s="12"/>
    </row>
    <row r="24" spans="1:2" ht="15.75">
      <c r="A24" s="12"/>
      <c r="B24" s="12"/>
    </row>
  </sheetData>
  <sheetProtection/>
  <printOptions/>
  <pageMargins left="0.7" right="0.7" top="0.75" bottom="0.75" header="0.3" footer="0.3"/>
  <pageSetup horizontalDpi="300" verticalDpi="3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2:J102"/>
  <sheetViews>
    <sheetView view="pageBreakPreview" zoomScale="90" zoomScaleSheetLayoutView="90" zoomScalePageLayoutView="0" workbookViewId="0" topLeftCell="A88">
      <selection activeCell="F70" sqref="F70"/>
    </sheetView>
  </sheetViews>
  <sheetFormatPr defaultColWidth="8.41015625" defaultRowHeight="18"/>
  <cols>
    <col min="1" max="1" width="8.41015625" style="21" customWidth="1"/>
    <col min="2" max="2" width="28.25" style="21" customWidth="1"/>
    <col min="3" max="3" width="5.33203125" style="382" customWidth="1"/>
    <col min="4" max="4" width="5" style="21" customWidth="1"/>
    <col min="5" max="5" width="7.75" style="21" customWidth="1"/>
    <col min="6" max="6" width="19" style="21" customWidth="1"/>
    <col min="7" max="249" width="7.08203125" style="21" customWidth="1"/>
    <col min="250" max="16384" width="8.41015625" style="21" customWidth="1"/>
  </cols>
  <sheetData>
    <row r="2" spans="1:3" ht="18.75">
      <c r="A2" s="620" t="s">
        <v>1331</v>
      </c>
      <c r="B2" s="620"/>
      <c r="C2" s="374"/>
    </row>
    <row r="3" ht="19.5" thickBot="1">
      <c r="C3" s="243"/>
    </row>
    <row r="4" spans="1:5" ht="19.5" thickBot="1">
      <c r="A4" s="244">
        <v>851011</v>
      </c>
      <c r="B4" s="245" t="s">
        <v>520</v>
      </c>
      <c r="C4" s="421" t="s">
        <v>616</v>
      </c>
      <c r="D4" s="41" t="s">
        <v>626</v>
      </c>
      <c r="E4" s="34">
        <v>2016</v>
      </c>
    </row>
    <row r="5" spans="1:5" ht="19.5" thickBot="1">
      <c r="A5" s="210" t="s">
        <v>1374</v>
      </c>
      <c r="B5" s="210" t="s">
        <v>1449</v>
      </c>
      <c r="C5" s="295"/>
      <c r="D5" s="34"/>
      <c r="E5" s="34"/>
    </row>
    <row r="6" spans="1:6" ht="18.75">
      <c r="A6" s="249" t="s">
        <v>819</v>
      </c>
      <c r="B6" s="250" t="s">
        <v>1238</v>
      </c>
      <c r="C6" s="376"/>
      <c r="D6" s="565"/>
      <c r="E6" s="565">
        <f>24515+693</f>
        <v>25208</v>
      </c>
      <c r="F6" s="21" t="s">
        <v>1464</v>
      </c>
    </row>
    <row r="7" spans="1:5" ht="18.75">
      <c r="A7" s="253" t="s">
        <v>822</v>
      </c>
      <c r="B7" s="254" t="s">
        <v>821</v>
      </c>
      <c r="C7" s="377"/>
      <c r="D7" s="34"/>
      <c r="E7" s="34">
        <v>1235</v>
      </c>
    </row>
    <row r="8" spans="1:5" ht="18.75">
      <c r="A8" s="253" t="s">
        <v>823</v>
      </c>
      <c r="B8" s="254" t="s">
        <v>820</v>
      </c>
      <c r="C8" s="377"/>
      <c r="D8" s="34"/>
      <c r="E8" s="381">
        <v>173</v>
      </c>
    </row>
    <row r="9" spans="1:5" ht="18.75">
      <c r="A9" s="253" t="s">
        <v>825</v>
      </c>
      <c r="B9" s="254" t="s">
        <v>824</v>
      </c>
      <c r="C9" s="377"/>
      <c r="D9" s="34"/>
      <c r="E9" s="34"/>
    </row>
    <row r="10" spans="1:5" ht="18.75">
      <c r="A10" s="253" t="s">
        <v>826</v>
      </c>
      <c r="B10" s="260" t="s">
        <v>1239</v>
      </c>
      <c r="C10" s="377"/>
      <c r="D10" s="34"/>
      <c r="E10" s="34">
        <v>200</v>
      </c>
    </row>
    <row r="11" spans="1:6" ht="18.75">
      <c r="A11" s="253" t="s">
        <v>1233</v>
      </c>
      <c r="B11" s="260" t="s">
        <v>1240</v>
      </c>
      <c r="C11" s="378"/>
      <c r="D11" s="34"/>
      <c r="E11" s="34">
        <v>1655</v>
      </c>
      <c r="F11" s="21" t="s">
        <v>1461</v>
      </c>
    </row>
    <row r="12" spans="1:5" ht="18.75">
      <c r="A12" s="253" t="s">
        <v>1241</v>
      </c>
      <c r="B12" s="262" t="s">
        <v>1234</v>
      </c>
      <c r="C12" s="377"/>
      <c r="D12" s="34"/>
      <c r="E12" s="34">
        <v>576</v>
      </c>
    </row>
    <row r="13" spans="1:5" ht="18.75">
      <c r="A13" s="253" t="s">
        <v>1242</v>
      </c>
      <c r="B13" s="262" t="s">
        <v>1235</v>
      </c>
      <c r="C13" s="377"/>
      <c r="D13" s="34"/>
      <c r="E13" s="34">
        <v>924</v>
      </c>
    </row>
    <row r="14" spans="1:6" ht="24">
      <c r="A14" s="253" t="s">
        <v>1243</v>
      </c>
      <c r="B14" s="254" t="s">
        <v>1465</v>
      </c>
      <c r="C14" s="377"/>
      <c r="D14" s="34"/>
      <c r="E14" s="34">
        <v>403</v>
      </c>
      <c r="F14" s="604" t="s">
        <v>1463</v>
      </c>
    </row>
    <row r="15" spans="1:6" ht="24">
      <c r="A15" s="253" t="s">
        <v>1244</v>
      </c>
      <c r="B15" s="254" t="s">
        <v>1236</v>
      </c>
      <c r="C15" s="377"/>
      <c r="D15" s="34"/>
      <c r="E15" s="34">
        <v>100</v>
      </c>
      <c r="F15" s="604" t="s">
        <v>1462</v>
      </c>
    </row>
    <row r="16" spans="1:5" ht="19.5" thickBot="1">
      <c r="A16" s="264" t="s">
        <v>1245</v>
      </c>
      <c r="B16" s="265" t="s">
        <v>791</v>
      </c>
      <c r="C16" s="377"/>
      <c r="D16" s="34"/>
      <c r="E16" s="34">
        <f>2136+83</f>
        <v>2219</v>
      </c>
    </row>
    <row r="17" spans="1:5" ht="19.5" thickBot="1">
      <c r="A17" s="568" t="s">
        <v>1327</v>
      </c>
      <c r="B17" s="569" t="s">
        <v>1249</v>
      </c>
      <c r="C17" s="379">
        <f>SUM(C6:C16)</f>
        <v>0</v>
      </c>
      <c r="D17" s="379">
        <f>SUM(D6:D16)</f>
        <v>0</v>
      </c>
      <c r="E17" s="379">
        <f>SUM(E6:E16)</f>
        <v>32693</v>
      </c>
    </row>
    <row r="18" spans="1:5" ht="19.5" thickBot="1">
      <c r="A18" s="557" t="s">
        <v>1329</v>
      </c>
      <c r="B18" s="558" t="s">
        <v>1248</v>
      </c>
      <c r="C18" s="377"/>
      <c r="D18" s="34"/>
      <c r="E18" s="34"/>
    </row>
    <row r="19" spans="1:6" ht="19.5" thickBot="1">
      <c r="A19" s="557" t="s">
        <v>1328</v>
      </c>
      <c r="B19" s="558" t="s">
        <v>1246</v>
      </c>
      <c r="C19" s="377"/>
      <c r="D19" s="34"/>
      <c r="E19" s="34"/>
      <c r="F19" s="600" t="s">
        <v>1468</v>
      </c>
    </row>
    <row r="20" spans="1:6" ht="19.5" thickBot="1">
      <c r="A20" s="557" t="s">
        <v>1253</v>
      </c>
      <c r="B20" s="558" t="s">
        <v>19</v>
      </c>
      <c r="C20" s="377"/>
      <c r="D20" s="34"/>
      <c r="E20" s="34">
        <v>25</v>
      </c>
      <c r="F20" s="605" t="s">
        <v>1475</v>
      </c>
    </row>
    <row r="21" spans="1:5" ht="19.5" thickBot="1">
      <c r="A21" s="557" t="s">
        <v>1254</v>
      </c>
      <c r="B21" s="558" t="s">
        <v>889</v>
      </c>
      <c r="C21" s="377"/>
      <c r="D21" s="34"/>
      <c r="E21" s="34"/>
    </row>
    <row r="22" spans="1:5" ht="19.5" thickBot="1">
      <c r="A22" s="568" t="s">
        <v>1330</v>
      </c>
      <c r="B22" s="569" t="s">
        <v>1247</v>
      </c>
      <c r="C22" s="377">
        <f>SUM(C18:C21)</f>
        <v>0</v>
      </c>
      <c r="D22" s="377">
        <f>SUM(D18:D21)</f>
        <v>0</v>
      </c>
      <c r="E22" s="377">
        <f>SUM(E18:E21)</f>
        <v>25</v>
      </c>
    </row>
    <row r="23" spans="1:5" ht="27" customHeight="1" thickBot="1">
      <c r="A23" s="268" t="s">
        <v>1250</v>
      </c>
      <c r="B23" s="269" t="s">
        <v>1237</v>
      </c>
      <c r="C23" s="379">
        <f>SUM(C22,C17)</f>
        <v>0</v>
      </c>
      <c r="D23" s="379">
        <f>SUM(D22,D17)</f>
        <v>0</v>
      </c>
      <c r="E23" s="379">
        <f>SUM(E22,E17)</f>
        <v>32718</v>
      </c>
    </row>
    <row r="24" spans="1:5" ht="19.5" thickBot="1">
      <c r="A24" s="270"/>
      <c r="B24" s="271"/>
      <c r="C24" s="377"/>
      <c r="D24" s="34"/>
      <c r="E24" s="34"/>
    </row>
    <row r="25" spans="1:6" ht="18.75">
      <c r="A25" s="272" t="s">
        <v>1255</v>
      </c>
      <c r="B25" s="97" t="s">
        <v>590</v>
      </c>
      <c r="C25" s="275"/>
      <c r="D25" s="44"/>
      <c r="E25" s="44">
        <f>F25*27%</f>
        <v>8293.050000000001</v>
      </c>
      <c r="F25" s="21">
        <f>E6+E7+E8+E9+E10+E11+E16+E22</f>
        <v>30715</v>
      </c>
    </row>
    <row r="26" spans="1:5" ht="18.75">
      <c r="A26" s="559" t="s">
        <v>1256</v>
      </c>
      <c r="B26" s="97" t="s">
        <v>1251</v>
      </c>
      <c r="C26" s="275"/>
      <c r="D26" s="44"/>
      <c r="E26" s="44"/>
    </row>
    <row r="27" spans="1:6" ht="18.75">
      <c r="A27" s="276" t="s">
        <v>1252</v>
      </c>
      <c r="B27" s="255" t="s">
        <v>4</v>
      </c>
      <c r="C27" s="378"/>
      <c r="D27" s="34"/>
      <c r="E27" s="44">
        <f>F27*16.67%</f>
        <v>250.05</v>
      </c>
      <c r="F27" s="21">
        <f>E12+E13</f>
        <v>1500</v>
      </c>
    </row>
    <row r="28" spans="1:5" ht="19.5" thickBot="1">
      <c r="A28" s="462" t="s">
        <v>1257</v>
      </c>
      <c r="B28" s="255" t="s">
        <v>635</v>
      </c>
      <c r="C28" s="378"/>
      <c r="D28" s="34"/>
      <c r="E28" s="44">
        <f>F27*19.04%</f>
        <v>285.59999999999997</v>
      </c>
    </row>
    <row r="29" spans="1:5" ht="19.5" thickBot="1">
      <c r="A29" s="582" t="s">
        <v>1258</v>
      </c>
      <c r="B29" s="583" t="s">
        <v>69</v>
      </c>
      <c r="C29" s="378">
        <f>SUM(C25:C28)</f>
        <v>0</v>
      </c>
      <c r="D29" s="378">
        <f>SUM(D25:D28)</f>
        <v>0</v>
      </c>
      <c r="E29" s="378">
        <f>SUM(E25:E28)</f>
        <v>8828.7</v>
      </c>
    </row>
    <row r="30" spans="1:5" ht="19.5" thickBot="1">
      <c r="A30" s="282"/>
      <c r="B30" s="283"/>
      <c r="C30" s="377"/>
      <c r="D30" s="34"/>
      <c r="E30" s="34"/>
    </row>
    <row r="31" spans="1:5" ht="18.75">
      <c r="A31" s="249" t="s">
        <v>1259</v>
      </c>
      <c r="B31" s="291" t="s">
        <v>533</v>
      </c>
      <c r="C31" s="377"/>
      <c r="D31" s="34"/>
      <c r="E31" s="34">
        <v>10</v>
      </c>
    </row>
    <row r="32" spans="1:5" ht="18.75">
      <c r="A32" s="253" t="s">
        <v>1260</v>
      </c>
      <c r="B32" s="254" t="s">
        <v>1466</v>
      </c>
      <c r="C32" s="377"/>
      <c r="D32" s="41"/>
      <c r="E32" s="34">
        <v>10</v>
      </c>
    </row>
    <row r="33" spans="1:5" ht="18.75">
      <c r="A33" s="253" t="s">
        <v>1262</v>
      </c>
      <c r="B33" s="254" t="s">
        <v>1261</v>
      </c>
      <c r="C33" s="377"/>
      <c r="D33" s="41"/>
      <c r="E33" s="34">
        <v>7</v>
      </c>
    </row>
    <row r="34" spans="1:5" ht="18.75">
      <c r="A34" s="253" t="s">
        <v>1263</v>
      </c>
      <c r="B34" s="254" t="s">
        <v>124</v>
      </c>
      <c r="C34" s="377"/>
      <c r="D34" s="41"/>
      <c r="E34" s="34"/>
    </row>
    <row r="35" spans="1:6" ht="24">
      <c r="A35" s="253" t="s">
        <v>1264</v>
      </c>
      <c r="B35" s="254" t="s">
        <v>1265</v>
      </c>
      <c r="C35" s="570"/>
      <c r="D35" s="41"/>
      <c r="E35" s="34">
        <v>450</v>
      </c>
      <c r="F35" s="604" t="s">
        <v>1467</v>
      </c>
    </row>
    <row r="36" spans="1:5" ht="18.75">
      <c r="A36" s="253" t="s">
        <v>1335</v>
      </c>
      <c r="B36" s="562" t="s">
        <v>548</v>
      </c>
      <c r="C36" s="570">
        <f>SUM(C31:C35)</f>
        <v>0</v>
      </c>
      <c r="D36" s="570">
        <f>SUM(D31:D35)</f>
        <v>0</v>
      </c>
      <c r="E36" s="570">
        <f>SUM(E31:E35)</f>
        <v>477</v>
      </c>
    </row>
    <row r="37" spans="1:5" ht="18.75">
      <c r="A37" s="253" t="s">
        <v>1342</v>
      </c>
      <c r="B37" s="254" t="s">
        <v>1343</v>
      </c>
      <c r="C37" s="570"/>
      <c r="D37" s="570"/>
      <c r="E37" s="570"/>
    </row>
    <row r="38" spans="1:5" ht="18.75">
      <c r="A38" s="253" t="s">
        <v>1344</v>
      </c>
      <c r="B38" s="254" t="s">
        <v>1267</v>
      </c>
      <c r="C38" s="570"/>
      <c r="D38" s="34"/>
      <c r="E38" s="34">
        <f>47+14</f>
        <v>61</v>
      </c>
    </row>
    <row r="39" spans="1:5" ht="18.75">
      <c r="A39" s="253" t="s">
        <v>1345</v>
      </c>
      <c r="B39" s="254" t="s">
        <v>88</v>
      </c>
      <c r="C39" s="570"/>
      <c r="D39" s="34"/>
      <c r="E39" s="34"/>
    </row>
    <row r="40" spans="1:6" ht="18.75">
      <c r="A40" s="253" t="s">
        <v>1346</v>
      </c>
      <c r="B40" s="254" t="s">
        <v>1268</v>
      </c>
      <c r="C40" s="377"/>
      <c r="D40" s="34"/>
      <c r="E40" s="34">
        <v>100</v>
      </c>
      <c r="F40" s="21" t="s">
        <v>1469</v>
      </c>
    </row>
    <row r="41" spans="1:6" ht="36" thickBot="1">
      <c r="A41" s="288" t="s">
        <v>1347</v>
      </c>
      <c r="B41" s="289" t="s">
        <v>1269</v>
      </c>
      <c r="C41" s="377"/>
      <c r="D41" s="34"/>
      <c r="E41" s="34">
        <v>230</v>
      </c>
      <c r="F41" s="604" t="s">
        <v>1478</v>
      </c>
    </row>
    <row r="42" spans="1:5" ht="17.25" customHeight="1" thickBot="1">
      <c r="A42" s="268" t="s">
        <v>1266</v>
      </c>
      <c r="B42" s="571" t="s">
        <v>1270</v>
      </c>
      <c r="C42" s="377">
        <f>SUM(C37:C41)</f>
        <v>0</v>
      </c>
      <c r="D42" s="377">
        <f>SUM(D38:D41)</f>
        <v>0</v>
      </c>
      <c r="E42" s="377">
        <f>SUM(E38:E41)</f>
        <v>391</v>
      </c>
    </row>
    <row r="43" spans="1:5" ht="22.5" customHeight="1" thickBot="1">
      <c r="A43" s="572" t="s">
        <v>1300</v>
      </c>
      <c r="B43" s="573" t="s">
        <v>595</v>
      </c>
      <c r="C43" s="574">
        <f>SUM(C42,C36)</f>
        <v>0</v>
      </c>
      <c r="D43" s="574">
        <f>SUM(D42,D36)</f>
        <v>0</v>
      </c>
      <c r="E43" s="574">
        <f>SUM(E42,E36)</f>
        <v>868</v>
      </c>
    </row>
    <row r="44" spans="1:5" ht="18.75">
      <c r="A44" s="249" t="s">
        <v>1271</v>
      </c>
      <c r="B44" s="291" t="s">
        <v>1348</v>
      </c>
      <c r="C44" s="377"/>
      <c r="D44" s="34"/>
      <c r="E44" s="34">
        <v>70</v>
      </c>
    </row>
    <row r="45" spans="1:5" ht="18.75">
      <c r="A45" s="494" t="s">
        <v>1350</v>
      </c>
      <c r="B45" s="590" t="s">
        <v>1351</v>
      </c>
      <c r="C45" s="377"/>
      <c r="D45" s="34"/>
      <c r="E45" s="34">
        <v>10</v>
      </c>
    </row>
    <row r="46" spans="1:5" ht="18.75">
      <c r="A46" s="253" t="s">
        <v>1272</v>
      </c>
      <c r="B46" s="254" t="s">
        <v>1349</v>
      </c>
      <c r="C46" s="295"/>
      <c r="D46" s="566"/>
      <c r="E46" s="34">
        <v>90</v>
      </c>
    </row>
    <row r="47" spans="1:5" ht="18.75">
      <c r="A47" s="575" t="s">
        <v>1301</v>
      </c>
      <c r="B47" s="576" t="s">
        <v>1366</v>
      </c>
      <c r="C47" s="577">
        <f>SUM(C44:C46)</f>
        <v>0</v>
      </c>
      <c r="D47" s="577">
        <f>SUM(D44:D46)</f>
        <v>0</v>
      </c>
      <c r="E47" s="577">
        <f>SUM(E44:E46)</f>
        <v>170</v>
      </c>
    </row>
    <row r="48" spans="1:5" ht="18.75">
      <c r="A48" s="253" t="s">
        <v>1275</v>
      </c>
      <c r="B48" s="254" t="s">
        <v>544</v>
      </c>
      <c r="C48" s="295"/>
      <c r="D48" s="566"/>
      <c r="E48" s="34">
        <v>100</v>
      </c>
    </row>
    <row r="49" spans="1:5" ht="18.75">
      <c r="A49" s="253" t="s">
        <v>1274</v>
      </c>
      <c r="B49" s="254" t="s">
        <v>543</v>
      </c>
      <c r="C49" s="295"/>
      <c r="D49" s="34"/>
      <c r="E49" s="34">
        <v>500</v>
      </c>
    </row>
    <row r="50" spans="1:5" ht="18.75">
      <c r="A50" s="253" t="s">
        <v>1276</v>
      </c>
      <c r="B50" s="254" t="s">
        <v>503</v>
      </c>
      <c r="C50" s="295"/>
      <c r="D50" s="34"/>
      <c r="E50" s="34">
        <v>350</v>
      </c>
    </row>
    <row r="51" spans="1:5" ht="18.75">
      <c r="A51" s="575" t="s">
        <v>1273</v>
      </c>
      <c r="B51" s="576" t="s">
        <v>1277</v>
      </c>
      <c r="C51" s="577">
        <f>SUM(C48:C50)</f>
        <v>0</v>
      </c>
      <c r="D51" s="577">
        <f>SUM(D48:D50)</f>
        <v>0</v>
      </c>
      <c r="E51" s="577">
        <f>SUM(E48:E50)</f>
        <v>950</v>
      </c>
    </row>
    <row r="52" spans="1:5" ht="18.75">
      <c r="A52" s="253" t="s">
        <v>1332</v>
      </c>
      <c r="B52" s="254" t="s">
        <v>1278</v>
      </c>
      <c r="C52" s="295"/>
      <c r="D52" s="34"/>
      <c r="E52" s="34"/>
    </row>
    <row r="53" spans="1:6" ht="24" customHeight="1">
      <c r="A53" s="253" t="s">
        <v>1280</v>
      </c>
      <c r="B53" s="254" t="s">
        <v>26</v>
      </c>
      <c r="C53" s="295"/>
      <c r="D53" s="41"/>
      <c r="E53" s="34">
        <v>91</v>
      </c>
      <c r="F53" s="604" t="s">
        <v>1470</v>
      </c>
    </row>
    <row r="54" spans="1:5" ht="18.75">
      <c r="A54" s="601" t="s">
        <v>1281</v>
      </c>
      <c r="B54" s="254" t="s">
        <v>1352</v>
      </c>
      <c r="C54" s="377"/>
      <c r="D54" s="34"/>
      <c r="E54" s="34">
        <v>20</v>
      </c>
    </row>
    <row r="55" spans="1:5" ht="18.75">
      <c r="A55" s="575" t="s">
        <v>1283</v>
      </c>
      <c r="B55" s="576" t="s">
        <v>1282</v>
      </c>
      <c r="C55" s="574">
        <f>SUM(C53:C54)</f>
        <v>0</v>
      </c>
      <c r="D55" s="574">
        <f>SUM(D53:D54)</f>
        <v>0</v>
      </c>
      <c r="E55" s="574">
        <f>SUM(E53:E54)</f>
        <v>111</v>
      </c>
    </row>
    <row r="56" spans="1:5" ht="18.75">
      <c r="A56" s="575" t="s">
        <v>1284</v>
      </c>
      <c r="B56" s="588" t="s">
        <v>1333</v>
      </c>
      <c r="C56" s="589"/>
      <c r="D56" s="589"/>
      <c r="E56" s="589"/>
    </row>
    <row r="57" spans="1:5" ht="18.75">
      <c r="A57" s="288"/>
      <c r="B57" s="554" t="s">
        <v>943</v>
      </c>
      <c r="C57" s="554"/>
      <c r="D57" s="554"/>
      <c r="E57" s="554"/>
    </row>
    <row r="58" spans="1:6" ht="18.75">
      <c r="A58" s="288" t="s">
        <v>1353</v>
      </c>
      <c r="B58" s="554" t="s">
        <v>547</v>
      </c>
      <c r="C58" s="554"/>
      <c r="D58" s="554"/>
      <c r="E58" s="554">
        <v>135</v>
      </c>
      <c r="F58" s="21" t="s">
        <v>1473</v>
      </c>
    </row>
    <row r="59" spans="1:6" ht="18.75">
      <c r="A59" s="288" t="s">
        <v>1354</v>
      </c>
      <c r="B59" s="554" t="s">
        <v>1355</v>
      </c>
      <c r="C59" s="554"/>
      <c r="D59" s="554"/>
      <c r="E59" s="554">
        <v>60</v>
      </c>
      <c r="F59" s="21" t="s">
        <v>1474</v>
      </c>
    </row>
    <row r="60" spans="1:5" ht="27" customHeight="1">
      <c r="A60" s="561" t="s">
        <v>1285</v>
      </c>
      <c r="B60" s="552" t="s">
        <v>945</v>
      </c>
      <c r="C60" s="591">
        <f>SUM(C58:C59)</f>
        <v>0</v>
      </c>
      <c r="D60" s="591">
        <f>SUM(D58:D59)</f>
        <v>0</v>
      </c>
      <c r="E60" s="591">
        <f>SUM(E58:E59)</f>
        <v>195</v>
      </c>
    </row>
    <row r="61" spans="1:5" ht="23.25" customHeight="1">
      <c r="A61" s="462" t="s">
        <v>1356</v>
      </c>
      <c r="B61" s="553" t="s">
        <v>1362</v>
      </c>
      <c r="C61" s="591"/>
      <c r="D61" s="591"/>
      <c r="E61" s="591"/>
    </row>
    <row r="62" spans="1:5" ht="23.25" customHeight="1">
      <c r="A62" s="462" t="s">
        <v>1357</v>
      </c>
      <c r="B62" s="553" t="s">
        <v>1358</v>
      </c>
      <c r="C62" s="591"/>
      <c r="D62" s="591"/>
      <c r="E62" s="591">
        <v>50</v>
      </c>
    </row>
    <row r="63" spans="1:5" ht="23.25" customHeight="1">
      <c r="A63" s="462" t="s">
        <v>1359</v>
      </c>
      <c r="B63" s="553" t="s">
        <v>9</v>
      </c>
      <c r="C63" s="591"/>
      <c r="D63" s="591"/>
      <c r="E63" s="591">
        <v>20</v>
      </c>
    </row>
    <row r="64" spans="1:6" ht="37.5" customHeight="1" thickBot="1">
      <c r="A64" s="462" t="s">
        <v>1360</v>
      </c>
      <c r="B64" s="553" t="s">
        <v>1361</v>
      </c>
      <c r="C64" s="591"/>
      <c r="D64" s="591"/>
      <c r="E64" s="591">
        <v>211</v>
      </c>
      <c r="F64" s="604" t="s">
        <v>1472</v>
      </c>
    </row>
    <row r="65" spans="1:5" ht="17.25" customHeight="1" thickBot="1">
      <c r="A65" s="298" t="s">
        <v>1286</v>
      </c>
      <c r="B65" s="552" t="s">
        <v>948</v>
      </c>
      <c r="C65" s="591">
        <f>SUM(C61:C64)</f>
        <v>0</v>
      </c>
      <c r="D65" s="591">
        <f>SUM(D61:D64)</f>
        <v>0</v>
      </c>
      <c r="E65" s="591">
        <f>SUM(E61:E64)</f>
        <v>281</v>
      </c>
    </row>
    <row r="66" spans="1:5" ht="25.5" customHeight="1">
      <c r="A66" s="578" t="s">
        <v>1279</v>
      </c>
      <c r="B66" s="579" t="s">
        <v>1287</v>
      </c>
      <c r="C66" s="579">
        <f>SUM(C65+C60+C56+C55+C52)</f>
        <v>0</v>
      </c>
      <c r="D66" s="579">
        <f>SUM(D65+D60+D56+D55+D52)</f>
        <v>0</v>
      </c>
      <c r="E66" s="603">
        <f>SUM(E65+E60+E56+E55+E51)</f>
        <v>1537</v>
      </c>
    </row>
    <row r="67" spans="1:5" ht="18.75">
      <c r="A67" s="253" t="s">
        <v>1288</v>
      </c>
      <c r="B67" s="553" t="s">
        <v>952</v>
      </c>
      <c r="C67" s="553"/>
      <c r="D67" s="553"/>
      <c r="E67" s="553">
        <v>10</v>
      </c>
    </row>
    <row r="68" spans="1:6" ht="18.75">
      <c r="A68" s="253" t="s">
        <v>1289</v>
      </c>
      <c r="B68" s="553" t="s">
        <v>954</v>
      </c>
      <c r="C68" s="553"/>
      <c r="D68" s="553"/>
      <c r="E68" s="553">
        <v>10</v>
      </c>
      <c r="F68" s="21" t="s">
        <v>1479</v>
      </c>
    </row>
    <row r="69" spans="1:5" ht="24" customHeight="1">
      <c r="A69" s="575" t="s">
        <v>1291</v>
      </c>
      <c r="B69" s="579" t="s">
        <v>1290</v>
      </c>
      <c r="C69" s="579">
        <f>SUM(C67:C68)</f>
        <v>0</v>
      </c>
      <c r="D69" s="579">
        <f>SUM(D67:D68)</f>
        <v>0</v>
      </c>
      <c r="E69" s="579">
        <f>SUM(E67:E68)</f>
        <v>20</v>
      </c>
    </row>
    <row r="70" spans="1:6" ht="26.25" customHeight="1" thickBot="1">
      <c r="A70" s="561" t="s">
        <v>1294</v>
      </c>
      <c r="B70" s="552" t="s">
        <v>958</v>
      </c>
      <c r="C70" s="552"/>
      <c r="D70" s="552"/>
      <c r="E70" s="598">
        <f>F70*27%</f>
        <v>648</v>
      </c>
      <c r="F70" s="597">
        <f>E43+E47+E66-E62-E58+E68</f>
        <v>2400</v>
      </c>
    </row>
    <row r="71" spans="1:5" ht="27" customHeight="1" thickBot="1">
      <c r="A71" s="268" t="s">
        <v>1295</v>
      </c>
      <c r="B71" s="552" t="s">
        <v>960</v>
      </c>
      <c r="C71" s="552"/>
      <c r="D71" s="552"/>
      <c r="E71" s="598"/>
    </row>
    <row r="72" spans="1:5" ht="19.5" thickBot="1">
      <c r="A72" s="210" t="s">
        <v>1296</v>
      </c>
      <c r="B72" s="552" t="s">
        <v>1293</v>
      </c>
      <c r="C72" s="552"/>
      <c r="D72" s="552"/>
      <c r="E72" s="598"/>
    </row>
    <row r="73" spans="1:5" ht="24.75" customHeight="1">
      <c r="A73" s="593" t="s">
        <v>1298</v>
      </c>
      <c r="B73" s="594" t="s">
        <v>1363</v>
      </c>
      <c r="C73" s="594"/>
      <c r="D73" s="552"/>
      <c r="E73" s="598"/>
    </row>
    <row r="74" spans="1:5" ht="24.75" customHeight="1">
      <c r="A74" s="592" t="s">
        <v>1364</v>
      </c>
      <c r="B74" s="563" t="s">
        <v>1365</v>
      </c>
      <c r="C74" s="563"/>
      <c r="D74" s="553"/>
      <c r="E74" s="602"/>
    </row>
    <row r="75" spans="1:5" ht="24.75" customHeight="1">
      <c r="A75" s="592" t="s">
        <v>1370</v>
      </c>
      <c r="B75" s="563" t="s">
        <v>1367</v>
      </c>
      <c r="C75" s="563"/>
      <c r="D75" s="553"/>
      <c r="E75" s="602"/>
    </row>
    <row r="76" spans="1:5" ht="18.75">
      <c r="A76" s="98" t="s">
        <v>1297</v>
      </c>
      <c r="B76" s="552" t="s">
        <v>970</v>
      </c>
      <c r="C76" s="552">
        <f>SUM(C74:C75)</f>
        <v>0</v>
      </c>
      <c r="D76" s="552">
        <f>SUM(D74:D75)</f>
        <v>0</v>
      </c>
      <c r="E76" s="598">
        <f>SUM(E74:E75)</f>
        <v>0</v>
      </c>
    </row>
    <row r="77" spans="1:5" ht="24.75" customHeight="1">
      <c r="A77" s="580" t="s">
        <v>1292</v>
      </c>
      <c r="B77" s="579" t="s">
        <v>1334</v>
      </c>
      <c r="C77" s="579">
        <f>C76+C73+C72+C71+C70</f>
        <v>0</v>
      </c>
      <c r="D77" s="579">
        <f>D76+D73+D72+D71+D70</f>
        <v>0</v>
      </c>
      <c r="E77" s="599">
        <f>E76+E73+E72+E71+E70</f>
        <v>648</v>
      </c>
    </row>
    <row r="78" spans="1:10" ht="24.75" customHeight="1">
      <c r="A78" s="587" t="s">
        <v>1299</v>
      </c>
      <c r="B78" s="585" t="s">
        <v>70</v>
      </c>
      <c r="C78" s="579">
        <f>SUM(C77+C69+C66+C47+C43)</f>
        <v>0</v>
      </c>
      <c r="D78" s="579">
        <f>SUM(D77+D69+D66+D47+D43)</f>
        <v>0</v>
      </c>
      <c r="E78" s="599">
        <f>SUM(E77+E69+E66+E47+E43)</f>
        <v>3243</v>
      </c>
      <c r="F78" s="560"/>
      <c r="G78" s="560"/>
      <c r="H78" s="560"/>
      <c r="I78" s="560"/>
      <c r="J78" s="560"/>
    </row>
    <row r="79" spans="1:10" ht="24.75" customHeight="1">
      <c r="A79" s="98" t="s">
        <v>1307</v>
      </c>
      <c r="B79" s="553" t="s">
        <v>1302</v>
      </c>
      <c r="C79" s="552"/>
      <c r="D79" s="552"/>
      <c r="E79" s="552"/>
      <c r="F79" s="560"/>
      <c r="G79" s="560"/>
      <c r="H79" s="560"/>
      <c r="I79" s="560"/>
      <c r="J79" s="560"/>
    </row>
    <row r="80" spans="1:10" ht="24.75" customHeight="1">
      <c r="A80" s="98" t="s">
        <v>1306</v>
      </c>
      <c r="B80" s="553" t="s">
        <v>1308</v>
      </c>
      <c r="C80" s="552"/>
      <c r="D80" s="552"/>
      <c r="E80" s="552"/>
      <c r="F80" s="560"/>
      <c r="G80" s="560"/>
      <c r="H80" s="560"/>
      <c r="I80" s="560"/>
      <c r="J80" s="560"/>
    </row>
    <row r="81" spans="1:10" ht="24.75" customHeight="1">
      <c r="A81" s="98"/>
      <c r="B81" s="97" t="s">
        <v>1304</v>
      </c>
      <c r="C81" s="552"/>
      <c r="D81" s="552"/>
      <c r="E81" s="552"/>
      <c r="F81" s="560"/>
      <c r="G81" s="560"/>
      <c r="H81" s="560"/>
      <c r="I81" s="560"/>
      <c r="J81" s="560"/>
    </row>
    <row r="82" spans="1:5" ht="18.75">
      <c r="A82" s="98"/>
      <c r="B82" s="97" t="s">
        <v>1303</v>
      </c>
      <c r="C82" s="377"/>
      <c r="D82" s="34"/>
      <c r="E82" s="34"/>
    </row>
    <row r="83" spans="1:5" ht="18.75">
      <c r="A83" s="98"/>
      <c r="B83" s="567" t="s">
        <v>1305</v>
      </c>
      <c r="C83" s="377"/>
      <c r="D83" s="34"/>
      <c r="E83" s="34"/>
    </row>
    <row r="84" spans="1:5" ht="25.5">
      <c r="A84" s="580" t="s">
        <v>1341</v>
      </c>
      <c r="B84" s="579" t="s">
        <v>1337</v>
      </c>
      <c r="C84" s="377">
        <f>SUM(C80:C83)</f>
        <v>0</v>
      </c>
      <c r="D84" s="377">
        <f>SUM(D80:D83)</f>
        <v>0</v>
      </c>
      <c r="E84" s="377">
        <f>SUM(E80:E83)</f>
        <v>0</v>
      </c>
    </row>
    <row r="85" spans="1:5" s="564" customFormat="1" ht="18.75">
      <c r="A85" s="587" t="s">
        <v>1336</v>
      </c>
      <c r="B85" s="587" t="s">
        <v>1340</v>
      </c>
      <c r="C85" s="574">
        <f>SUM(C79+C84)</f>
        <v>0</v>
      </c>
      <c r="D85" s="574">
        <f>SUM(D79+D84)</f>
        <v>0</v>
      </c>
      <c r="E85" s="574">
        <f>SUM(E79+E84)</f>
        <v>0</v>
      </c>
    </row>
    <row r="86" spans="1:5" ht="18.75">
      <c r="A86" s="97" t="s">
        <v>1309</v>
      </c>
      <c r="B86" s="553" t="s">
        <v>1113</v>
      </c>
      <c r="C86" s="553"/>
      <c r="D86" s="553"/>
      <c r="E86" s="553"/>
    </row>
    <row r="87" spans="1:6" s="382" customFormat="1" ht="15">
      <c r="A87" s="97" t="s">
        <v>1310</v>
      </c>
      <c r="B87" s="553" t="s">
        <v>1371</v>
      </c>
      <c r="C87" s="553"/>
      <c r="D87" s="553"/>
      <c r="E87" s="553">
        <v>903</v>
      </c>
      <c r="F87" s="606" t="s">
        <v>1476</v>
      </c>
    </row>
    <row r="88" spans="1:5" ht="18.75">
      <c r="A88" s="172" t="s">
        <v>1311</v>
      </c>
      <c r="B88" s="553" t="s">
        <v>1117</v>
      </c>
      <c r="C88" s="553"/>
      <c r="D88" s="553"/>
      <c r="E88" s="553"/>
    </row>
    <row r="89" spans="1:5" ht="24" customHeight="1">
      <c r="A89" s="172" t="s">
        <v>1312</v>
      </c>
      <c r="B89" s="553" t="s">
        <v>1118</v>
      </c>
      <c r="C89" s="553"/>
      <c r="D89" s="553"/>
      <c r="E89" s="553"/>
    </row>
    <row r="90" spans="1:5" ht="26.25" customHeight="1">
      <c r="A90" s="172" t="s">
        <v>1313</v>
      </c>
      <c r="B90" s="553" t="s">
        <v>1120</v>
      </c>
      <c r="C90" s="553"/>
      <c r="D90" s="553"/>
      <c r="E90" s="553"/>
    </row>
    <row r="91" spans="1:6" ht="41.25" customHeight="1">
      <c r="A91" s="172"/>
      <c r="B91" s="553" t="s">
        <v>1445</v>
      </c>
      <c r="C91" s="553"/>
      <c r="D91" s="553"/>
      <c r="E91" s="553">
        <v>260</v>
      </c>
      <c r="F91" s="604" t="s">
        <v>1471</v>
      </c>
    </row>
    <row r="92" spans="1:6" ht="25.5" customHeight="1">
      <c r="A92" s="172" t="s">
        <v>1314</v>
      </c>
      <c r="B92" s="553" t="s">
        <v>1126</v>
      </c>
      <c r="C92" s="553"/>
      <c r="D92" s="553"/>
      <c r="E92" s="553">
        <v>314</v>
      </c>
      <c r="F92" s="21" t="s">
        <v>1477</v>
      </c>
    </row>
    <row r="93" spans="1:5" ht="18.75">
      <c r="A93" s="584" t="s">
        <v>1315</v>
      </c>
      <c r="B93" s="585" t="s">
        <v>1339</v>
      </c>
      <c r="C93" s="552">
        <f>SUM(C86:C92)</f>
        <v>0</v>
      </c>
      <c r="D93" s="552">
        <f>SUM(D86:D92)</f>
        <v>0</v>
      </c>
      <c r="E93" s="552">
        <f>SUM(E86:E92)</f>
        <v>1477</v>
      </c>
    </row>
    <row r="94" spans="1:6" ht="18.75">
      <c r="A94" s="172" t="s">
        <v>1316</v>
      </c>
      <c r="B94" s="553" t="s">
        <v>1130</v>
      </c>
      <c r="C94" s="553"/>
      <c r="D94" s="553"/>
      <c r="E94" s="553">
        <v>630</v>
      </c>
      <c r="F94" s="605" t="s">
        <v>1431</v>
      </c>
    </row>
    <row r="95" spans="1:5" ht="18.75">
      <c r="A95" s="172" t="s">
        <v>1317</v>
      </c>
      <c r="B95" s="553" t="s">
        <v>1132</v>
      </c>
      <c r="C95" s="553"/>
      <c r="D95" s="553"/>
      <c r="E95" s="553"/>
    </row>
    <row r="96" spans="1:5" ht="18.75">
      <c r="A96" s="172" t="s">
        <v>1318</v>
      </c>
      <c r="B96" s="553" t="s">
        <v>1134</v>
      </c>
      <c r="C96" s="553"/>
      <c r="D96" s="553"/>
      <c r="E96" s="553"/>
    </row>
    <row r="97" spans="1:5" ht="24" customHeight="1">
      <c r="A97" s="172" t="s">
        <v>1319</v>
      </c>
      <c r="B97" s="553" t="s">
        <v>1136</v>
      </c>
      <c r="C97" s="553"/>
      <c r="D97" s="553"/>
      <c r="E97" s="553">
        <v>170</v>
      </c>
    </row>
    <row r="98" spans="1:5" ht="18.75">
      <c r="A98" s="584" t="s">
        <v>1320</v>
      </c>
      <c r="B98" s="585" t="s">
        <v>1338</v>
      </c>
      <c r="C98" s="552">
        <f>SUM(C94:C97)</f>
        <v>0</v>
      </c>
      <c r="D98" s="552">
        <f>SUM(D94:D97)</f>
        <v>0</v>
      </c>
      <c r="E98" s="552">
        <f>SUM(E94:E97)</f>
        <v>800</v>
      </c>
    </row>
    <row r="99" spans="1:5" ht="25.5" customHeight="1">
      <c r="A99" s="172" t="s">
        <v>1323</v>
      </c>
      <c r="B99" s="555" t="s">
        <v>1325</v>
      </c>
      <c r="C99" s="555"/>
      <c r="D99" s="555"/>
      <c r="E99" s="555"/>
    </row>
    <row r="100" spans="1:5" ht="27" customHeight="1">
      <c r="A100" s="457" t="s">
        <v>1322</v>
      </c>
      <c r="B100" s="553" t="s">
        <v>1321</v>
      </c>
      <c r="C100" s="553"/>
      <c r="D100" s="553"/>
      <c r="E100" s="553"/>
    </row>
    <row r="101" spans="1:5" ht="18.75">
      <c r="A101" s="584" t="s">
        <v>1326</v>
      </c>
      <c r="B101" s="586" t="s">
        <v>1324</v>
      </c>
      <c r="C101" s="295">
        <f>SUM(C99:C100)</f>
        <v>0</v>
      </c>
      <c r="D101" s="295">
        <f>SUM(D99:D100)</f>
        <v>0</v>
      </c>
      <c r="E101" s="295">
        <f>SUM(E99:E100)</f>
        <v>0</v>
      </c>
    </row>
    <row r="102" spans="1:5" ht="18.75">
      <c r="A102" s="34"/>
      <c r="B102" s="36" t="s">
        <v>118</v>
      </c>
      <c r="C102" s="581">
        <f>SUM(C101+C98+C93+C85+C78+C29+C23)</f>
        <v>0</v>
      </c>
      <c r="D102" s="581">
        <f>SUM(D101+D98+D93+D85+D78+D29+D23)</f>
        <v>0</v>
      </c>
      <c r="E102" s="581">
        <f>SUM(E101+E98+E93+E85+E78+E29+E23)</f>
        <v>47066.7</v>
      </c>
    </row>
  </sheetData>
  <sheetProtection/>
  <mergeCells count="1">
    <mergeCell ref="A2:B2"/>
  </mergeCells>
  <printOptions/>
  <pageMargins left="0.7" right="0.7" top="0.75" bottom="0.75" header="0.3" footer="0.3"/>
  <pageSetup horizontalDpi="300" verticalDpi="300" orientation="portrait" paperSize="9" scale="86" r:id="rId1"/>
  <rowBreaks count="1" manualBreakCount="1">
    <brk id="43" max="255" man="1"/>
  </rowBreaks>
  <colBreaks count="1" manualBreakCount="1">
    <brk id="7" max="65535" man="1"/>
  </colBreaks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C00000"/>
  </sheetPr>
  <dimension ref="A2:J101"/>
  <sheetViews>
    <sheetView zoomScalePageLayoutView="0" workbookViewId="0" topLeftCell="A88">
      <selection activeCell="H88" sqref="H88"/>
    </sheetView>
  </sheetViews>
  <sheetFormatPr defaultColWidth="8.41015625" defaultRowHeight="18"/>
  <cols>
    <col min="1" max="1" width="8.41015625" style="21" customWidth="1"/>
    <col min="2" max="2" width="29.41015625" style="21" customWidth="1"/>
    <col min="3" max="3" width="8" style="382" customWidth="1"/>
    <col min="4" max="4" width="7.33203125" style="21" customWidth="1"/>
    <col min="5" max="5" width="7.75" style="21" customWidth="1"/>
    <col min="6" max="249" width="7.08203125" style="21" customWidth="1"/>
    <col min="250" max="16384" width="8.41015625" style="21" customWidth="1"/>
  </cols>
  <sheetData>
    <row r="2" spans="1:5" ht="18.75">
      <c r="A2" s="620" t="s">
        <v>1331</v>
      </c>
      <c r="B2" s="620"/>
      <c r="C2" s="620"/>
      <c r="D2" s="620"/>
      <c r="E2" s="620"/>
    </row>
    <row r="3" ht="19.5" thickBot="1">
      <c r="C3" s="243"/>
    </row>
    <row r="4" spans="1:5" ht="19.5" thickBot="1">
      <c r="A4" s="595">
        <v>890301</v>
      </c>
      <c r="B4" s="245" t="s">
        <v>209</v>
      </c>
      <c r="C4" s="421" t="s">
        <v>616</v>
      </c>
      <c r="D4" s="41" t="s">
        <v>626</v>
      </c>
      <c r="E4" s="34">
        <v>2016</v>
      </c>
    </row>
    <row r="5" spans="1:5" ht="19.5" thickBot="1">
      <c r="A5" s="596" t="s">
        <v>1405</v>
      </c>
      <c r="B5" s="210"/>
      <c r="C5" s="295"/>
      <c r="D5" s="34"/>
      <c r="E5" s="34"/>
    </row>
    <row r="6" spans="1:5" ht="18.75">
      <c r="A6" s="249" t="s">
        <v>819</v>
      </c>
      <c r="B6" s="250" t="s">
        <v>1238</v>
      </c>
      <c r="C6" s="376"/>
      <c r="D6" s="565"/>
      <c r="E6" s="565"/>
    </row>
    <row r="7" spans="1:5" ht="18.75">
      <c r="A7" s="253" t="s">
        <v>822</v>
      </c>
      <c r="B7" s="254" t="s">
        <v>821</v>
      </c>
      <c r="C7" s="377"/>
      <c r="D7" s="34"/>
      <c r="E7" s="34"/>
    </row>
    <row r="8" spans="1:5" ht="18.75">
      <c r="A8" s="253" t="s">
        <v>823</v>
      </c>
      <c r="B8" s="254" t="s">
        <v>820</v>
      </c>
      <c r="C8" s="377"/>
      <c r="D8" s="34"/>
      <c r="E8" s="381"/>
    </row>
    <row r="9" spans="1:5" ht="18.75">
      <c r="A9" s="253" t="s">
        <v>825</v>
      </c>
      <c r="B9" s="254" t="s">
        <v>824</v>
      </c>
      <c r="C9" s="377"/>
      <c r="D9" s="34"/>
      <c r="E9" s="34"/>
    </row>
    <row r="10" spans="1:5" ht="18.75">
      <c r="A10" s="253" t="s">
        <v>826</v>
      </c>
      <c r="B10" s="260" t="s">
        <v>1239</v>
      </c>
      <c r="C10" s="377"/>
      <c r="D10" s="34"/>
      <c r="E10" s="34"/>
    </row>
    <row r="11" spans="1:5" ht="18.75">
      <c r="A11" s="253" t="s">
        <v>1233</v>
      </c>
      <c r="B11" s="260" t="s">
        <v>1240</v>
      </c>
      <c r="C11" s="378"/>
      <c r="D11" s="34"/>
      <c r="E11" s="34"/>
    </row>
    <row r="12" spans="1:5" ht="18.75">
      <c r="A12" s="253" t="s">
        <v>1241</v>
      </c>
      <c r="B12" s="262" t="s">
        <v>1234</v>
      </c>
      <c r="C12" s="377"/>
      <c r="D12" s="34"/>
      <c r="E12" s="34"/>
    </row>
    <row r="13" spans="1:5" ht="18.75">
      <c r="A13" s="253" t="s">
        <v>1242</v>
      </c>
      <c r="B13" s="262" t="s">
        <v>1235</v>
      </c>
      <c r="C13" s="377"/>
      <c r="D13" s="34"/>
      <c r="E13" s="34"/>
    </row>
    <row r="14" spans="1:5" ht="18.75">
      <c r="A14" s="253" t="s">
        <v>1243</v>
      </c>
      <c r="B14" s="254" t="s">
        <v>528</v>
      </c>
      <c r="C14" s="377"/>
      <c r="D14" s="34"/>
      <c r="E14" s="34"/>
    </row>
    <row r="15" spans="1:5" ht="18.75">
      <c r="A15" s="253" t="s">
        <v>1244</v>
      </c>
      <c r="B15" s="254" t="s">
        <v>1236</v>
      </c>
      <c r="C15" s="377"/>
      <c r="D15" s="34"/>
      <c r="E15" s="34"/>
    </row>
    <row r="16" spans="1:5" ht="19.5" thickBot="1">
      <c r="A16" s="264" t="s">
        <v>1245</v>
      </c>
      <c r="B16" s="265" t="s">
        <v>791</v>
      </c>
      <c r="C16" s="377"/>
      <c r="D16" s="34"/>
      <c r="E16" s="34"/>
    </row>
    <row r="17" spans="1:5" ht="19.5" thickBot="1">
      <c r="A17" s="568" t="s">
        <v>1327</v>
      </c>
      <c r="B17" s="569" t="s">
        <v>1249</v>
      </c>
      <c r="C17" s="379">
        <f>SUM(C6:C16)</f>
        <v>0</v>
      </c>
      <c r="D17" s="379">
        <f>SUM(D6:D16)</f>
        <v>0</v>
      </c>
      <c r="E17" s="379">
        <f>SUM(E6:E16)</f>
        <v>0</v>
      </c>
    </row>
    <row r="18" spans="1:5" ht="19.5" thickBot="1">
      <c r="A18" s="557" t="s">
        <v>1329</v>
      </c>
      <c r="B18" s="558" t="s">
        <v>1248</v>
      </c>
      <c r="C18" s="377"/>
      <c r="D18" s="34"/>
      <c r="E18" s="34"/>
    </row>
    <row r="19" spans="1:5" ht="19.5" thickBot="1">
      <c r="A19" s="557" t="s">
        <v>1328</v>
      </c>
      <c r="B19" s="558" t="s">
        <v>1246</v>
      </c>
      <c r="C19" s="377"/>
      <c r="D19" s="34"/>
      <c r="E19" s="34"/>
    </row>
    <row r="20" spans="1:5" ht="19.5" thickBot="1">
      <c r="A20" s="557" t="s">
        <v>1253</v>
      </c>
      <c r="B20" s="558" t="s">
        <v>19</v>
      </c>
      <c r="C20" s="377"/>
      <c r="D20" s="34"/>
      <c r="E20" s="34"/>
    </row>
    <row r="21" spans="1:5" ht="19.5" thickBot="1">
      <c r="A21" s="557" t="s">
        <v>1254</v>
      </c>
      <c r="B21" s="558" t="s">
        <v>889</v>
      </c>
      <c r="C21" s="377"/>
      <c r="D21" s="34"/>
      <c r="E21" s="34"/>
    </row>
    <row r="22" spans="1:5" ht="19.5" thickBot="1">
      <c r="A22" s="568" t="s">
        <v>1330</v>
      </c>
      <c r="B22" s="569" t="s">
        <v>1247</v>
      </c>
      <c r="C22" s="377">
        <f>SUM(C18:C21)</f>
        <v>0</v>
      </c>
      <c r="D22" s="377">
        <f>SUM(D18:D21)</f>
        <v>0</v>
      </c>
      <c r="E22" s="377">
        <f>SUM(E18:E21)</f>
        <v>0</v>
      </c>
    </row>
    <row r="23" spans="1:5" ht="27" customHeight="1" thickBot="1">
      <c r="A23" s="268" t="s">
        <v>1250</v>
      </c>
      <c r="B23" s="269" t="s">
        <v>1237</v>
      </c>
      <c r="C23" s="379">
        <f>SUM(C22,C17)</f>
        <v>0</v>
      </c>
      <c r="D23" s="379">
        <f>SUM(D22,D17)</f>
        <v>0</v>
      </c>
      <c r="E23" s="379">
        <f>SUM(E22,E17)</f>
        <v>0</v>
      </c>
    </row>
    <row r="24" spans="1:5" ht="19.5" thickBot="1">
      <c r="A24" s="270"/>
      <c r="B24" s="271"/>
      <c r="C24" s="377"/>
      <c r="D24" s="34"/>
      <c r="E24" s="34"/>
    </row>
    <row r="25" spans="1:5" ht="18.75">
      <c r="A25" s="272" t="s">
        <v>1255</v>
      </c>
      <c r="B25" s="97" t="s">
        <v>590</v>
      </c>
      <c r="C25" s="275"/>
      <c r="D25" s="44"/>
      <c r="E25" s="34"/>
    </row>
    <row r="26" spans="1:5" ht="18.75">
      <c r="A26" s="559" t="s">
        <v>1256</v>
      </c>
      <c r="B26" s="97" t="s">
        <v>1251</v>
      </c>
      <c r="C26" s="275"/>
      <c r="D26" s="44"/>
      <c r="E26" s="34"/>
    </row>
    <row r="27" spans="1:5" ht="18.75">
      <c r="A27" s="276" t="s">
        <v>1252</v>
      </c>
      <c r="B27" s="255" t="s">
        <v>4</v>
      </c>
      <c r="C27" s="378"/>
      <c r="D27" s="34"/>
      <c r="E27" s="34"/>
    </row>
    <row r="28" spans="1:5" ht="19.5" thickBot="1">
      <c r="A28" s="462" t="s">
        <v>1257</v>
      </c>
      <c r="B28" s="255" t="s">
        <v>635</v>
      </c>
      <c r="C28" s="378"/>
      <c r="D28" s="34"/>
      <c r="E28" s="34"/>
    </row>
    <row r="29" spans="1:5" ht="19.5" thickBot="1">
      <c r="A29" s="582" t="s">
        <v>1258</v>
      </c>
      <c r="B29" s="583" t="s">
        <v>69</v>
      </c>
      <c r="C29" s="378">
        <f>SUM(C25:C28)</f>
        <v>0</v>
      </c>
      <c r="D29" s="378">
        <f>SUM(D25:D28)</f>
        <v>0</v>
      </c>
      <c r="E29" s="378">
        <f>SUM(E25:E28)</f>
        <v>0</v>
      </c>
    </row>
    <row r="30" spans="1:5" ht="19.5" thickBot="1">
      <c r="A30" s="282"/>
      <c r="B30" s="283"/>
      <c r="C30" s="377"/>
      <c r="D30" s="34"/>
      <c r="E30" s="34"/>
    </row>
    <row r="31" spans="1:5" ht="18.75">
      <c r="A31" s="249" t="s">
        <v>1259</v>
      </c>
      <c r="B31" s="291" t="s">
        <v>533</v>
      </c>
      <c r="C31" s="377"/>
      <c r="D31" s="34"/>
      <c r="E31" s="34"/>
    </row>
    <row r="32" spans="1:5" ht="18.75">
      <c r="A32" s="253" t="s">
        <v>1260</v>
      </c>
      <c r="B32" s="254" t="s">
        <v>534</v>
      </c>
      <c r="C32" s="377"/>
      <c r="D32" s="41"/>
      <c r="E32" s="34"/>
    </row>
    <row r="33" spans="1:5" ht="18.75">
      <c r="A33" s="253" t="s">
        <v>1262</v>
      </c>
      <c r="B33" s="254" t="s">
        <v>1261</v>
      </c>
      <c r="C33" s="377"/>
      <c r="D33" s="41"/>
      <c r="E33" s="34"/>
    </row>
    <row r="34" spans="1:5" ht="18.75">
      <c r="A34" s="253" t="s">
        <v>1263</v>
      </c>
      <c r="B34" s="254" t="s">
        <v>124</v>
      </c>
      <c r="C34" s="377"/>
      <c r="D34" s="41"/>
      <c r="E34" s="34"/>
    </row>
    <row r="35" spans="1:5" ht="18.75">
      <c r="A35" s="253" t="s">
        <v>1264</v>
      </c>
      <c r="B35" s="254" t="s">
        <v>1265</v>
      </c>
      <c r="C35" s="570"/>
      <c r="D35" s="41"/>
      <c r="E35" s="34"/>
    </row>
    <row r="36" spans="1:5" ht="18.75">
      <c r="A36" s="253" t="s">
        <v>1335</v>
      </c>
      <c r="B36" s="562" t="s">
        <v>548</v>
      </c>
      <c r="C36" s="570">
        <f>SUM(C31:C35)</f>
        <v>0</v>
      </c>
      <c r="D36" s="570">
        <f>SUM(D31:D35)</f>
        <v>0</v>
      </c>
      <c r="E36" s="570">
        <f>SUM(E31:E35)</f>
        <v>0</v>
      </c>
    </row>
    <row r="37" spans="1:5" ht="18.75">
      <c r="A37" s="253" t="s">
        <v>1342</v>
      </c>
      <c r="B37" s="254" t="s">
        <v>1343</v>
      </c>
      <c r="C37" s="570"/>
      <c r="D37" s="570"/>
      <c r="E37" s="570"/>
    </row>
    <row r="38" spans="1:5" ht="18.75">
      <c r="A38" s="253" t="s">
        <v>1344</v>
      </c>
      <c r="B38" s="254" t="s">
        <v>1267</v>
      </c>
      <c r="C38" s="570"/>
      <c r="D38" s="34"/>
      <c r="E38" s="34"/>
    </row>
    <row r="39" spans="1:5" ht="18.75">
      <c r="A39" s="253" t="s">
        <v>1345</v>
      </c>
      <c r="B39" s="254" t="s">
        <v>88</v>
      </c>
      <c r="C39" s="570"/>
      <c r="D39" s="34"/>
      <c r="E39" s="34"/>
    </row>
    <row r="40" spans="1:5" ht="18.75">
      <c r="A40" s="253" t="s">
        <v>1346</v>
      </c>
      <c r="B40" s="254" t="s">
        <v>1268</v>
      </c>
      <c r="C40" s="377"/>
      <c r="D40" s="34"/>
      <c r="E40" s="34"/>
    </row>
    <row r="41" spans="1:5" ht="19.5" thickBot="1">
      <c r="A41" s="288" t="s">
        <v>1347</v>
      </c>
      <c r="B41" s="289" t="s">
        <v>1269</v>
      </c>
      <c r="C41" s="377"/>
      <c r="D41" s="34"/>
      <c r="E41" s="34"/>
    </row>
    <row r="42" spans="1:5" ht="17.25" customHeight="1" thickBot="1">
      <c r="A42" s="268" t="s">
        <v>1266</v>
      </c>
      <c r="B42" s="571" t="s">
        <v>1270</v>
      </c>
      <c r="C42" s="377">
        <f>SUM(C37:C41)</f>
        <v>0</v>
      </c>
      <c r="D42" s="377">
        <f>SUM(D38:D41)</f>
        <v>0</v>
      </c>
      <c r="E42" s="377">
        <f>SUM(E38:E41)</f>
        <v>0</v>
      </c>
    </row>
    <row r="43" spans="1:5" ht="22.5" customHeight="1" thickBot="1">
      <c r="A43" s="572" t="s">
        <v>1300</v>
      </c>
      <c r="B43" s="573" t="s">
        <v>595</v>
      </c>
      <c r="C43" s="574">
        <f>SUM(C42,C36)</f>
        <v>0</v>
      </c>
      <c r="D43" s="574">
        <f>SUM(D42,D36)</f>
        <v>0</v>
      </c>
      <c r="E43" s="574">
        <f>SUM(E42,E36)</f>
        <v>0</v>
      </c>
    </row>
    <row r="44" spans="1:5" ht="18.75">
      <c r="A44" s="249" t="s">
        <v>1271</v>
      </c>
      <c r="B44" s="291" t="s">
        <v>1348</v>
      </c>
      <c r="C44" s="377"/>
      <c r="D44" s="34"/>
      <c r="E44" s="34"/>
    </row>
    <row r="45" spans="1:5" ht="18.75">
      <c r="A45" s="494" t="s">
        <v>1350</v>
      </c>
      <c r="B45" s="590" t="s">
        <v>1351</v>
      </c>
      <c r="C45" s="377"/>
      <c r="D45" s="34"/>
      <c r="E45" s="34"/>
    </row>
    <row r="46" spans="1:5" ht="18.75">
      <c r="A46" s="253" t="s">
        <v>1272</v>
      </c>
      <c r="B46" s="254" t="s">
        <v>1349</v>
      </c>
      <c r="C46" s="295"/>
      <c r="D46" s="566"/>
      <c r="E46" s="34"/>
    </row>
    <row r="47" spans="1:5" ht="18.75">
      <c r="A47" s="575" t="s">
        <v>1301</v>
      </c>
      <c r="B47" s="576" t="s">
        <v>1366</v>
      </c>
      <c r="C47" s="577">
        <f>SUM(C44:C46)</f>
        <v>0</v>
      </c>
      <c r="D47" s="577">
        <f>SUM(D44:D46)</f>
        <v>0</v>
      </c>
      <c r="E47" s="577">
        <f>SUM(E44:E46)</f>
        <v>0</v>
      </c>
    </row>
    <row r="48" spans="1:5" ht="18.75">
      <c r="A48" s="253" t="s">
        <v>1275</v>
      </c>
      <c r="B48" s="254" t="s">
        <v>544</v>
      </c>
      <c r="C48" s="295"/>
      <c r="D48" s="566"/>
      <c r="E48" s="34"/>
    </row>
    <row r="49" spans="1:5" ht="18.75">
      <c r="A49" s="253" t="s">
        <v>1274</v>
      </c>
      <c r="B49" s="254" t="s">
        <v>543</v>
      </c>
      <c r="C49" s="295"/>
      <c r="D49" s="34"/>
      <c r="E49" s="34"/>
    </row>
    <row r="50" spans="1:5" ht="18.75">
      <c r="A50" s="253" t="s">
        <v>1276</v>
      </c>
      <c r="B50" s="254" t="s">
        <v>503</v>
      </c>
      <c r="C50" s="295"/>
      <c r="D50" s="34"/>
      <c r="E50" s="34"/>
    </row>
    <row r="51" spans="1:5" ht="18.75">
      <c r="A51" s="575" t="s">
        <v>1273</v>
      </c>
      <c r="B51" s="576" t="s">
        <v>1277</v>
      </c>
      <c r="C51" s="577">
        <f>SUM(C48:C50)</f>
        <v>0</v>
      </c>
      <c r="D51" s="577">
        <f>SUM(D48:D50)</f>
        <v>0</v>
      </c>
      <c r="E51" s="577">
        <f>SUM(E48:E50)</f>
        <v>0</v>
      </c>
    </row>
    <row r="52" spans="1:5" ht="18.75">
      <c r="A52" s="253" t="s">
        <v>1332</v>
      </c>
      <c r="B52" s="254" t="s">
        <v>1278</v>
      </c>
      <c r="C52" s="295"/>
      <c r="D52" s="34"/>
      <c r="E52" s="34"/>
    </row>
    <row r="53" spans="1:5" ht="18.75">
      <c r="A53" s="253" t="s">
        <v>1280</v>
      </c>
      <c r="B53" s="254" t="s">
        <v>26</v>
      </c>
      <c r="C53" s="295"/>
      <c r="D53" s="41"/>
      <c r="E53" s="34"/>
    </row>
    <row r="54" spans="1:5" ht="18.75">
      <c r="A54" s="253" t="s">
        <v>1281</v>
      </c>
      <c r="B54" s="254" t="s">
        <v>1352</v>
      </c>
      <c r="C54" s="377"/>
      <c r="D54" s="34"/>
      <c r="E54" s="34"/>
    </row>
    <row r="55" spans="1:5" ht="18.75">
      <c r="A55" s="575" t="s">
        <v>1283</v>
      </c>
      <c r="B55" s="576" t="s">
        <v>1282</v>
      </c>
      <c r="C55" s="574">
        <f>SUM(C53:C54)</f>
        <v>0</v>
      </c>
      <c r="D55" s="574">
        <f>SUM(D53:D54)</f>
        <v>0</v>
      </c>
      <c r="E55" s="574">
        <f>SUM(E53:E54)</f>
        <v>0</v>
      </c>
    </row>
    <row r="56" spans="1:5" ht="18.75">
      <c r="A56" s="575" t="s">
        <v>1284</v>
      </c>
      <c r="B56" s="588" t="s">
        <v>1333</v>
      </c>
      <c r="C56" s="589"/>
      <c r="D56" s="589"/>
      <c r="E56" s="589"/>
    </row>
    <row r="57" spans="1:5" ht="18.75">
      <c r="A57" s="288"/>
      <c r="B57" s="554" t="s">
        <v>943</v>
      </c>
      <c r="C57" s="554"/>
      <c r="D57" s="554"/>
      <c r="E57" s="554"/>
    </row>
    <row r="58" spans="1:5" ht="18.75">
      <c r="A58" s="288" t="s">
        <v>1353</v>
      </c>
      <c r="B58" s="554" t="s">
        <v>547</v>
      </c>
      <c r="C58" s="554"/>
      <c r="D58" s="554"/>
      <c r="E58" s="554"/>
    </row>
    <row r="59" spans="1:5" ht="18.75">
      <c r="A59" s="288" t="s">
        <v>1354</v>
      </c>
      <c r="B59" s="554" t="s">
        <v>1355</v>
      </c>
      <c r="C59" s="554"/>
      <c r="D59" s="554"/>
      <c r="E59" s="554"/>
    </row>
    <row r="60" spans="1:5" ht="27" customHeight="1">
      <c r="A60" s="561" t="s">
        <v>1285</v>
      </c>
      <c r="B60" s="552" t="s">
        <v>945</v>
      </c>
      <c r="C60" s="591">
        <f>SUM(C58:C59)</f>
        <v>0</v>
      </c>
      <c r="D60" s="591">
        <f>SUM(D58:D59)</f>
        <v>0</v>
      </c>
      <c r="E60" s="591">
        <f>SUM(E58:E59)</f>
        <v>0</v>
      </c>
    </row>
    <row r="61" spans="1:5" ht="23.25" customHeight="1">
      <c r="A61" s="462" t="s">
        <v>1356</v>
      </c>
      <c r="B61" s="553" t="s">
        <v>1362</v>
      </c>
      <c r="C61" s="591"/>
      <c r="D61" s="591"/>
      <c r="E61" s="591"/>
    </row>
    <row r="62" spans="1:5" ht="23.25" customHeight="1">
      <c r="A62" s="462" t="s">
        <v>1357</v>
      </c>
      <c r="B62" s="553" t="s">
        <v>1358</v>
      </c>
      <c r="C62" s="591"/>
      <c r="D62" s="591"/>
      <c r="E62" s="591"/>
    </row>
    <row r="63" spans="1:5" ht="23.25" customHeight="1">
      <c r="A63" s="462" t="s">
        <v>1359</v>
      </c>
      <c r="B63" s="553" t="s">
        <v>9</v>
      </c>
      <c r="C63" s="591"/>
      <c r="D63" s="591"/>
      <c r="E63" s="591"/>
    </row>
    <row r="64" spans="1:6" ht="23.25" customHeight="1" thickBot="1">
      <c r="A64" s="462" t="s">
        <v>1360</v>
      </c>
      <c r="B64" s="553" t="s">
        <v>1361</v>
      </c>
      <c r="C64" s="591"/>
      <c r="D64" s="591"/>
      <c r="E64" s="591"/>
      <c r="F64" s="21" t="s">
        <v>1368</v>
      </c>
    </row>
    <row r="65" spans="1:5" ht="17.25" customHeight="1" thickBot="1">
      <c r="A65" s="298" t="s">
        <v>1286</v>
      </c>
      <c r="B65" s="552" t="s">
        <v>948</v>
      </c>
      <c r="C65" s="591">
        <f>SUM(C61:C64)</f>
        <v>0</v>
      </c>
      <c r="D65" s="591">
        <f>SUM(D61:D64)</f>
        <v>0</v>
      </c>
      <c r="E65" s="591">
        <f>SUM(E61:E64)</f>
        <v>0</v>
      </c>
    </row>
    <row r="66" spans="1:5" ht="25.5" customHeight="1">
      <c r="A66" s="578" t="s">
        <v>1279</v>
      </c>
      <c r="B66" s="579" t="s">
        <v>1287</v>
      </c>
      <c r="C66" s="579">
        <f>SUM(C65+C60+C56+C55+C52)</f>
        <v>0</v>
      </c>
      <c r="D66" s="579">
        <f>SUM(D65+D60+D56+D55+D52)</f>
        <v>0</v>
      </c>
      <c r="E66" s="579">
        <f>SUM(E65+E60+E56+E55+E52)</f>
        <v>0</v>
      </c>
    </row>
    <row r="67" spans="1:5" ht="18.75">
      <c r="A67" s="253" t="s">
        <v>1288</v>
      </c>
      <c r="B67" s="553" t="s">
        <v>952</v>
      </c>
      <c r="C67" s="553"/>
      <c r="D67" s="553"/>
      <c r="E67" s="553"/>
    </row>
    <row r="68" spans="1:5" ht="18.75">
      <c r="A68" s="253" t="s">
        <v>1289</v>
      </c>
      <c r="B68" s="553" t="s">
        <v>954</v>
      </c>
      <c r="C68" s="553"/>
      <c r="D68" s="553"/>
      <c r="E68" s="553"/>
    </row>
    <row r="69" spans="1:5" ht="24" customHeight="1">
      <c r="A69" s="575" t="s">
        <v>1291</v>
      </c>
      <c r="B69" s="579" t="s">
        <v>1290</v>
      </c>
      <c r="C69" s="579">
        <f>SUM(C67:C68)</f>
        <v>0</v>
      </c>
      <c r="D69" s="579">
        <f>SUM(D67:D68)</f>
        <v>0</v>
      </c>
      <c r="E69" s="579">
        <f>SUM(E67:E68)</f>
        <v>0</v>
      </c>
    </row>
    <row r="70" spans="1:5" ht="26.25" customHeight="1" thickBot="1">
      <c r="A70" s="561" t="s">
        <v>1294</v>
      </c>
      <c r="B70" s="552" t="s">
        <v>958</v>
      </c>
      <c r="C70" s="552"/>
      <c r="D70" s="552"/>
      <c r="E70" s="552"/>
    </row>
    <row r="71" spans="1:5" ht="27" customHeight="1" thickBot="1">
      <c r="A71" s="268" t="s">
        <v>1295</v>
      </c>
      <c r="B71" s="552" t="s">
        <v>960</v>
      </c>
      <c r="C71" s="552"/>
      <c r="D71" s="552"/>
      <c r="E71" s="552"/>
    </row>
    <row r="72" spans="1:5" ht="19.5" thickBot="1">
      <c r="A72" s="210" t="s">
        <v>1296</v>
      </c>
      <c r="B72" s="552" t="s">
        <v>1293</v>
      </c>
      <c r="C72" s="552"/>
      <c r="D72" s="552"/>
      <c r="E72" s="552"/>
    </row>
    <row r="73" spans="1:5" ht="24.75" customHeight="1">
      <c r="A73" s="593" t="s">
        <v>1298</v>
      </c>
      <c r="B73" s="594" t="s">
        <v>1363</v>
      </c>
      <c r="C73" s="594"/>
      <c r="D73" s="552"/>
      <c r="E73" s="552"/>
    </row>
    <row r="74" spans="1:6" ht="24.75" customHeight="1">
      <c r="A74" s="592" t="s">
        <v>1364</v>
      </c>
      <c r="B74" s="563" t="s">
        <v>1365</v>
      </c>
      <c r="C74" s="563"/>
      <c r="D74" s="553"/>
      <c r="E74" s="553"/>
      <c r="F74" s="21" t="s">
        <v>1369</v>
      </c>
    </row>
    <row r="75" spans="1:5" ht="24.75" customHeight="1">
      <c r="A75" s="592" t="s">
        <v>1370</v>
      </c>
      <c r="B75" s="563" t="s">
        <v>1367</v>
      </c>
      <c r="C75" s="563"/>
      <c r="D75" s="553"/>
      <c r="E75" s="553"/>
    </row>
    <row r="76" spans="1:5" ht="18.75">
      <c r="A76" s="98" t="s">
        <v>1297</v>
      </c>
      <c r="B76" s="552" t="s">
        <v>970</v>
      </c>
      <c r="C76" s="552">
        <f>SUM(C74:C75)</f>
        <v>0</v>
      </c>
      <c r="D76" s="552">
        <f>SUM(D74:D75)</f>
        <v>0</v>
      </c>
      <c r="E76" s="552">
        <f>SUM(E74:E75)</f>
        <v>0</v>
      </c>
    </row>
    <row r="77" spans="1:5" ht="24.75" customHeight="1">
      <c r="A77" s="580" t="s">
        <v>1292</v>
      </c>
      <c r="B77" s="579" t="s">
        <v>1334</v>
      </c>
      <c r="C77" s="579">
        <f>C76+C73+C72+C71+C70</f>
        <v>0</v>
      </c>
      <c r="D77" s="579">
        <f>D76+D73+D72+D71+D70</f>
        <v>0</v>
      </c>
      <c r="E77" s="579">
        <f>E76+E73+E72+E71+E70</f>
        <v>0</v>
      </c>
    </row>
    <row r="78" spans="1:10" ht="24.75" customHeight="1">
      <c r="A78" s="587" t="s">
        <v>1299</v>
      </c>
      <c r="B78" s="585" t="s">
        <v>70</v>
      </c>
      <c r="C78" s="579">
        <f>SUM(C77+C69+C66+C47+C43)</f>
        <v>0</v>
      </c>
      <c r="D78" s="579">
        <f>SUM(D77+D69+D66+D47+D43)</f>
        <v>0</v>
      </c>
      <c r="E78" s="579">
        <f>SUM(E77+E69+E66+E47+E43)</f>
        <v>0</v>
      </c>
      <c r="F78" s="560"/>
      <c r="G78" s="560"/>
      <c r="H78" s="560"/>
      <c r="I78" s="560"/>
      <c r="J78" s="560"/>
    </row>
    <row r="79" spans="1:10" ht="24.75" customHeight="1">
      <c r="A79" s="98" t="s">
        <v>1307</v>
      </c>
      <c r="B79" s="553" t="s">
        <v>1302</v>
      </c>
      <c r="C79" s="552"/>
      <c r="D79" s="552"/>
      <c r="E79" s="552"/>
      <c r="F79" s="560"/>
      <c r="G79" s="560"/>
      <c r="H79" s="560"/>
      <c r="I79" s="560"/>
      <c r="J79" s="560"/>
    </row>
    <row r="80" spans="1:10" ht="24.75" customHeight="1">
      <c r="A80" s="98" t="s">
        <v>1306</v>
      </c>
      <c r="B80" s="553" t="s">
        <v>1308</v>
      </c>
      <c r="C80" s="552"/>
      <c r="D80" s="552"/>
      <c r="E80" s="552">
        <v>290</v>
      </c>
      <c r="F80" s="560"/>
      <c r="G80" s="560"/>
      <c r="H80" s="560"/>
      <c r="I80" s="560"/>
      <c r="J80" s="560"/>
    </row>
    <row r="81" spans="1:10" ht="24.75" customHeight="1">
      <c r="A81" s="98"/>
      <c r="B81" s="97" t="s">
        <v>1304</v>
      </c>
      <c r="C81" s="552">
        <v>1020</v>
      </c>
      <c r="D81" s="552">
        <v>830</v>
      </c>
      <c r="E81" s="552">
        <v>570</v>
      </c>
      <c r="F81" s="560"/>
      <c r="G81" s="560"/>
      <c r="H81" s="560"/>
      <c r="I81" s="560"/>
      <c r="J81" s="560"/>
    </row>
    <row r="82" spans="1:5" ht="18.75">
      <c r="A82" s="98"/>
      <c r="B82" s="97" t="s">
        <v>1303</v>
      </c>
      <c r="C82" s="377"/>
      <c r="D82" s="34"/>
      <c r="E82" s="34"/>
    </row>
    <row r="83" spans="1:5" ht="18.75">
      <c r="A83" s="98"/>
      <c r="B83" s="567" t="s">
        <v>1305</v>
      </c>
      <c r="C83" s="377"/>
      <c r="D83" s="34"/>
      <c r="E83" s="34">
        <v>50</v>
      </c>
    </row>
    <row r="84" spans="1:5" ht="25.5">
      <c r="A84" s="580" t="s">
        <v>1341</v>
      </c>
      <c r="B84" s="579" t="s">
        <v>1337</v>
      </c>
      <c r="C84" s="377">
        <f>SUM(C80:C83)</f>
        <v>1020</v>
      </c>
      <c r="D84" s="377">
        <f>SUM(D80:D83)</f>
        <v>830</v>
      </c>
      <c r="E84" s="377">
        <f>SUM(E80:E83)</f>
        <v>910</v>
      </c>
    </row>
    <row r="85" spans="1:5" s="564" customFormat="1" ht="18.75">
      <c r="A85" s="587" t="s">
        <v>1336</v>
      </c>
      <c r="B85" s="587" t="s">
        <v>1340</v>
      </c>
      <c r="C85" s="574">
        <f>SUM(C79+C84)</f>
        <v>1020</v>
      </c>
      <c r="D85" s="574">
        <f>SUM(D79+D84)</f>
        <v>830</v>
      </c>
      <c r="E85" s="574">
        <f>SUM(E79+E84)</f>
        <v>910</v>
      </c>
    </row>
    <row r="86" spans="1:5" ht="18.75">
      <c r="A86" s="97" t="s">
        <v>1309</v>
      </c>
      <c r="B86" s="553" t="s">
        <v>1113</v>
      </c>
      <c r="C86" s="553"/>
      <c r="D86" s="553"/>
      <c r="E86" s="553"/>
    </row>
    <row r="87" spans="1:5" s="382" customFormat="1" ht="15">
      <c r="A87" s="97" t="s">
        <v>1310</v>
      </c>
      <c r="B87" s="553" t="s">
        <v>1371</v>
      </c>
      <c r="C87" s="553"/>
      <c r="D87" s="553"/>
      <c r="E87" s="553"/>
    </row>
    <row r="88" spans="1:5" ht="18.75">
      <c r="A88" s="172" t="s">
        <v>1311</v>
      </c>
      <c r="B88" s="553" t="s">
        <v>1117</v>
      </c>
      <c r="C88" s="553"/>
      <c r="D88" s="553"/>
      <c r="E88" s="553"/>
    </row>
    <row r="89" spans="1:5" ht="24" customHeight="1">
      <c r="A89" s="172" t="s">
        <v>1312</v>
      </c>
      <c r="B89" s="553" t="s">
        <v>1118</v>
      </c>
      <c r="C89" s="553"/>
      <c r="D89" s="553"/>
      <c r="E89" s="553"/>
    </row>
    <row r="90" spans="1:5" ht="26.25" customHeight="1">
      <c r="A90" s="172" t="s">
        <v>1313</v>
      </c>
      <c r="B90" s="553" t="s">
        <v>1120</v>
      </c>
      <c r="C90" s="553"/>
      <c r="D90" s="553"/>
      <c r="E90" s="553"/>
    </row>
    <row r="91" spans="1:5" ht="25.5" customHeight="1">
      <c r="A91" s="172" t="s">
        <v>1314</v>
      </c>
      <c r="B91" s="553" t="s">
        <v>1126</v>
      </c>
      <c r="C91" s="553"/>
      <c r="D91" s="553"/>
      <c r="E91" s="553"/>
    </row>
    <row r="92" spans="1:5" ht="18.75">
      <c r="A92" s="584" t="s">
        <v>1315</v>
      </c>
      <c r="B92" s="585" t="s">
        <v>1339</v>
      </c>
      <c r="C92" s="552">
        <f>SUM(C86:C91)</f>
        <v>0</v>
      </c>
      <c r="D92" s="552">
        <f>SUM(D86:D91)</f>
        <v>0</v>
      </c>
      <c r="E92" s="552">
        <f>SUM(E86:E91)</f>
        <v>0</v>
      </c>
    </row>
    <row r="93" spans="1:5" ht="18.75">
      <c r="A93" s="172" t="s">
        <v>1316</v>
      </c>
      <c r="B93" s="553" t="s">
        <v>1130</v>
      </c>
      <c r="C93" s="553"/>
      <c r="D93" s="553"/>
      <c r="E93" s="553"/>
    </row>
    <row r="94" spans="1:5" ht="18.75">
      <c r="A94" s="172" t="s">
        <v>1317</v>
      </c>
      <c r="B94" s="553" t="s">
        <v>1132</v>
      </c>
      <c r="C94" s="553"/>
      <c r="D94" s="553"/>
      <c r="E94" s="553"/>
    </row>
    <row r="95" spans="1:5" ht="18.75">
      <c r="A95" s="172" t="s">
        <v>1318</v>
      </c>
      <c r="B95" s="553" t="s">
        <v>1134</v>
      </c>
      <c r="C95" s="553"/>
      <c r="D95" s="553"/>
      <c r="E95" s="553"/>
    </row>
    <row r="96" spans="1:5" ht="24" customHeight="1">
      <c r="A96" s="172" t="s">
        <v>1319</v>
      </c>
      <c r="B96" s="553" t="s">
        <v>1136</v>
      </c>
      <c r="C96" s="553"/>
      <c r="D96" s="553"/>
      <c r="E96" s="553"/>
    </row>
    <row r="97" spans="1:5" ht="18.75">
      <c r="A97" s="584" t="s">
        <v>1320</v>
      </c>
      <c r="B97" s="585" t="s">
        <v>1338</v>
      </c>
      <c r="C97" s="552">
        <f>SUM(C93:C96)</f>
        <v>0</v>
      </c>
      <c r="D97" s="552">
        <f>SUM(D93:D96)</f>
        <v>0</v>
      </c>
      <c r="E97" s="552">
        <f>SUM(E93:E96)</f>
        <v>0</v>
      </c>
    </row>
    <row r="98" spans="1:5" ht="25.5" customHeight="1">
      <c r="A98" s="172" t="s">
        <v>1323</v>
      </c>
      <c r="B98" s="555" t="s">
        <v>1325</v>
      </c>
      <c r="C98" s="555"/>
      <c r="D98" s="555"/>
      <c r="E98" s="555"/>
    </row>
    <row r="99" spans="1:5" ht="27" customHeight="1">
      <c r="A99" s="457" t="s">
        <v>1322</v>
      </c>
      <c r="B99" s="553" t="s">
        <v>1321</v>
      </c>
      <c r="C99" s="553"/>
      <c r="D99" s="553"/>
      <c r="E99" s="553"/>
    </row>
    <row r="100" spans="1:5" ht="18.75">
      <c r="A100" s="584" t="s">
        <v>1326</v>
      </c>
      <c r="B100" s="586" t="s">
        <v>1324</v>
      </c>
      <c r="C100" s="295">
        <f>SUM(C98:C99)</f>
        <v>0</v>
      </c>
      <c r="D100" s="295">
        <f>SUM(D98:D99)</f>
        <v>0</v>
      </c>
      <c r="E100" s="295">
        <f>SUM(E98:E99)</f>
        <v>0</v>
      </c>
    </row>
    <row r="101" spans="1:5" ht="18.75">
      <c r="A101" s="34"/>
      <c r="B101" s="36" t="s">
        <v>118</v>
      </c>
      <c r="C101" s="581">
        <f>SUM(C100+C97+C92+C85+C78+C29+C23)</f>
        <v>1020</v>
      </c>
      <c r="D101" s="581">
        <f>SUM(D100+D97+D92+D85+D78+D29+D23)</f>
        <v>830</v>
      </c>
      <c r="E101" s="581">
        <f>SUM(E100+E97+E92+E85+E78+E29+E23)</f>
        <v>910</v>
      </c>
    </row>
  </sheetData>
  <sheetProtection/>
  <mergeCells count="1">
    <mergeCell ref="A2:E2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5:D25"/>
  <sheetViews>
    <sheetView view="pageBreakPreview" zoomScale="60" zoomScalePageLayoutView="0" workbookViewId="0" topLeftCell="A1">
      <selection activeCell="D21" sqref="D21"/>
    </sheetView>
  </sheetViews>
  <sheetFormatPr defaultColWidth="8.66015625" defaultRowHeight="18"/>
  <cols>
    <col min="1" max="1" width="42.08203125" style="222" bestFit="1" customWidth="1"/>
    <col min="2" max="2" width="2.58203125" style="222" customWidth="1"/>
    <col min="3" max="3" width="8.75" style="222" customWidth="1"/>
    <col min="4" max="4" width="10.08203125" style="222" bestFit="1" customWidth="1"/>
    <col min="5" max="5" width="20.08203125" style="222" bestFit="1" customWidth="1"/>
    <col min="6" max="16384" width="8.91015625" style="222" customWidth="1"/>
  </cols>
  <sheetData>
    <row r="5" spans="1:2" ht="15.75">
      <c r="A5" s="220" t="s">
        <v>632</v>
      </c>
      <c r="B5" s="221"/>
    </row>
    <row r="6" spans="1:2" ht="15.75">
      <c r="A6" s="220"/>
      <c r="B6" s="221"/>
    </row>
    <row r="7" spans="1:2" ht="15.75">
      <c r="A7" s="220"/>
      <c r="B7" s="221"/>
    </row>
    <row r="8" spans="1:2" ht="15">
      <c r="A8" s="223"/>
      <c r="B8" s="223"/>
    </row>
    <row r="9" ht="21" customHeight="1">
      <c r="A9" s="735" t="s">
        <v>158</v>
      </c>
    </row>
    <row r="10" spans="1:4" ht="25.5" customHeight="1">
      <c r="A10" s="736"/>
      <c r="B10" s="30"/>
      <c r="C10" s="116">
        <v>2015</v>
      </c>
      <c r="D10" s="30" t="s">
        <v>1535</v>
      </c>
    </row>
    <row r="11" ht="12" customHeight="1" thickBot="1">
      <c r="D11" s="30"/>
    </row>
    <row r="12" spans="1:4" ht="24.75" customHeight="1" thickBot="1" thickTop="1">
      <c r="A12" s="116" t="s">
        <v>159</v>
      </c>
      <c r="B12" s="224"/>
      <c r="C12" s="529"/>
      <c r="D12" s="30"/>
    </row>
    <row r="13" spans="1:4" ht="24.75" customHeight="1" thickBot="1" thickTop="1">
      <c r="A13" s="116" t="s">
        <v>160</v>
      </c>
      <c r="B13" s="224"/>
      <c r="C13" s="30">
        <v>80</v>
      </c>
      <c r="D13" s="30">
        <v>80</v>
      </c>
    </row>
    <row r="14" spans="1:4" ht="24.75" customHeight="1" thickBot="1" thickTop="1">
      <c r="A14" s="116" t="s">
        <v>161</v>
      </c>
      <c r="B14" s="224"/>
      <c r="C14" s="30">
        <v>100</v>
      </c>
      <c r="D14" s="30">
        <v>200</v>
      </c>
    </row>
    <row r="15" spans="1:4" ht="24.75" customHeight="1" thickBot="1" thickTop="1">
      <c r="A15" s="116" t="s">
        <v>162</v>
      </c>
      <c r="B15" s="224"/>
      <c r="C15" s="30">
        <v>80</v>
      </c>
      <c r="D15" s="30">
        <v>80</v>
      </c>
    </row>
    <row r="16" spans="1:4" ht="24.75" customHeight="1" thickBot="1" thickTop="1">
      <c r="A16" s="116" t="s">
        <v>163</v>
      </c>
      <c r="B16" s="224"/>
      <c r="C16" s="30">
        <v>80</v>
      </c>
      <c r="D16" s="30">
        <v>80</v>
      </c>
    </row>
    <row r="17" spans="1:4" ht="24.75" customHeight="1" thickBot="1" thickTop="1">
      <c r="A17" s="116" t="s">
        <v>803</v>
      </c>
      <c r="B17" s="224"/>
      <c r="C17" s="30">
        <v>100</v>
      </c>
      <c r="D17" s="30">
        <v>80</v>
      </c>
    </row>
    <row r="18" spans="1:4" ht="24.75" customHeight="1" thickBot="1" thickTop="1">
      <c r="A18" s="116" t="s">
        <v>770</v>
      </c>
      <c r="B18" s="224"/>
      <c r="C18" s="30">
        <v>300</v>
      </c>
      <c r="D18" s="30">
        <v>80</v>
      </c>
    </row>
    <row r="19" spans="1:4" ht="24.75" customHeight="1" thickBot="1" thickTop="1">
      <c r="A19" s="116" t="s">
        <v>703</v>
      </c>
      <c r="B19" s="224"/>
      <c r="C19" s="30">
        <v>50</v>
      </c>
      <c r="D19" s="30">
        <v>100</v>
      </c>
    </row>
    <row r="20" spans="1:4" ht="24.75" customHeight="1" thickBot="1" thickTop="1">
      <c r="A20" s="116" t="s">
        <v>190</v>
      </c>
      <c r="B20" s="224"/>
      <c r="C20" s="30">
        <v>80</v>
      </c>
      <c r="D20" s="30">
        <v>80</v>
      </c>
    </row>
    <row r="21" spans="1:4" ht="24.75" customHeight="1" thickBot="1" thickTop="1">
      <c r="A21" s="116" t="s">
        <v>633</v>
      </c>
      <c r="B21" s="224"/>
      <c r="C21" s="30"/>
      <c r="D21" s="30"/>
    </row>
    <row r="22" spans="1:4" ht="24.75" customHeight="1" thickBot="1" thickTop="1">
      <c r="A22" s="225" t="s">
        <v>176</v>
      </c>
      <c r="B22" s="224"/>
      <c r="C22" s="30">
        <v>80</v>
      </c>
      <c r="D22" s="30">
        <v>80</v>
      </c>
    </row>
    <row r="23" spans="1:4" ht="24.75" customHeight="1" thickBot="1" thickTop="1">
      <c r="A23" s="225" t="s">
        <v>566</v>
      </c>
      <c r="B23" s="224"/>
      <c r="C23" s="30">
        <v>20</v>
      </c>
      <c r="D23" s="30"/>
    </row>
    <row r="24" spans="1:4" ht="24.75" customHeight="1" thickBot="1" thickTop="1">
      <c r="A24" s="225" t="s">
        <v>179</v>
      </c>
      <c r="B24" s="224"/>
      <c r="C24" s="30">
        <v>50</v>
      </c>
      <c r="D24" s="30">
        <v>50</v>
      </c>
    </row>
    <row r="25" spans="1:4" s="228" customFormat="1" ht="24.75" customHeight="1" thickBot="1" thickTop="1">
      <c r="A25" s="226" t="s">
        <v>62</v>
      </c>
      <c r="B25" s="227"/>
      <c r="C25" s="227">
        <f>SUM(C12:C24)</f>
        <v>1020</v>
      </c>
      <c r="D25" s="227">
        <f>SUM(D12:D24)</f>
        <v>910</v>
      </c>
    </row>
    <row r="26" ht="24.75" customHeight="1" thickTop="1"/>
    <row r="27" ht="24.75" customHeight="1"/>
    <row r="28" ht="24.75" customHeight="1"/>
    <row r="29" ht="24.75" customHeight="1"/>
  </sheetData>
  <sheetProtection/>
  <mergeCells count="1">
    <mergeCell ref="A9:A1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00B050"/>
  </sheetPr>
  <dimension ref="A1:J33"/>
  <sheetViews>
    <sheetView view="pageBreakPreview" zoomScale="60" zoomScalePageLayoutView="0" workbookViewId="0" topLeftCell="A1">
      <selection activeCell="K23" sqref="K23"/>
    </sheetView>
  </sheetViews>
  <sheetFormatPr defaultColWidth="8.66015625" defaultRowHeight="18"/>
  <cols>
    <col min="1" max="1" width="8.08203125" style="83" customWidth="1"/>
    <col min="2" max="2" width="23.25" style="83" customWidth="1"/>
    <col min="3" max="4" width="9" style="83" bestFit="1" customWidth="1"/>
    <col min="5" max="5" width="11.25" style="83" customWidth="1"/>
    <col min="6" max="7" width="8.91015625" style="83" customWidth="1"/>
    <col min="8" max="8" width="11.08203125" style="83" customWidth="1"/>
    <col min="9" max="9" width="9" style="83" bestFit="1" customWidth="1"/>
    <col min="10" max="10" width="11.91015625" style="83" customWidth="1"/>
    <col min="11" max="16384" width="8.91015625" style="83" customWidth="1"/>
  </cols>
  <sheetData>
    <row r="1" spans="1:5" ht="15.75">
      <c r="A1" s="170"/>
      <c r="B1" s="30"/>
      <c r="C1" s="30"/>
      <c r="D1" s="30"/>
      <c r="E1" s="84"/>
    </row>
    <row r="2" spans="1:7" ht="15.75">
      <c r="A2" s="174">
        <v>890442</v>
      </c>
      <c r="B2" s="29" t="s">
        <v>264</v>
      </c>
      <c r="C2" s="29" t="s">
        <v>265</v>
      </c>
      <c r="D2" s="27" t="s">
        <v>282</v>
      </c>
      <c r="E2" s="518" t="s">
        <v>614</v>
      </c>
      <c r="F2" s="35" t="s">
        <v>626</v>
      </c>
      <c r="G2" s="35" t="s">
        <v>616</v>
      </c>
    </row>
    <row r="3" spans="1:7" ht="15.75">
      <c r="A3" s="170"/>
      <c r="B3" s="30"/>
      <c r="C3" s="30"/>
      <c r="D3" s="30"/>
      <c r="E3" s="519"/>
      <c r="F3" s="35"/>
      <c r="G3" s="35"/>
    </row>
    <row r="4" spans="1:10" ht="15.75">
      <c r="A4" s="170">
        <v>511116</v>
      </c>
      <c r="B4" s="30" t="s">
        <v>500</v>
      </c>
      <c r="C4" s="30">
        <v>4115</v>
      </c>
      <c r="D4" s="30">
        <f>6*12*56625/1000</f>
        <v>4077</v>
      </c>
      <c r="E4" s="443">
        <f>3*10*57975/1000</f>
        <v>1739.25</v>
      </c>
      <c r="F4" s="25"/>
      <c r="G4" s="35">
        <v>4356</v>
      </c>
      <c r="H4" s="83" t="s">
        <v>799</v>
      </c>
      <c r="I4" s="83">
        <f>5*79200*11</f>
        <v>4356000</v>
      </c>
      <c r="J4" s="83" t="s">
        <v>638</v>
      </c>
    </row>
    <row r="5" spans="1:7" ht="15.75">
      <c r="A5" s="170"/>
      <c r="B5" s="30"/>
      <c r="C5" s="30"/>
      <c r="D5" s="30"/>
      <c r="E5" s="519"/>
      <c r="F5" s="25"/>
      <c r="G5" s="35"/>
    </row>
    <row r="6" spans="1:7" ht="15.75">
      <c r="A6" s="170"/>
      <c r="B6" s="29" t="s">
        <v>149</v>
      </c>
      <c r="C6" s="29">
        <f>SUM(C4:C5)</f>
        <v>4115</v>
      </c>
      <c r="D6" s="29">
        <f>SUM(D4:D5)</f>
        <v>4077</v>
      </c>
      <c r="E6" s="333">
        <f>SUM(E4:E5)</f>
        <v>1739.25</v>
      </c>
      <c r="F6" s="333">
        <f>SUM(F4:F5)</f>
        <v>0</v>
      </c>
      <c r="G6" s="333">
        <f>SUM(G4:G5)</f>
        <v>4356</v>
      </c>
    </row>
    <row r="7" spans="1:7" ht="15.75">
      <c r="A7" s="170"/>
      <c r="B7" s="29"/>
      <c r="C7" s="29"/>
      <c r="D7" s="30"/>
      <c r="E7" s="519"/>
      <c r="F7" s="35"/>
      <c r="G7" s="35"/>
    </row>
    <row r="8" spans="1:7" ht="15.75">
      <c r="A8" s="170">
        <v>53115</v>
      </c>
      <c r="B8" s="30" t="s">
        <v>309</v>
      </c>
      <c r="C8" s="30">
        <f>289+257</f>
        <v>546</v>
      </c>
      <c r="D8" s="30">
        <f>D4*13.5%</f>
        <v>550.395</v>
      </c>
      <c r="E8" s="443">
        <f>E6*13.5%</f>
        <v>234.79875</v>
      </c>
      <c r="F8" s="35"/>
      <c r="G8" s="166">
        <f>G6*13.5%</f>
        <v>588.0600000000001</v>
      </c>
    </row>
    <row r="9" spans="1:7" ht="15.75">
      <c r="A9" s="170"/>
      <c r="B9" s="29" t="s">
        <v>499</v>
      </c>
      <c r="C9" s="29"/>
      <c r="D9" s="29">
        <f>SUM(D8:D8)</f>
        <v>550.395</v>
      </c>
      <c r="E9" s="333">
        <f>SUM(E8:E8)</f>
        <v>234.79875</v>
      </c>
      <c r="F9" s="333">
        <f>SUM(F8:F8)</f>
        <v>0</v>
      </c>
      <c r="G9" s="333">
        <f>SUM(G8:G8)</f>
        <v>588.0600000000001</v>
      </c>
    </row>
    <row r="10" spans="1:7" ht="15.75">
      <c r="A10" s="170"/>
      <c r="B10" s="30"/>
      <c r="C10" s="30"/>
      <c r="D10" s="30"/>
      <c r="E10" s="519"/>
      <c r="F10" s="35"/>
      <c r="G10" s="35"/>
    </row>
    <row r="11" spans="1:7" ht="15.75">
      <c r="A11" s="170">
        <v>54913</v>
      </c>
      <c r="B11" s="30" t="s">
        <v>32</v>
      </c>
      <c r="C11" s="30">
        <v>200</v>
      </c>
      <c r="D11" s="30">
        <v>50</v>
      </c>
      <c r="E11" s="519">
        <v>45</v>
      </c>
      <c r="F11" s="35"/>
      <c r="G11" s="35"/>
    </row>
    <row r="12" spans="1:7" ht="15.75">
      <c r="A12" s="170">
        <v>552181</v>
      </c>
      <c r="B12" s="30" t="s">
        <v>498</v>
      </c>
      <c r="C12" s="30"/>
      <c r="D12" s="30"/>
      <c r="E12" s="519"/>
      <c r="F12" s="35"/>
      <c r="G12" s="35"/>
    </row>
    <row r="13" spans="1:7" ht="15.75">
      <c r="A13" s="170"/>
      <c r="B13" s="29" t="s">
        <v>497</v>
      </c>
      <c r="C13" s="29">
        <f>SUM(C11:C12)</f>
        <v>200</v>
      </c>
      <c r="D13" s="29">
        <f>SUM(D11:D12)</f>
        <v>50</v>
      </c>
      <c r="E13" s="333">
        <f>SUM(E11:E12)</f>
        <v>45</v>
      </c>
      <c r="F13" s="333">
        <f>SUM(F11:F12)</f>
        <v>0</v>
      </c>
      <c r="G13" s="333">
        <f>SUM(G11:G12)</f>
        <v>0</v>
      </c>
    </row>
    <row r="14" spans="1:7" ht="15.75">
      <c r="A14" s="170"/>
      <c r="B14" s="30"/>
      <c r="C14" s="30"/>
      <c r="D14" s="30"/>
      <c r="E14" s="519"/>
      <c r="F14" s="35"/>
      <c r="G14" s="35"/>
    </row>
    <row r="15" spans="1:7" ht="15.75">
      <c r="A15" s="170">
        <v>55215</v>
      </c>
      <c r="B15" s="30" t="s">
        <v>496</v>
      </c>
      <c r="C15" s="30"/>
      <c r="D15" s="30"/>
      <c r="E15" s="519"/>
      <c r="F15" s="35"/>
      <c r="G15" s="35"/>
    </row>
    <row r="16" spans="1:7" ht="15.75">
      <c r="A16" s="170">
        <v>55217</v>
      </c>
      <c r="B16" s="30" t="s">
        <v>495</v>
      </c>
      <c r="C16" s="30"/>
      <c r="D16" s="30"/>
      <c r="E16" s="519"/>
      <c r="F16" s="35"/>
      <c r="G16" s="35"/>
    </row>
    <row r="17" spans="1:7" ht="15.75">
      <c r="A17" s="170"/>
      <c r="B17" s="29" t="s">
        <v>64</v>
      </c>
      <c r="C17" s="29"/>
      <c r="D17" s="29">
        <f>SUM(D15:D16)</f>
        <v>0</v>
      </c>
      <c r="E17" s="333">
        <f>SUM(E15:E16)</f>
        <v>0</v>
      </c>
      <c r="F17" s="35"/>
      <c r="G17" s="35"/>
    </row>
    <row r="18" spans="1:7" ht="15.75">
      <c r="A18" s="170"/>
      <c r="B18" s="30"/>
      <c r="C18" s="30"/>
      <c r="D18" s="30"/>
      <c r="E18" s="519"/>
      <c r="F18" s="35"/>
      <c r="G18" s="35"/>
    </row>
    <row r="19" spans="1:7" ht="15.75">
      <c r="A19" s="170">
        <v>56111</v>
      </c>
      <c r="B19" s="30" t="s">
        <v>494</v>
      </c>
      <c r="C19" s="30">
        <f>C13*27%</f>
        <v>54</v>
      </c>
      <c r="D19" s="30">
        <f>D13*27%</f>
        <v>13.5</v>
      </c>
      <c r="E19" s="519">
        <v>12</v>
      </c>
      <c r="F19" s="35"/>
      <c r="G19" s="35"/>
    </row>
    <row r="20" spans="1:7" ht="15.75">
      <c r="A20" s="170"/>
      <c r="B20" s="29" t="s">
        <v>493</v>
      </c>
      <c r="C20" s="29">
        <f>SUM(C19)</f>
        <v>54</v>
      </c>
      <c r="D20" s="29">
        <f>SUM(D19)</f>
        <v>13.5</v>
      </c>
      <c r="E20" s="333">
        <f>SUM(E19)</f>
        <v>12</v>
      </c>
      <c r="F20" s="333">
        <f>SUM(F19)</f>
        <v>0</v>
      </c>
      <c r="G20" s="333">
        <f>SUM(G19)</f>
        <v>0</v>
      </c>
    </row>
    <row r="21" spans="1:7" ht="15.75">
      <c r="A21" s="170"/>
      <c r="B21" s="30"/>
      <c r="C21" s="30"/>
      <c r="D21" s="30"/>
      <c r="E21" s="519"/>
      <c r="F21" s="35"/>
      <c r="G21" s="35"/>
    </row>
    <row r="22" spans="1:7" ht="15.75">
      <c r="A22" s="170"/>
      <c r="B22" s="29" t="s">
        <v>29</v>
      </c>
      <c r="C22" s="29">
        <f>SUM(C20,C17,C13)</f>
        <v>254</v>
      </c>
      <c r="D22" s="29">
        <f>SUM(D20,D17,D13)</f>
        <v>63.5</v>
      </c>
      <c r="E22" s="333">
        <f>SUM(E20,E17,E13)</f>
        <v>57</v>
      </c>
      <c r="F22" s="333">
        <f>SUM(F20,F17,F13)</f>
        <v>0</v>
      </c>
      <c r="G22" s="333">
        <f>SUM(G20,G17,G13)</f>
        <v>0</v>
      </c>
    </row>
    <row r="23" spans="1:7" ht="15.75">
      <c r="A23" s="170"/>
      <c r="B23" s="29"/>
      <c r="C23" s="29"/>
      <c r="D23" s="30"/>
      <c r="E23" s="519"/>
      <c r="F23" s="35"/>
      <c r="G23" s="35"/>
    </row>
    <row r="24" spans="1:7" ht="15.75">
      <c r="A24" s="170"/>
      <c r="B24" s="30"/>
      <c r="C24" s="30"/>
      <c r="D24" s="30"/>
      <c r="E24" s="519"/>
      <c r="F24" s="35"/>
      <c r="G24" s="35"/>
    </row>
    <row r="25" spans="1:7" ht="15.75">
      <c r="A25" s="170"/>
      <c r="B25" s="29" t="s">
        <v>0</v>
      </c>
      <c r="C25" s="29">
        <f>SUM(C6+C9+C22)</f>
        <v>4369</v>
      </c>
      <c r="D25" s="29">
        <f>SUM(D6+D9+D22)</f>
        <v>4690.895</v>
      </c>
      <c r="E25" s="333">
        <f>SUM(E6+E9+E22)</f>
        <v>2031.04875</v>
      </c>
      <c r="F25" s="333">
        <f>SUM(F6+F9+F22)</f>
        <v>0</v>
      </c>
      <c r="G25" s="333">
        <f>SUM(G6+G9+G22)</f>
        <v>4944.06</v>
      </c>
    </row>
    <row r="26" spans="1:7" ht="15.75">
      <c r="A26" s="170"/>
      <c r="B26" s="29"/>
      <c r="C26" s="29"/>
      <c r="D26" s="30"/>
      <c r="E26" s="519"/>
      <c r="F26" s="35"/>
      <c r="G26" s="35"/>
    </row>
    <row r="27" spans="1:7" ht="15.75">
      <c r="A27" s="170"/>
      <c r="B27" s="29"/>
      <c r="C27" s="29"/>
      <c r="D27" s="30"/>
      <c r="E27" s="519"/>
      <c r="F27" s="35"/>
      <c r="G27" s="35"/>
    </row>
    <row r="28" spans="1:9" ht="15.75">
      <c r="A28" s="170">
        <v>46414</v>
      </c>
      <c r="B28" s="29" t="s">
        <v>228</v>
      </c>
      <c r="C28" s="29">
        <v>3946</v>
      </c>
      <c r="D28" s="30">
        <f>D25*90%</f>
        <v>4221.8055</v>
      </c>
      <c r="E28" s="443">
        <f>E6*75%</f>
        <v>1304.4375</v>
      </c>
      <c r="F28" s="35"/>
      <c r="G28" s="35">
        <v>3955</v>
      </c>
      <c r="I28" s="83">
        <f>G25*80%</f>
        <v>3955.2480000000005</v>
      </c>
    </row>
    <row r="29" spans="1:7" ht="15.75">
      <c r="A29" s="170"/>
      <c r="B29" s="30"/>
      <c r="C29" s="30"/>
      <c r="D29" s="30"/>
      <c r="E29" s="519"/>
      <c r="F29" s="35"/>
      <c r="G29" s="35"/>
    </row>
    <row r="30" spans="1:7" ht="15.75">
      <c r="A30" s="170"/>
      <c r="B30" s="29" t="s">
        <v>492</v>
      </c>
      <c r="C30" s="29">
        <f>SUM(C28)</f>
        <v>3946</v>
      </c>
      <c r="D30" s="29">
        <f>SUM(D28)</f>
        <v>4221.8055</v>
      </c>
      <c r="E30" s="333">
        <f>SUM(E28)</f>
        <v>1304.4375</v>
      </c>
      <c r="F30" s="333">
        <f>SUM(F28)</f>
        <v>0</v>
      </c>
      <c r="G30" s="333">
        <f>SUM(G28)</f>
        <v>3955</v>
      </c>
    </row>
    <row r="31" spans="1:7" ht="15.75">
      <c r="A31" s="170"/>
      <c r="B31" s="30"/>
      <c r="C31" s="30"/>
      <c r="D31" s="30"/>
      <c r="F31" s="35"/>
      <c r="G31" s="35"/>
    </row>
    <row r="32" spans="1:7" ht="15.75">
      <c r="A32" s="170"/>
      <c r="B32" s="30"/>
      <c r="C32" s="30"/>
      <c r="D32" s="30"/>
      <c r="F32" s="35"/>
      <c r="G32" s="35"/>
    </row>
    <row r="33" spans="1:7" ht="15.75">
      <c r="A33" s="170"/>
      <c r="B33" s="30"/>
      <c r="C33" s="30"/>
      <c r="D33" s="30"/>
      <c r="F33" s="35"/>
      <c r="G33" s="35"/>
    </row>
  </sheetData>
  <sheetProtection/>
  <printOptions/>
  <pageMargins left="0.7" right="0.7" top="0.75" bottom="0.75" header="0.3" footer="0.3"/>
  <pageSetup horizontalDpi="300" verticalDpi="300" orientation="portrait" paperSize="9" scale="61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C00000"/>
  </sheetPr>
  <dimension ref="A2:J102"/>
  <sheetViews>
    <sheetView zoomScalePageLayoutView="0" workbookViewId="0" topLeftCell="A85">
      <selection activeCell="G32" sqref="G32"/>
    </sheetView>
  </sheetViews>
  <sheetFormatPr defaultColWidth="8.41015625" defaultRowHeight="18"/>
  <cols>
    <col min="1" max="1" width="8.41015625" style="21" customWidth="1"/>
    <col min="2" max="2" width="29.41015625" style="21" customWidth="1"/>
    <col min="3" max="3" width="8" style="382" customWidth="1"/>
    <col min="4" max="4" width="7.33203125" style="21" customWidth="1"/>
    <col min="5" max="5" width="7.75" style="21" customWidth="1"/>
    <col min="6" max="249" width="7.08203125" style="21" customWidth="1"/>
    <col min="250" max="16384" width="8.41015625" style="21" customWidth="1"/>
  </cols>
  <sheetData>
    <row r="2" spans="1:5" ht="18.75">
      <c r="A2" s="620" t="s">
        <v>1331</v>
      </c>
      <c r="B2" s="620"/>
      <c r="C2" s="620"/>
      <c r="D2" s="620"/>
      <c r="E2" s="620"/>
    </row>
    <row r="3" ht="19.5" thickBot="1">
      <c r="C3" s="243"/>
    </row>
    <row r="4" spans="1:5" ht="19.5" thickBot="1">
      <c r="A4" s="595">
        <v>890442</v>
      </c>
      <c r="B4" s="245" t="s">
        <v>1406</v>
      </c>
      <c r="C4" s="421" t="s">
        <v>616</v>
      </c>
      <c r="D4" s="41" t="s">
        <v>626</v>
      </c>
      <c r="E4" s="34">
        <v>2016</v>
      </c>
    </row>
    <row r="5" spans="1:5" ht="19.5" thickBot="1">
      <c r="A5" s="596" t="s">
        <v>1407</v>
      </c>
      <c r="B5" s="210"/>
      <c r="C5" s="295"/>
      <c r="D5" s="34"/>
      <c r="E5" s="34"/>
    </row>
    <row r="6" spans="1:5" ht="18.75">
      <c r="A6" s="249" t="s">
        <v>819</v>
      </c>
      <c r="B6" s="250" t="s">
        <v>1238</v>
      </c>
      <c r="C6" s="376">
        <v>4356</v>
      </c>
      <c r="D6" s="565"/>
      <c r="E6" s="565">
        <v>4432</v>
      </c>
    </row>
    <row r="7" spans="1:5" ht="18.75">
      <c r="A7" s="253" t="s">
        <v>822</v>
      </c>
      <c r="B7" s="254" t="s">
        <v>821</v>
      </c>
      <c r="C7" s="377"/>
      <c r="D7" s="34"/>
      <c r="E7" s="34"/>
    </row>
    <row r="8" spans="1:5" ht="18.75">
      <c r="A8" s="253" t="s">
        <v>823</v>
      </c>
      <c r="B8" s="254" t="s">
        <v>820</v>
      </c>
      <c r="C8" s="377"/>
      <c r="D8" s="34"/>
      <c r="E8" s="381"/>
    </row>
    <row r="9" spans="1:5" ht="18.75">
      <c r="A9" s="253" t="s">
        <v>825</v>
      </c>
      <c r="B9" s="254" t="s">
        <v>824</v>
      </c>
      <c r="C9" s="377"/>
      <c r="D9" s="34"/>
      <c r="E9" s="34"/>
    </row>
    <row r="10" spans="1:5" ht="18.75">
      <c r="A10" s="253" t="s">
        <v>826</v>
      </c>
      <c r="B10" s="260" t="s">
        <v>1239</v>
      </c>
      <c r="C10" s="377"/>
      <c r="D10" s="34"/>
      <c r="E10" s="34"/>
    </row>
    <row r="11" spans="1:5" ht="18.75">
      <c r="A11" s="253" t="s">
        <v>1233</v>
      </c>
      <c r="B11" s="260" t="s">
        <v>1240</v>
      </c>
      <c r="C11" s="378"/>
      <c r="D11" s="34"/>
      <c r="E11" s="34"/>
    </row>
    <row r="12" spans="1:5" ht="18.75">
      <c r="A12" s="253" t="s">
        <v>1241</v>
      </c>
      <c r="B12" s="262" t="s">
        <v>1234</v>
      </c>
      <c r="C12" s="377"/>
      <c r="D12" s="34"/>
      <c r="E12" s="34"/>
    </row>
    <row r="13" spans="1:5" ht="18.75">
      <c r="A13" s="253" t="s">
        <v>1242</v>
      </c>
      <c r="B13" s="262" t="s">
        <v>1235</v>
      </c>
      <c r="C13" s="377"/>
      <c r="D13" s="34"/>
      <c r="E13" s="34"/>
    </row>
    <row r="14" spans="1:5" ht="18.75">
      <c r="A14" s="253" t="s">
        <v>1243</v>
      </c>
      <c r="B14" s="254" t="s">
        <v>528</v>
      </c>
      <c r="C14" s="377"/>
      <c r="D14" s="34"/>
      <c r="E14" s="34"/>
    </row>
    <row r="15" spans="1:5" ht="18.75">
      <c r="A15" s="253" t="s">
        <v>1244</v>
      </c>
      <c r="B15" s="254" t="s">
        <v>1236</v>
      </c>
      <c r="C15" s="377"/>
      <c r="D15" s="34"/>
      <c r="E15" s="34"/>
    </row>
    <row r="16" spans="1:5" ht="19.5" thickBot="1">
      <c r="A16" s="264" t="s">
        <v>1245</v>
      </c>
      <c r="B16" s="265" t="s">
        <v>791</v>
      </c>
      <c r="C16" s="377"/>
      <c r="D16" s="34"/>
      <c r="E16" s="34"/>
    </row>
    <row r="17" spans="1:5" ht="19.5" thickBot="1">
      <c r="A17" s="568" t="s">
        <v>1327</v>
      </c>
      <c r="B17" s="569" t="s">
        <v>1249</v>
      </c>
      <c r="C17" s="379">
        <f>SUM(C6:C16)</f>
        <v>4356</v>
      </c>
      <c r="D17" s="379">
        <f>SUM(D6:D16)</f>
        <v>0</v>
      </c>
      <c r="E17" s="379">
        <f>SUM(E6:E16)</f>
        <v>4432</v>
      </c>
    </row>
    <row r="18" spans="1:5" ht="19.5" thickBot="1">
      <c r="A18" s="557" t="s">
        <v>1329</v>
      </c>
      <c r="B18" s="558" t="s">
        <v>1248</v>
      </c>
      <c r="C18" s="377"/>
      <c r="D18" s="34"/>
      <c r="E18" s="34"/>
    </row>
    <row r="19" spans="1:5" ht="19.5" thickBot="1">
      <c r="A19" s="557" t="s">
        <v>1328</v>
      </c>
      <c r="B19" s="558" t="s">
        <v>1246</v>
      </c>
      <c r="C19" s="377"/>
      <c r="D19" s="34"/>
      <c r="E19" s="34"/>
    </row>
    <row r="20" spans="1:5" ht="19.5" thickBot="1">
      <c r="A20" s="557" t="s">
        <v>1253</v>
      </c>
      <c r="B20" s="558" t="s">
        <v>19</v>
      </c>
      <c r="C20" s="377"/>
      <c r="D20" s="34"/>
      <c r="E20" s="34"/>
    </row>
    <row r="21" spans="1:5" ht="19.5" thickBot="1">
      <c r="A21" s="557" t="s">
        <v>1254</v>
      </c>
      <c r="B21" s="558" t="s">
        <v>889</v>
      </c>
      <c r="C21" s="377"/>
      <c r="D21" s="34"/>
      <c r="E21" s="34"/>
    </row>
    <row r="22" spans="1:5" ht="19.5" thickBot="1">
      <c r="A22" s="568" t="s">
        <v>1330</v>
      </c>
      <c r="B22" s="569" t="s">
        <v>1247</v>
      </c>
      <c r="C22" s="377">
        <f>SUM(C18:C21)</f>
        <v>0</v>
      </c>
      <c r="D22" s="377">
        <f>SUM(D18:D21)</f>
        <v>0</v>
      </c>
      <c r="E22" s="377">
        <f>SUM(E18:E21)</f>
        <v>0</v>
      </c>
    </row>
    <row r="23" spans="1:5" ht="27" customHeight="1" thickBot="1">
      <c r="A23" s="268" t="s">
        <v>1250</v>
      </c>
      <c r="B23" s="269" t="s">
        <v>1237</v>
      </c>
      <c r="C23" s="379">
        <f>SUM(C22,C17)</f>
        <v>4356</v>
      </c>
      <c r="D23" s="379">
        <f>SUM(D22,D17)</f>
        <v>0</v>
      </c>
      <c r="E23" s="379">
        <f>SUM(E22,E17)</f>
        <v>4432</v>
      </c>
    </row>
    <row r="24" spans="1:5" ht="19.5" thickBot="1">
      <c r="A24" s="270"/>
      <c r="B24" s="271"/>
      <c r="C24" s="377"/>
      <c r="D24" s="34"/>
      <c r="E24" s="34"/>
    </row>
    <row r="25" spans="1:5" ht="18.75">
      <c r="A25" s="272" t="s">
        <v>1255</v>
      </c>
      <c r="B25" s="97" t="s">
        <v>590</v>
      </c>
      <c r="C25" s="275">
        <v>588</v>
      </c>
      <c r="D25" s="44"/>
      <c r="E25" s="34">
        <v>599</v>
      </c>
    </row>
    <row r="26" spans="1:5" ht="18.75">
      <c r="A26" s="559" t="s">
        <v>1256</v>
      </c>
      <c r="B26" s="97" t="s">
        <v>1251</v>
      </c>
      <c r="C26" s="275"/>
      <c r="D26" s="44"/>
      <c r="E26" s="34"/>
    </row>
    <row r="27" spans="1:5" ht="18.75">
      <c r="A27" s="276" t="s">
        <v>1252</v>
      </c>
      <c r="B27" s="255" t="s">
        <v>4</v>
      </c>
      <c r="C27" s="378"/>
      <c r="D27" s="34"/>
      <c r="E27" s="34"/>
    </row>
    <row r="28" spans="1:5" ht="19.5" thickBot="1">
      <c r="A28" s="462" t="s">
        <v>1257</v>
      </c>
      <c r="B28" s="255" t="s">
        <v>635</v>
      </c>
      <c r="C28" s="378"/>
      <c r="D28" s="34"/>
      <c r="E28" s="34"/>
    </row>
    <row r="29" spans="1:5" ht="19.5" thickBot="1">
      <c r="A29" s="582" t="s">
        <v>1258</v>
      </c>
      <c r="B29" s="583" t="s">
        <v>69</v>
      </c>
      <c r="C29" s="378">
        <f>SUM(C25:C28)</f>
        <v>588</v>
      </c>
      <c r="D29" s="378">
        <f>SUM(D25:D28)</f>
        <v>0</v>
      </c>
      <c r="E29" s="378">
        <f>SUM(E25:E28)</f>
        <v>599</v>
      </c>
    </row>
    <row r="30" spans="1:5" ht="19.5" thickBot="1">
      <c r="A30" s="282"/>
      <c r="B30" s="283"/>
      <c r="C30" s="377"/>
      <c r="D30" s="34"/>
      <c r="E30" s="34"/>
    </row>
    <row r="31" spans="1:5" ht="18.75">
      <c r="A31" s="249" t="s">
        <v>1259</v>
      </c>
      <c r="B31" s="291" t="s">
        <v>533</v>
      </c>
      <c r="C31" s="377"/>
      <c r="D31" s="34"/>
      <c r="E31" s="34"/>
    </row>
    <row r="32" spans="1:5" ht="18.75">
      <c r="A32" s="253" t="s">
        <v>1260</v>
      </c>
      <c r="B32" s="254" t="s">
        <v>534</v>
      </c>
      <c r="C32" s="377"/>
      <c r="D32" s="41"/>
      <c r="E32" s="34"/>
    </row>
    <row r="33" spans="1:5" ht="18.75">
      <c r="A33" s="253" t="s">
        <v>1262</v>
      </c>
      <c r="B33" s="254" t="s">
        <v>1261</v>
      </c>
      <c r="C33" s="377"/>
      <c r="D33" s="41"/>
      <c r="E33" s="34"/>
    </row>
    <row r="34" spans="1:5" ht="18.75">
      <c r="A34" s="253" t="s">
        <v>1263</v>
      </c>
      <c r="B34" s="254" t="s">
        <v>124</v>
      </c>
      <c r="C34" s="377"/>
      <c r="D34" s="41"/>
      <c r="E34" s="34"/>
    </row>
    <row r="35" spans="1:5" ht="18.75">
      <c r="A35" s="253" t="s">
        <v>1264</v>
      </c>
      <c r="B35" s="254" t="s">
        <v>1265</v>
      </c>
      <c r="C35" s="570"/>
      <c r="D35" s="41"/>
      <c r="E35" s="34"/>
    </row>
    <row r="36" spans="1:5" ht="18.75">
      <c r="A36" s="253" t="s">
        <v>1335</v>
      </c>
      <c r="B36" s="562" t="s">
        <v>548</v>
      </c>
      <c r="C36" s="570">
        <f>SUM(C31:C35)</f>
        <v>0</v>
      </c>
      <c r="D36" s="570">
        <f>SUM(D31:D35)</f>
        <v>0</v>
      </c>
      <c r="E36" s="570">
        <f>SUM(E31:E35)</f>
        <v>0</v>
      </c>
    </row>
    <row r="37" spans="1:5" ht="18.75">
      <c r="A37" s="253" t="s">
        <v>1342</v>
      </c>
      <c r="B37" s="254" t="s">
        <v>1343</v>
      </c>
      <c r="C37" s="570"/>
      <c r="D37" s="570"/>
      <c r="E37" s="570"/>
    </row>
    <row r="38" spans="1:5" ht="18.75">
      <c r="A38" s="253" t="s">
        <v>1344</v>
      </c>
      <c r="B38" s="254" t="s">
        <v>1267</v>
      </c>
      <c r="C38" s="570"/>
      <c r="D38" s="34"/>
      <c r="E38" s="34"/>
    </row>
    <row r="39" spans="1:5" ht="18.75">
      <c r="A39" s="253" t="s">
        <v>1345</v>
      </c>
      <c r="B39" s="254" t="s">
        <v>88</v>
      </c>
      <c r="C39" s="570"/>
      <c r="D39" s="34"/>
      <c r="E39" s="34"/>
    </row>
    <row r="40" spans="1:5" ht="18.75">
      <c r="A40" s="253" t="s">
        <v>1346</v>
      </c>
      <c r="B40" s="254" t="s">
        <v>1268</v>
      </c>
      <c r="C40" s="377"/>
      <c r="D40" s="34"/>
      <c r="E40" s="34"/>
    </row>
    <row r="41" spans="1:5" ht="19.5" thickBot="1">
      <c r="A41" s="288" t="s">
        <v>1347</v>
      </c>
      <c r="B41" s="289" t="s">
        <v>1269</v>
      </c>
      <c r="C41" s="377"/>
      <c r="D41" s="34"/>
      <c r="E41" s="34"/>
    </row>
    <row r="42" spans="1:5" ht="17.25" customHeight="1" thickBot="1">
      <c r="A42" s="268" t="s">
        <v>1266</v>
      </c>
      <c r="B42" s="571" t="s">
        <v>1270</v>
      </c>
      <c r="C42" s="377">
        <f>SUM(C37:C41)</f>
        <v>0</v>
      </c>
      <c r="D42" s="377">
        <f>SUM(D38:D41)</f>
        <v>0</v>
      </c>
      <c r="E42" s="377">
        <f>SUM(E38:E41)</f>
        <v>0</v>
      </c>
    </row>
    <row r="43" spans="1:5" ht="22.5" customHeight="1" thickBot="1">
      <c r="A43" s="572" t="s">
        <v>1300</v>
      </c>
      <c r="B43" s="573" t="s">
        <v>595</v>
      </c>
      <c r="C43" s="574">
        <f>SUM(C42,C36)</f>
        <v>0</v>
      </c>
      <c r="D43" s="574">
        <f>SUM(D42,D36)</f>
        <v>0</v>
      </c>
      <c r="E43" s="574">
        <f>SUM(E42,E36)</f>
        <v>0</v>
      </c>
    </row>
    <row r="44" spans="1:5" ht="18.75">
      <c r="A44" s="249" t="s">
        <v>1271</v>
      </c>
      <c r="B44" s="291" t="s">
        <v>1348</v>
      </c>
      <c r="C44" s="377"/>
      <c r="D44" s="34"/>
      <c r="E44" s="34"/>
    </row>
    <row r="45" spans="1:5" ht="18.75">
      <c r="A45" s="494" t="s">
        <v>1350</v>
      </c>
      <c r="B45" s="590" t="s">
        <v>1351</v>
      </c>
      <c r="C45" s="377"/>
      <c r="D45" s="34"/>
      <c r="E45" s="34"/>
    </row>
    <row r="46" spans="1:5" ht="18.75">
      <c r="A46" s="253" t="s">
        <v>1272</v>
      </c>
      <c r="B46" s="254" t="s">
        <v>1349</v>
      </c>
      <c r="C46" s="295"/>
      <c r="D46" s="566"/>
      <c r="E46" s="34"/>
    </row>
    <row r="47" spans="1:5" ht="18.75">
      <c r="A47" s="575" t="s">
        <v>1301</v>
      </c>
      <c r="B47" s="576" t="s">
        <v>1366</v>
      </c>
      <c r="C47" s="577">
        <f>SUM(C44:C46)</f>
        <v>0</v>
      </c>
      <c r="D47" s="577">
        <f>SUM(D44:D46)</f>
        <v>0</v>
      </c>
      <c r="E47" s="577">
        <f>SUM(E44:E46)</f>
        <v>0</v>
      </c>
    </row>
    <row r="48" spans="1:5" ht="18.75">
      <c r="A48" s="253" t="s">
        <v>1275</v>
      </c>
      <c r="B48" s="254" t="s">
        <v>544</v>
      </c>
      <c r="C48" s="295"/>
      <c r="D48" s="566"/>
      <c r="E48" s="34"/>
    </row>
    <row r="49" spans="1:5" ht="18.75">
      <c r="A49" s="253" t="s">
        <v>1274</v>
      </c>
      <c r="B49" s="254" t="s">
        <v>543</v>
      </c>
      <c r="C49" s="295"/>
      <c r="D49" s="34"/>
      <c r="E49" s="34"/>
    </row>
    <row r="50" spans="1:5" ht="18.75">
      <c r="A50" s="253" t="s">
        <v>1276</v>
      </c>
      <c r="B50" s="254" t="s">
        <v>503</v>
      </c>
      <c r="C50" s="295"/>
      <c r="D50" s="34"/>
      <c r="E50" s="34"/>
    </row>
    <row r="51" spans="1:5" ht="18.75">
      <c r="A51" s="575" t="s">
        <v>1273</v>
      </c>
      <c r="B51" s="576" t="s">
        <v>1277</v>
      </c>
      <c r="C51" s="577">
        <f>SUM(C48:C50)</f>
        <v>0</v>
      </c>
      <c r="D51" s="577">
        <f>SUM(D48:D50)</f>
        <v>0</v>
      </c>
      <c r="E51" s="577">
        <f>SUM(E48:E50)</f>
        <v>0</v>
      </c>
    </row>
    <row r="52" spans="1:5" ht="18.75">
      <c r="A52" s="253" t="s">
        <v>1332</v>
      </c>
      <c r="B52" s="254" t="s">
        <v>1278</v>
      </c>
      <c r="C52" s="295"/>
      <c r="D52" s="34"/>
      <c r="E52" s="34"/>
    </row>
    <row r="53" spans="1:5" ht="18.75">
      <c r="A53" s="253" t="s">
        <v>1280</v>
      </c>
      <c r="B53" s="254" t="s">
        <v>26</v>
      </c>
      <c r="C53" s="295"/>
      <c r="D53" s="41"/>
      <c r="E53" s="34"/>
    </row>
    <row r="54" spans="1:5" ht="18.75">
      <c r="A54" s="253" t="s">
        <v>1281</v>
      </c>
      <c r="B54" s="254" t="s">
        <v>1352</v>
      </c>
      <c r="C54" s="377"/>
      <c r="D54" s="34"/>
      <c r="E54" s="34"/>
    </row>
    <row r="55" spans="1:5" ht="18.75">
      <c r="A55" s="575" t="s">
        <v>1283</v>
      </c>
      <c r="B55" s="576" t="s">
        <v>1282</v>
      </c>
      <c r="C55" s="574">
        <f>SUM(C53:C54)</f>
        <v>0</v>
      </c>
      <c r="D55" s="574">
        <f>SUM(D53:D54)</f>
        <v>0</v>
      </c>
      <c r="E55" s="574">
        <f>SUM(E53:E54)</f>
        <v>0</v>
      </c>
    </row>
    <row r="56" spans="1:5" ht="18.75">
      <c r="A56" s="575" t="s">
        <v>1284</v>
      </c>
      <c r="B56" s="588" t="s">
        <v>1333</v>
      </c>
      <c r="C56" s="589"/>
      <c r="D56" s="589"/>
      <c r="E56" s="589"/>
    </row>
    <row r="57" spans="1:5" ht="18.75">
      <c r="A57" s="288"/>
      <c r="B57" s="554" t="s">
        <v>943</v>
      </c>
      <c r="C57" s="554"/>
      <c r="D57" s="554"/>
      <c r="E57" s="554"/>
    </row>
    <row r="58" spans="1:5" ht="18.75">
      <c r="A58" s="288" t="s">
        <v>1353</v>
      </c>
      <c r="B58" s="554" t="s">
        <v>547</v>
      </c>
      <c r="C58" s="554"/>
      <c r="D58" s="554"/>
      <c r="E58" s="554"/>
    </row>
    <row r="59" spans="1:5" ht="18.75">
      <c r="A59" s="288" t="s">
        <v>1354</v>
      </c>
      <c r="B59" s="554" t="s">
        <v>1355</v>
      </c>
      <c r="C59" s="554"/>
      <c r="D59" s="554"/>
      <c r="E59" s="554"/>
    </row>
    <row r="60" spans="1:5" ht="27" customHeight="1">
      <c r="A60" s="561" t="s">
        <v>1285</v>
      </c>
      <c r="B60" s="552" t="s">
        <v>945</v>
      </c>
      <c r="C60" s="591">
        <f>SUM(C58:C59)</f>
        <v>0</v>
      </c>
      <c r="D60" s="591">
        <f>SUM(D58:D59)</f>
        <v>0</v>
      </c>
      <c r="E60" s="591">
        <f>SUM(E58:E59)</f>
        <v>0</v>
      </c>
    </row>
    <row r="61" spans="1:5" ht="23.25" customHeight="1">
      <c r="A61" s="462" t="s">
        <v>1356</v>
      </c>
      <c r="B61" s="553" t="s">
        <v>1362</v>
      </c>
      <c r="C61" s="591"/>
      <c r="D61" s="591"/>
      <c r="E61" s="591"/>
    </row>
    <row r="62" spans="1:5" ht="23.25" customHeight="1">
      <c r="A62" s="462" t="s">
        <v>1357</v>
      </c>
      <c r="B62" s="553" t="s">
        <v>1358</v>
      </c>
      <c r="C62" s="591"/>
      <c r="D62" s="591"/>
      <c r="E62" s="591"/>
    </row>
    <row r="63" spans="1:5" ht="23.25" customHeight="1">
      <c r="A63" s="462" t="s">
        <v>1359</v>
      </c>
      <c r="B63" s="553" t="s">
        <v>9</v>
      </c>
      <c r="C63" s="591"/>
      <c r="D63" s="591"/>
      <c r="E63" s="591"/>
    </row>
    <row r="64" spans="1:6" ht="23.25" customHeight="1" thickBot="1">
      <c r="A64" s="462" t="s">
        <v>1360</v>
      </c>
      <c r="B64" s="553" t="s">
        <v>1361</v>
      </c>
      <c r="C64" s="591"/>
      <c r="D64" s="591"/>
      <c r="E64" s="591"/>
      <c r="F64" s="21" t="s">
        <v>1368</v>
      </c>
    </row>
    <row r="65" spans="1:5" ht="17.25" customHeight="1" thickBot="1">
      <c r="A65" s="298" t="s">
        <v>1286</v>
      </c>
      <c r="B65" s="552" t="s">
        <v>948</v>
      </c>
      <c r="C65" s="591">
        <f>SUM(C61:C64)</f>
        <v>0</v>
      </c>
      <c r="D65" s="591">
        <f>SUM(D61:D64)</f>
        <v>0</v>
      </c>
      <c r="E65" s="591">
        <f>SUM(E61:E64)</f>
        <v>0</v>
      </c>
    </row>
    <row r="66" spans="1:5" ht="25.5" customHeight="1">
      <c r="A66" s="578" t="s">
        <v>1279</v>
      </c>
      <c r="B66" s="579" t="s">
        <v>1287</v>
      </c>
      <c r="C66" s="579">
        <f>SUM(C65+C60+C56+C55+C52)</f>
        <v>0</v>
      </c>
      <c r="D66" s="579">
        <f>SUM(D65+D60+D56+D55+D52)</f>
        <v>0</v>
      </c>
      <c r="E66" s="579">
        <f>SUM(E65+E60+E56+E55+E52)</f>
        <v>0</v>
      </c>
    </row>
    <row r="67" spans="1:5" ht="18.75">
      <c r="A67" s="253" t="s">
        <v>1288</v>
      </c>
      <c r="B67" s="553" t="s">
        <v>952</v>
      </c>
      <c r="C67" s="553"/>
      <c r="D67" s="553"/>
      <c r="E67" s="553"/>
    </row>
    <row r="68" spans="1:5" ht="18.75">
      <c r="A68" s="253" t="s">
        <v>1289</v>
      </c>
      <c r="B68" s="553" t="s">
        <v>954</v>
      </c>
      <c r="C68" s="553"/>
      <c r="D68" s="553"/>
      <c r="E68" s="553"/>
    </row>
    <row r="69" spans="1:5" ht="24" customHeight="1">
      <c r="A69" s="575" t="s">
        <v>1291</v>
      </c>
      <c r="B69" s="579" t="s">
        <v>1290</v>
      </c>
      <c r="C69" s="579">
        <f>SUM(C67:C68)</f>
        <v>0</v>
      </c>
      <c r="D69" s="579">
        <f>SUM(D67:D68)</f>
        <v>0</v>
      </c>
      <c r="E69" s="579">
        <f>SUM(E67:E68)</f>
        <v>0</v>
      </c>
    </row>
    <row r="70" spans="1:5" ht="26.25" customHeight="1" thickBot="1">
      <c r="A70" s="561" t="s">
        <v>1294</v>
      </c>
      <c r="B70" s="552" t="s">
        <v>958</v>
      </c>
      <c r="C70" s="552"/>
      <c r="D70" s="552"/>
      <c r="E70" s="552"/>
    </row>
    <row r="71" spans="1:5" ht="27" customHeight="1" thickBot="1">
      <c r="A71" s="268" t="s">
        <v>1295</v>
      </c>
      <c r="B71" s="552" t="s">
        <v>960</v>
      </c>
      <c r="C71" s="552"/>
      <c r="D71" s="552"/>
      <c r="E71" s="552"/>
    </row>
    <row r="72" spans="1:5" ht="19.5" thickBot="1">
      <c r="A72" s="210" t="s">
        <v>1296</v>
      </c>
      <c r="B72" s="552" t="s">
        <v>1293</v>
      </c>
      <c r="C72" s="552"/>
      <c r="D72" s="552"/>
      <c r="E72" s="552"/>
    </row>
    <row r="73" spans="1:5" ht="24.75" customHeight="1">
      <c r="A73" s="593" t="s">
        <v>1298</v>
      </c>
      <c r="B73" s="594" t="s">
        <v>1363</v>
      </c>
      <c r="C73" s="594"/>
      <c r="D73" s="552"/>
      <c r="E73" s="552"/>
    </row>
    <row r="74" spans="1:6" ht="24.75" customHeight="1">
      <c r="A74" s="592" t="s">
        <v>1364</v>
      </c>
      <c r="B74" s="563" t="s">
        <v>1365</v>
      </c>
      <c r="C74" s="563"/>
      <c r="D74" s="553"/>
      <c r="E74" s="553"/>
      <c r="F74" s="21" t="s">
        <v>1369</v>
      </c>
    </row>
    <row r="75" spans="1:5" ht="24.75" customHeight="1">
      <c r="A75" s="592" t="s">
        <v>1370</v>
      </c>
      <c r="B75" s="563" t="s">
        <v>1367</v>
      </c>
      <c r="C75" s="563"/>
      <c r="D75" s="553"/>
      <c r="E75" s="553"/>
    </row>
    <row r="76" spans="1:5" ht="18.75">
      <c r="A76" s="98" t="s">
        <v>1297</v>
      </c>
      <c r="B76" s="552" t="s">
        <v>970</v>
      </c>
      <c r="C76" s="552">
        <f>SUM(C74:C75)</f>
        <v>0</v>
      </c>
      <c r="D76" s="552">
        <f>SUM(D74:D75)</f>
        <v>0</v>
      </c>
      <c r="E76" s="552">
        <f>SUM(E74:E75)</f>
        <v>0</v>
      </c>
    </row>
    <row r="77" spans="1:5" ht="24.75" customHeight="1">
      <c r="A77" s="580" t="s">
        <v>1292</v>
      </c>
      <c r="B77" s="579" t="s">
        <v>1334</v>
      </c>
      <c r="C77" s="579">
        <f>C76+C73+C72+C71+C70</f>
        <v>0</v>
      </c>
      <c r="D77" s="579">
        <f>D76+D73+D72+D71+D70</f>
        <v>0</v>
      </c>
      <c r="E77" s="579">
        <f>E76+E73+E72+E71+E70</f>
        <v>0</v>
      </c>
    </row>
    <row r="78" spans="1:10" ht="24.75" customHeight="1">
      <c r="A78" s="587" t="s">
        <v>1299</v>
      </c>
      <c r="B78" s="585" t="s">
        <v>70</v>
      </c>
      <c r="C78" s="579">
        <f>SUM(C77+C69+C66+C47+C43)</f>
        <v>0</v>
      </c>
      <c r="D78" s="579">
        <f>SUM(D77+D69+D66+D47+D43)</f>
        <v>0</v>
      </c>
      <c r="E78" s="579">
        <f>SUM(E77+E69+E66+E47+E43)</f>
        <v>0</v>
      </c>
      <c r="F78" s="560"/>
      <c r="G78" s="560"/>
      <c r="H78" s="560"/>
      <c r="I78" s="560"/>
      <c r="J78" s="560"/>
    </row>
    <row r="79" spans="1:10" ht="24.75" customHeight="1">
      <c r="A79" s="98" t="s">
        <v>1307</v>
      </c>
      <c r="B79" s="553" t="s">
        <v>1302</v>
      </c>
      <c r="C79" s="552"/>
      <c r="D79" s="552"/>
      <c r="E79" s="552"/>
      <c r="F79" s="560"/>
      <c r="G79" s="560"/>
      <c r="H79" s="560"/>
      <c r="I79" s="560"/>
      <c r="J79" s="560"/>
    </row>
    <row r="80" spans="1:10" ht="24.75" customHeight="1">
      <c r="A80" s="98" t="s">
        <v>1306</v>
      </c>
      <c r="B80" s="553" t="s">
        <v>1308</v>
      </c>
      <c r="C80" s="552"/>
      <c r="D80" s="552"/>
      <c r="E80" s="552"/>
      <c r="F80" s="560"/>
      <c r="G80" s="560"/>
      <c r="H80" s="560"/>
      <c r="I80" s="560"/>
      <c r="J80" s="560"/>
    </row>
    <row r="81" spans="1:10" ht="24.75" customHeight="1">
      <c r="A81" s="98"/>
      <c r="B81" s="97" t="s">
        <v>1304</v>
      </c>
      <c r="C81" s="552"/>
      <c r="D81" s="552"/>
      <c r="E81" s="552"/>
      <c r="F81" s="560"/>
      <c r="G81" s="560"/>
      <c r="H81" s="560"/>
      <c r="I81" s="560"/>
      <c r="J81" s="560"/>
    </row>
    <row r="82" spans="1:5" ht="18.75">
      <c r="A82" s="98"/>
      <c r="B82" s="97" t="s">
        <v>1303</v>
      </c>
      <c r="C82" s="377"/>
      <c r="D82" s="34"/>
      <c r="E82" s="34"/>
    </row>
    <row r="83" spans="1:5" ht="18.75">
      <c r="A83" s="98"/>
      <c r="B83" s="567" t="s">
        <v>1305</v>
      </c>
      <c r="C83" s="377"/>
      <c r="D83" s="34"/>
      <c r="E83" s="34"/>
    </row>
    <row r="84" spans="1:5" ht="25.5">
      <c r="A84" s="580" t="s">
        <v>1341</v>
      </c>
      <c r="B84" s="579" t="s">
        <v>1337</v>
      </c>
      <c r="C84" s="377">
        <f>SUM(C80:C83)</f>
        <v>0</v>
      </c>
      <c r="D84" s="377">
        <f>SUM(D80:D83)</f>
        <v>0</v>
      </c>
      <c r="E84" s="377">
        <f>SUM(E80:E83)</f>
        <v>0</v>
      </c>
    </row>
    <row r="85" spans="1:5" s="564" customFormat="1" ht="18.75">
      <c r="A85" s="587" t="s">
        <v>1336</v>
      </c>
      <c r="B85" s="587" t="s">
        <v>1340</v>
      </c>
      <c r="C85" s="574">
        <f>SUM(C79+C84)</f>
        <v>0</v>
      </c>
      <c r="D85" s="574">
        <f>SUM(D79+D84)</f>
        <v>0</v>
      </c>
      <c r="E85" s="574">
        <f>SUM(E79+E84)</f>
        <v>0</v>
      </c>
    </row>
    <row r="86" spans="1:5" ht="18.75">
      <c r="A86" s="97" t="s">
        <v>1309</v>
      </c>
      <c r="B86" s="553" t="s">
        <v>1113</v>
      </c>
      <c r="C86" s="553"/>
      <c r="D86" s="553"/>
      <c r="E86" s="553"/>
    </row>
    <row r="87" spans="1:5" s="382" customFormat="1" ht="15">
      <c r="A87" s="97" t="s">
        <v>1310</v>
      </c>
      <c r="B87" s="553" t="s">
        <v>1371</v>
      </c>
      <c r="C87" s="553"/>
      <c r="D87" s="553"/>
      <c r="E87" s="553"/>
    </row>
    <row r="88" spans="1:5" ht="18.75">
      <c r="A88" s="172" t="s">
        <v>1311</v>
      </c>
      <c r="B88" s="553" t="s">
        <v>1117</v>
      </c>
      <c r="C88" s="553"/>
      <c r="D88" s="553"/>
      <c r="E88" s="553"/>
    </row>
    <row r="89" spans="1:5" ht="24" customHeight="1">
      <c r="A89" s="172" t="s">
        <v>1312</v>
      </c>
      <c r="B89" s="553" t="s">
        <v>1118</v>
      </c>
      <c r="C89" s="553"/>
      <c r="D89" s="553"/>
      <c r="E89" s="553"/>
    </row>
    <row r="90" spans="1:5" ht="26.25" customHeight="1">
      <c r="A90" s="172" t="s">
        <v>1313</v>
      </c>
      <c r="B90" s="553" t="s">
        <v>1120</v>
      </c>
      <c r="C90" s="553"/>
      <c r="D90" s="553"/>
      <c r="E90" s="553"/>
    </row>
    <row r="91" spans="1:5" ht="26.25" customHeight="1">
      <c r="A91" s="172"/>
      <c r="B91" s="553" t="s">
        <v>1539</v>
      </c>
      <c r="C91" s="553"/>
      <c r="D91" s="553"/>
      <c r="E91" s="553">
        <v>152</v>
      </c>
    </row>
    <row r="92" spans="1:5" ht="25.5" customHeight="1">
      <c r="A92" s="172" t="s">
        <v>1314</v>
      </c>
      <c r="B92" s="553" t="s">
        <v>1126</v>
      </c>
      <c r="C92" s="553"/>
      <c r="D92" s="553"/>
      <c r="E92" s="553">
        <v>40</v>
      </c>
    </row>
    <row r="93" spans="1:5" ht="18.75">
      <c r="A93" s="584" t="s">
        <v>1315</v>
      </c>
      <c r="B93" s="585" t="s">
        <v>1339</v>
      </c>
      <c r="C93" s="552">
        <f>SUM(C86:C92)</f>
        <v>0</v>
      </c>
      <c r="D93" s="552">
        <f>SUM(D86:D92)</f>
        <v>0</v>
      </c>
      <c r="E93" s="552">
        <f>SUM(E86:E92)</f>
        <v>192</v>
      </c>
    </row>
    <row r="94" spans="1:5" ht="18.75">
      <c r="A94" s="172" t="s">
        <v>1316</v>
      </c>
      <c r="B94" s="553" t="s">
        <v>1130</v>
      </c>
      <c r="C94" s="553"/>
      <c r="D94" s="553"/>
      <c r="E94" s="553"/>
    </row>
    <row r="95" spans="1:5" ht="18.75">
      <c r="A95" s="172" t="s">
        <v>1317</v>
      </c>
      <c r="B95" s="553" t="s">
        <v>1132</v>
      </c>
      <c r="C95" s="553"/>
      <c r="D95" s="553"/>
      <c r="E95" s="553"/>
    </row>
    <row r="96" spans="1:5" ht="18.75">
      <c r="A96" s="172" t="s">
        <v>1318</v>
      </c>
      <c r="B96" s="553" t="s">
        <v>1134</v>
      </c>
      <c r="C96" s="553"/>
      <c r="D96" s="553"/>
      <c r="E96" s="553"/>
    </row>
    <row r="97" spans="1:5" ht="24" customHeight="1">
      <c r="A97" s="172" t="s">
        <v>1319</v>
      </c>
      <c r="B97" s="553" t="s">
        <v>1136</v>
      </c>
      <c r="C97" s="553"/>
      <c r="D97" s="553"/>
      <c r="E97" s="553"/>
    </row>
    <row r="98" spans="1:5" ht="18.75">
      <c r="A98" s="584" t="s">
        <v>1320</v>
      </c>
      <c r="B98" s="585" t="s">
        <v>1338</v>
      </c>
      <c r="C98" s="552">
        <f>SUM(C94:C97)</f>
        <v>0</v>
      </c>
      <c r="D98" s="552">
        <f>SUM(D94:D97)</f>
        <v>0</v>
      </c>
      <c r="E98" s="552">
        <f>SUM(E94:E97)</f>
        <v>0</v>
      </c>
    </row>
    <row r="99" spans="1:5" ht="25.5" customHeight="1">
      <c r="A99" s="172" t="s">
        <v>1323</v>
      </c>
      <c r="B99" s="555" t="s">
        <v>1325</v>
      </c>
      <c r="C99" s="555"/>
      <c r="D99" s="555"/>
      <c r="E99" s="555"/>
    </row>
    <row r="100" spans="1:5" ht="27" customHeight="1">
      <c r="A100" s="457" t="s">
        <v>1322</v>
      </c>
      <c r="B100" s="553" t="s">
        <v>1321</v>
      </c>
      <c r="C100" s="553"/>
      <c r="D100" s="553"/>
      <c r="E100" s="553"/>
    </row>
    <row r="101" spans="1:5" ht="18.75">
      <c r="A101" s="584" t="s">
        <v>1326</v>
      </c>
      <c r="B101" s="586" t="s">
        <v>1324</v>
      </c>
      <c r="C101" s="295">
        <f>SUM(C99:C100)</f>
        <v>0</v>
      </c>
      <c r="D101" s="295">
        <f>SUM(D99:D100)</f>
        <v>0</v>
      </c>
      <c r="E101" s="295">
        <f>SUM(E99:E100)</f>
        <v>0</v>
      </c>
    </row>
    <row r="102" spans="1:5" ht="18.75">
      <c r="A102" s="34"/>
      <c r="B102" s="36" t="s">
        <v>118</v>
      </c>
      <c r="C102" s="581">
        <f>SUM(C101+C98+C93+C85+C78+C29+C23)</f>
        <v>4944</v>
      </c>
      <c r="D102" s="581">
        <f>SUM(D101+D98+D93+D85+D78+D29+D23)</f>
        <v>0</v>
      </c>
      <c r="E102" s="581">
        <f>SUM(E101+E98+E93+E85+E78+E29+E23)</f>
        <v>5223</v>
      </c>
    </row>
  </sheetData>
  <sheetProtection/>
  <mergeCells count="1">
    <mergeCell ref="A2:E2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00B050"/>
  </sheetPr>
  <dimension ref="A1:H33"/>
  <sheetViews>
    <sheetView view="pageBreakPreview" zoomScale="60" zoomScalePageLayoutView="0" workbookViewId="0" topLeftCell="A1">
      <selection activeCell="H7" sqref="H7"/>
    </sheetView>
  </sheetViews>
  <sheetFormatPr defaultColWidth="8.66015625" defaultRowHeight="18"/>
  <cols>
    <col min="1" max="1" width="8.08203125" style="0" customWidth="1"/>
    <col min="2" max="2" width="23.25" style="0" customWidth="1"/>
    <col min="3" max="3" width="9" style="0" bestFit="1" customWidth="1"/>
    <col min="4" max="4" width="11.25" style="0" customWidth="1"/>
    <col min="7" max="7" width="9" style="0" bestFit="1" customWidth="1"/>
  </cols>
  <sheetData>
    <row r="1" spans="1:3" ht="18.75">
      <c r="A1" s="170"/>
      <c r="B1" s="30"/>
      <c r="C1" s="30"/>
    </row>
    <row r="2" spans="1:6" ht="18.75">
      <c r="A2" s="174">
        <v>890444</v>
      </c>
      <c r="B2" s="29" t="s">
        <v>583</v>
      </c>
      <c r="C2" s="238" t="s">
        <v>282</v>
      </c>
      <c r="D2" s="438">
        <v>41697</v>
      </c>
      <c r="E2" s="41" t="s">
        <v>626</v>
      </c>
      <c r="F2" s="41" t="s">
        <v>616</v>
      </c>
    </row>
    <row r="3" spans="1:6" ht="18.75">
      <c r="A3" s="170"/>
      <c r="B3" s="30"/>
      <c r="C3" s="97"/>
      <c r="D3" s="293"/>
      <c r="E3" s="41"/>
      <c r="F3" s="41"/>
    </row>
    <row r="4" spans="1:8" ht="18.75">
      <c r="A4" s="171">
        <v>511116</v>
      </c>
      <c r="B4" s="97" t="s">
        <v>500</v>
      </c>
      <c r="C4" s="97">
        <v>302</v>
      </c>
      <c r="D4" s="293">
        <v>1546</v>
      </c>
      <c r="E4" s="41"/>
      <c r="F4" s="41">
        <v>634</v>
      </c>
      <c r="G4">
        <f>2*79200*4</f>
        <v>633600</v>
      </c>
      <c r="H4" s="237" t="s">
        <v>637</v>
      </c>
    </row>
    <row r="5" spans="1:6" ht="18.75">
      <c r="A5" s="171"/>
      <c r="B5" s="97"/>
      <c r="C5" s="97"/>
      <c r="D5" s="293"/>
      <c r="E5" s="172"/>
      <c r="F5" s="41"/>
    </row>
    <row r="6" spans="1:6" ht="18.75">
      <c r="A6" s="171"/>
      <c r="B6" s="98" t="s">
        <v>149</v>
      </c>
      <c r="C6" s="98">
        <f>SUM(C4:C5)</f>
        <v>302</v>
      </c>
      <c r="D6" s="351">
        <f>SUM(D4:D5)</f>
        <v>1546</v>
      </c>
      <c r="E6" s="351">
        <f>SUM(E4:E5)</f>
        <v>0</v>
      </c>
      <c r="F6" s="351">
        <f>SUM(F4:F5)</f>
        <v>634</v>
      </c>
    </row>
    <row r="7" spans="1:6" ht="18.75">
      <c r="A7" s="171"/>
      <c r="B7" s="98"/>
      <c r="C7" s="97"/>
      <c r="D7" s="293"/>
      <c r="E7" s="41"/>
      <c r="F7" s="41"/>
    </row>
    <row r="8" spans="1:6" ht="18.75">
      <c r="A8" s="171">
        <v>53115</v>
      </c>
      <c r="B8" s="97" t="s">
        <v>309</v>
      </c>
      <c r="C8" s="97">
        <f>C4*13.5%</f>
        <v>40.77</v>
      </c>
      <c r="D8" s="460">
        <f>D6*13.5%</f>
        <v>208.71</v>
      </c>
      <c r="E8" s="41"/>
      <c r="F8" s="359">
        <f>F6*13.5%</f>
        <v>85.59</v>
      </c>
    </row>
    <row r="9" spans="1:6" ht="18.75">
      <c r="A9" s="171"/>
      <c r="B9" s="98" t="s">
        <v>499</v>
      </c>
      <c r="C9" s="98">
        <f>SUM(C8:C8)</f>
        <v>40.77</v>
      </c>
      <c r="D9" s="351">
        <f>SUM(D8:D8)</f>
        <v>208.71</v>
      </c>
      <c r="E9" s="351">
        <f>SUM(E8:E8)</f>
        <v>0</v>
      </c>
      <c r="F9" s="351">
        <f>SUM(F8:F8)</f>
        <v>85.59</v>
      </c>
    </row>
    <row r="10" spans="1:6" ht="18.75">
      <c r="A10" s="171"/>
      <c r="B10" s="97"/>
      <c r="C10" s="97"/>
      <c r="D10" s="293"/>
      <c r="E10" s="41"/>
      <c r="F10" s="41"/>
    </row>
    <row r="11" spans="1:6" ht="18.75">
      <c r="A11" s="171">
        <v>54913</v>
      </c>
      <c r="B11" s="97" t="s">
        <v>32</v>
      </c>
      <c r="C11" s="97"/>
      <c r="D11" s="293"/>
      <c r="E11" s="41"/>
      <c r="F11" s="41"/>
    </row>
    <row r="12" spans="1:6" ht="18.75">
      <c r="A12" s="171">
        <v>552181</v>
      </c>
      <c r="B12" s="97" t="s">
        <v>498</v>
      </c>
      <c r="C12" s="97"/>
      <c r="D12" s="293"/>
      <c r="E12" s="41"/>
      <c r="F12" s="41"/>
    </row>
    <row r="13" spans="1:6" ht="18.75">
      <c r="A13" s="171"/>
      <c r="B13" s="98" t="s">
        <v>497</v>
      </c>
      <c r="C13" s="98">
        <f>SUM(C11:C12)</f>
        <v>0</v>
      </c>
      <c r="D13" s="351">
        <f>SUM(D11:D12)</f>
        <v>0</v>
      </c>
      <c r="E13" s="41"/>
      <c r="F13" s="41"/>
    </row>
    <row r="14" spans="1:6" ht="18.75">
      <c r="A14" s="171"/>
      <c r="B14" s="97"/>
      <c r="C14" s="97"/>
      <c r="D14" s="293"/>
      <c r="E14" s="41"/>
      <c r="F14" s="41"/>
    </row>
    <row r="15" spans="1:6" ht="18.75">
      <c r="A15" s="171">
        <v>55215</v>
      </c>
      <c r="B15" s="97" t="s">
        <v>496</v>
      </c>
      <c r="C15" s="97"/>
      <c r="D15" s="293"/>
      <c r="E15" s="41"/>
      <c r="F15" s="41"/>
    </row>
    <row r="16" spans="1:6" ht="18.75">
      <c r="A16" s="171">
        <v>55217</v>
      </c>
      <c r="B16" s="97" t="s">
        <v>495</v>
      </c>
      <c r="C16" s="97"/>
      <c r="D16" s="293"/>
      <c r="E16" s="41"/>
      <c r="F16" s="41"/>
    </row>
    <row r="17" spans="1:6" ht="18.75">
      <c r="A17" s="171"/>
      <c r="B17" s="98" t="s">
        <v>64</v>
      </c>
      <c r="C17" s="98">
        <f>SUM(C15:C16)</f>
        <v>0</v>
      </c>
      <c r="D17" s="351">
        <f>SUM(D15:D16)</f>
        <v>0</v>
      </c>
      <c r="E17" s="41"/>
      <c r="F17" s="41"/>
    </row>
    <row r="18" spans="1:6" ht="18.75">
      <c r="A18" s="171"/>
      <c r="B18" s="97"/>
      <c r="C18" s="97"/>
      <c r="D18" s="293"/>
      <c r="E18" s="41"/>
      <c r="F18" s="41"/>
    </row>
    <row r="19" spans="1:6" ht="18.75">
      <c r="A19" s="171">
        <v>56111</v>
      </c>
      <c r="B19" s="97" t="s">
        <v>494</v>
      </c>
      <c r="C19" s="97">
        <f>C13*27%</f>
        <v>0</v>
      </c>
      <c r="D19" s="293"/>
      <c r="E19" s="41"/>
      <c r="F19" s="41"/>
    </row>
    <row r="20" spans="1:6" ht="18.75">
      <c r="A20" s="171"/>
      <c r="B20" s="98" t="s">
        <v>493</v>
      </c>
      <c r="C20" s="98">
        <f>SUM(C19)</f>
        <v>0</v>
      </c>
      <c r="D20" s="351">
        <f>SUM(D19)</f>
        <v>0</v>
      </c>
      <c r="E20" s="41"/>
      <c r="F20" s="41"/>
    </row>
    <row r="21" spans="1:6" ht="18.75">
      <c r="A21" s="171"/>
      <c r="B21" s="97"/>
      <c r="C21" s="97"/>
      <c r="D21" s="293"/>
      <c r="E21" s="41"/>
      <c r="F21" s="41"/>
    </row>
    <row r="22" spans="1:6" ht="18.75">
      <c r="A22" s="171"/>
      <c r="B22" s="98" t="s">
        <v>29</v>
      </c>
      <c r="C22" s="98">
        <f>SUM(C20,C17,C13)</f>
        <v>0</v>
      </c>
      <c r="D22" s="351">
        <f>SUM(D20,D17,D13)</f>
        <v>0</v>
      </c>
      <c r="E22" s="41"/>
      <c r="F22" s="41"/>
    </row>
    <row r="23" spans="1:6" ht="18.75">
      <c r="A23" s="171"/>
      <c r="B23" s="98"/>
      <c r="C23" s="97"/>
      <c r="D23" s="293"/>
      <c r="E23" s="41"/>
      <c r="F23" s="41"/>
    </row>
    <row r="24" spans="1:6" ht="18.75">
      <c r="A24" s="171"/>
      <c r="B24" s="97"/>
      <c r="C24" s="97"/>
      <c r="D24" s="293"/>
      <c r="E24" s="41"/>
      <c r="F24" s="41"/>
    </row>
    <row r="25" spans="1:6" ht="18.75">
      <c r="A25" s="171"/>
      <c r="B25" s="98" t="s">
        <v>0</v>
      </c>
      <c r="C25" s="98">
        <f>SUM(C6+C9+C22)</f>
        <v>342.77</v>
      </c>
      <c r="D25" s="351">
        <f>SUM(D6+D9+D22)</f>
        <v>1754.71</v>
      </c>
      <c r="E25" s="351">
        <f>SUM(E6+E9+E22)</f>
        <v>0</v>
      </c>
      <c r="F25" s="351">
        <f>SUM(F6+F9+F22)</f>
        <v>719.59</v>
      </c>
    </row>
    <row r="26" spans="1:6" ht="18.75">
      <c r="A26" s="171"/>
      <c r="B26" s="98"/>
      <c r="C26" s="97"/>
      <c r="D26" s="293"/>
      <c r="E26" s="41"/>
      <c r="F26" s="41"/>
    </row>
    <row r="27" spans="1:6" ht="18.75">
      <c r="A27" s="171"/>
      <c r="B27" s="98"/>
      <c r="C27" s="97"/>
      <c r="D27" s="293"/>
      <c r="E27" s="41"/>
      <c r="F27" s="41"/>
    </row>
    <row r="28" spans="1:6" ht="18.75">
      <c r="A28" s="171">
        <v>46414</v>
      </c>
      <c r="B28" s="98" t="s">
        <v>228</v>
      </c>
      <c r="C28" s="97">
        <f>C25*100%</f>
        <v>342.77</v>
      </c>
      <c r="D28" s="350">
        <f>D25*100%</f>
        <v>1754.71</v>
      </c>
      <c r="E28" s="41"/>
      <c r="F28" s="41">
        <v>720</v>
      </c>
    </row>
    <row r="29" spans="1:6" ht="18.75">
      <c r="A29" s="171"/>
      <c r="B29" s="97"/>
      <c r="C29" s="97"/>
      <c r="D29" s="293"/>
      <c r="E29" s="41"/>
      <c r="F29" s="41"/>
    </row>
    <row r="30" spans="1:6" ht="18.75">
      <c r="A30" s="171"/>
      <c r="B30" s="98" t="s">
        <v>492</v>
      </c>
      <c r="C30" s="98">
        <f>SUM(C28)</f>
        <v>342.77</v>
      </c>
      <c r="D30" s="351">
        <f>SUM(D28)</f>
        <v>1754.71</v>
      </c>
      <c r="E30" s="351">
        <f>SUM(E28)</f>
        <v>0</v>
      </c>
      <c r="F30" s="351">
        <f>SUM(F28)</f>
        <v>720</v>
      </c>
    </row>
    <row r="31" spans="1:6" ht="18.75">
      <c r="A31" s="171"/>
      <c r="B31" s="97"/>
      <c r="C31" s="97"/>
      <c r="E31" s="41"/>
      <c r="F31" s="41"/>
    </row>
    <row r="32" spans="1:6" ht="18.75">
      <c r="A32" s="171"/>
      <c r="B32" s="97"/>
      <c r="C32" s="97"/>
      <c r="E32" s="41"/>
      <c r="F32" s="41"/>
    </row>
    <row r="33" spans="1:6" ht="18.75">
      <c r="A33" s="171"/>
      <c r="B33" s="97"/>
      <c r="C33" s="97"/>
      <c r="E33" s="41"/>
      <c r="F33" s="41"/>
    </row>
  </sheetData>
  <sheetProtection/>
  <printOptions/>
  <pageMargins left="0.7" right="0.7" top="0.75" bottom="0.75" header="0.3" footer="0.3"/>
  <pageSetup horizontalDpi="300" verticalDpi="300" orientation="portrait" paperSize="9" scale="70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C00000"/>
  </sheetPr>
  <dimension ref="A2:J102"/>
  <sheetViews>
    <sheetView zoomScalePageLayoutView="0" workbookViewId="0" topLeftCell="A79">
      <selection activeCell="F6" sqref="F6:H7"/>
    </sheetView>
  </sheetViews>
  <sheetFormatPr defaultColWidth="8.41015625" defaultRowHeight="18"/>
  <cols>
    <col min="1" max="1" width="8.41015625" style="21" customWidth="1"/>
    <col min="2" max="2" width="29.41015625" style="21" customWidth="1"/>
    <col min="3" max="3" width="8" style="382" customWidth="1"/>
    <col min="4" max="4" width="7.33203125" style="21" customWidth="1"/>
    <col min="5" max="5" width="7.75" style="21" customWidth="1"/>
    <col min="6" max="249" width="7.08203125" style="21" customWidth="1"/>
    <col min="250" max="16384" width="8.41015625" style="21" customWidth="1"/>
  </cols>
  <sheetData>
    <row r="2" spans="1:5" ht="18.75">
      <c r="A2" s="620" t="s">
        <v>1331</v>
      </c>
      <c r="B2" s="620"/>
      <c r="C2" s="620"/>
      <c r="D2" s="620"/>
      <c r="E2" s="620"/>
    </row>
    <row r="3" ht="19.5" thickBot="1">
      <c r="C3" s="243"/>
    </row>
    <row r="4" spans="1:5" ht="19.5" thickBot="1">
      <c r="A4" s="244">
        <v>890444</v>
      </c>
      <c r="B4" s="245" t="s">
        <v>1408</v>
      </c>
      <c r="C4" s="421" t="s">
        <v>616</v>
      </c>
      <c r="D4" s="41" t="s">
        <v>626</v>
      </c>
      <c r="E4" s="34">
        <v>2016</v>
      </c>
    </row>
    <row r="5" spans="1:5" ht="19.5" thickBot="1">
      <c r="A5" s="210" t="s">
        <v>1407</v>
      </c>
      <c r="B5" s="210"/>
      <c r="C5" s="295"/>
      <c r="D5" s="34"/>
      <c r="E5" s="34"/>
    </row>
    <row r="6" spans="1:5" ht="18.75">
      <c r="A6" s="249" t="s">
        <v>819</v>
      </c>
      <c r="B6" s="250" t="s">
        <v>1238</v>
      </c>
      <c r="C6" s="376">
        <v>634</v>
      </c>
      <c r="D6" s="565"/>
      <c r="E6" s="565">
        <v>2771</v>
      </c>
    </row>
    <row r="7" spans="1:5" ht="18.75">
      <c r="A7" s="253" t="s">
        <v>822</v>
      </c>
      <c r="B7" s="254" t="s">
        <v>821</v>
      </c>
      <c r="C7" s="377"/>
      <c r="D7" s="34"/>
      <c r="E7" s="34"/>
    </row>
    <row r="8" spans="1:5" ht="18.75">
      <c r="A8" s="253" t="s">
        <v>823</v>
      </c>
      <c r="B8" s="254" t="s">
        <v>820</v>
      </c>
      <c r="C8" s="377"/>
      <c r="D8" s="34"/>
      <c r="E8" s="381"/>
    </row>
    <row r="9" spans="1:5" ht="18.75">
      <c r="A9" s="253" t="s">
        <v>825</v>
      </c>
      <c r="B9" s="254" t="s">
        <v>824</v>
      </c>
      <c r="C9" s="377"/>
      <c r="D9" s="34"/>
      <c r="E9" s="34"/>
    </row>
    <row r="10" spans="1:5" ht="18.75">
      <c r="A10" s="253" t="s">
        <v>826</v>
      </c>
      <c r="B10" s="260" t="s">
        <v>1239</v>
      </c>
      <c r="C10" s="377"/>
      <c r="D10" s="34"/>
      <c r="E10" s="34"/>
    </row>
    <row r="11" spans="1:5" ht="18.75">
      <c r="A11" s="253" t="s">
        <v>1233</v>
      </c>
      <c r="B11" s="260" t="s">
        <v>1240</v>
      </c>
      <c r="C11" s="378"/>
      <c r="D11" s="34"/>
      <c r="E11" s="34"/>
    </row>
    <row r="12" spans="1:5" ht="18.75">
      <c r="A12" s="253" t="s">
        <v>1241</v>
      </c>
      <c r="B12" s="262" t="s">
        <v>1234</v>
      </c>
      <c r="C12" s="377"/>
      <c r="D12" s="34"/>
      <c r="E12" s="34"/>
    </row>
    <row r="13" spans="1:5" ht="18.75">
      <c r="A13" s="253" t="s">
        <v>1242</v>
      </c>
      <c r="B13" s="262" t="s">
        <v>1235</v>
      </c>
      <c r="C13" s="377"/>
      <c r="D13" s="34"/>
      <c r="E13" s="34"/>
    </row>
    <row r="14" spans="1:5" ht="18.75">
      <c r="A14" s="253" t="s">
        <v>1243</v>
      </c>
      <c r="B14" s="254" t="s">
        <v>528</v>
      </c>
      <c r="C14" s="377"/>
      <c r="D14" s="34"/>
      <c r="E14" s="34"/>
    </row>
    <row r="15" spans="1:5" ht="18.75">
      <c r="A15" s="253" t="s">
        <v>1244</v>
      </c>
      <c r="B15" s="254" t="s">
        <v>1236</v>
      </c>
      <c r="C15" s="377"/>
      <c r="D15" s="34"/>
      <c r="E15" s="34"/>
    </row>
    <row r="16" spans="1:5" ht="19.5" thickBot="1">
      <c r="A16" s="264" t="s">
        <v>1245</v>
      </c>
      <c r="B16" s="265" t="s">
        <v>791</v>
      </c>
      <c r="C16" s="377"/>
      <c r="D16" s="34"/>
      <c r="E16" s="34"/>
    </row>
    <row r="17" spans="1:5" ht="19.5" thickBot="1">
      <c r="A17" s="568" t="s">
        <v>1327</v>
      </c>
      <c r="B17" s="569" t="s">
        <v>1249</v>
      </c>
      <c r="C17" s="379">
        <f>SUM(C6:C16)</f>
        <v>634</v>
      </c>
      <c r="D17" s="379">
        <f>SUM(D6:D16)</f>
        <v>0</v>
      </c>
      <c r="E17" s="379">
        <f>SUM(E6:E16)</f>
        <v>2771</v>
      </c>
    </row>
    <row r="18" spans="1:5" ht="19.5" thickBot="1">
      <c r="A18" s="557" t="s">
        <v>1329</v>
      </c>
      <c r="B18" s="558" t="s">
        <v>1248</v>
      </c>
      <c r="C18" s="377"/>
      <c r="D18" s="34"/>
      <c r="E18" s="34"/>
    </row>
    <row r="19" spans="1:5" ht="19.5" thickBot="1">
      <c r="A19" s="557" t="s">
        <v>1328</v>
      </c>
      <c r="B19" s="558" t="s">
        <v>1246</v>
      </c>
      <c r="C19" s="377"/>
      <c r="D19" s="34"/>
      <c r="E19" s="34"/>
    </row>
    <row r="20" spans="1:5" ht="19.5" thickBot="1">
      <c r="A20" s="557" t="s">
        <v>1253</v>
      </c>
      <c r="B20" s="558" t="s">
        <v>19</v>
      </c>
      <c r="C20" s="377"/>
      <c r="D20" s="34"/>
      <c r="E20" s="34"/>
    </row>
    <row r="21" spans="1:5" ht="19.5" thickBot="1">
      <c r="A21" s="557" t="s">
        <v>1254</v>
      </c>
      <c r="B21" s="558" t="s">
        <v>889</v>
      </c>
      <c r="C21" s="377"/>
      <c r="D21" s="34"/>
      <c r="E21" s="34"/>
    </row>
    <row r="22" spans="1:5" ht="19.5" thickBot="1">
      <c r="A22" s="568" t="s">
        <v>1330</v>
      </c>
      <c r="B22" s="569" t="s">
        <v>1247</v>
      </c>
      <c r="C22" s="377">
        <f>SUM(C18:C21)</f>
        <v>0</v>
      </c>
      <c r="D22" s="377">
        <f>SUM(D18:D21)</f>
        <v>0</v>
      </c>
      <c r="E22" s="377">
        <f>SUM(E18:E21)</f>
        <v>0</v>
      </c>
    </row>
    <row r="23" spans="1:5" ht="27" customHeight="1" thickBot="1">
      <c r="A23" s="268" t="s">
        <v>1250</v>
      </c>
      <c r="B23" s="269" t="s">
        <v>1237</v>
      </c>
      <c r="C23" s="379">
        <f>SUM(C22,C17)</f>
        <v>634</v>
      </c>
      <c r="D23" s="379">
        <f>SUM(D22,D17)</f>
        <v>0</v>
      </c>
      <c r="E23" s="379">
        <f>SUM(E22,E17)</f>
        <v>2771</v>
      </c>
    </row>
    <row r="24" spans="1:5" ht="19.5" thickBot="1">
      <c r="A24" s="270"/>
      <c r="B24" s="271"/>
      <c r="C24" s="377"/>
      <c r="D24" s="34"/>
      <c r="E24" s="34"/>
    </row>
    <row r="25" spans="1:5" ht="18.75">
      <c r="A25" s="272" t="s">
        <v>1255</v>
      </c>
      <c r="B25" s="97" t="s">
        <v>590</v>
      </c>
      <c r="C25" s="275">
        <v>86</v>
      </c>
      <c r="D25" s="44"/>
      <c r="E25" s="34">
        <v>374</v>
      </c>
    </row>
    <row r="26" spans="1:5" ht="18.75">
      <c r="A26" s="559" t="s">
        <v>1256</v>
      </c>
      <c r="B26" s="97" t="s">
        <v>1251</v>
      </c>
      <c r="C26" s="275"/>
      <c r="D26" s="44"/>
      <c r="E26" s="34"/>
    </row>
    <row r="27" spans="1:5" ht="18.75">
      <c r="A27" s="276" t="s">
        <v>1252</v>
      </c>
      <c r="B27" s="255" t="s">
        <v>4</v>
      </c>
      <c r="C27" s="378"/>
      <c r="D27" s="34"/>
      <c r="E27" s="34"/>
    </row>
    <row r="28" spans="1:5" ht="19.5" thickBot="1">
      <c r="A28" s="462" t="s">
        <v>1257</v>
      </c>
      <c r="B28" s="255" t="s">
        <v>635</v>
      </c>
      <c r="C28" s="378"/>
      <c r="D28" s="34"/>
      <c r="E28" s="34"/>
    </row>
    <row r="29" spans="1:5" ht="19.5" thickBot="1">
      <c r="A29" s="582" t="s">
        <v>1258</v>
      </c>
      <c r="B29" s="583" t="s">
        <v>69</v>
      </c>
      <c r="C29" s="378">
        <f>SUM(C25:C28)</f>
        <v>86</v>
      </c>
      <c r="D29" s="378">
        <f>SUM(D25:D28)</f>
        <v>0</v>
      </c>
      <c r="E29" s="378">
        <f>SUM(E25:E28)</f>
        <v>374</v>
      </c>
    </row>
    <row r="30" spans="1:5" ht="19.5" thickBot="1">
      <c r="A30" s="282"/>
      <c r="B30" s="283"/>
      <c r="C30" s="377"/>
      <c r="D30" s="34"/>
      <c r="E30" s="34"/>
    </row>
    <row r="31" spans="1:5" ht="18.75">
      <c r="A31" s="249" t="s">
        <v>1259</v>
      </c>
      <c r="B31" s="291" t="s">
        <v>533</v>
      </c>
      <c r="C31" s="377"/>
      <c r="D31" s="34"/>
      <c r="E31" s="34"/>
    </row>
    <row r="32" spans="1:5" ht="18.75">
      <c r="A32" s="253" t="s">
        <v>1260</v>
      </c>
      <c r="B32" s="254" t="s">
        <v>534</v>
      </c>
      <c r="C32" s="377"/>
      <c r="D32" s="41"/>
      <c r="E32" s="34"/>
    </row>
    <row r="33" spans="1:5" ht="18.75">
      <c r="A33" s="253" t="s">
        <v>1262</v>
      </c>
      <c r="B33" s="254" t="s">
        <v>1261</v>
      </c>
      <c r="C33" s="377"/>
      <c r="D33" s="41"/>
      <c r="E33" s="34"/>
    </row>
    <row r="34" spans="1:5" ht="18.75">
      <c r="A34" s="253" t="s">
        <v>1263</v>
      </c>
      <c r="B34" s="254" t="s">
        <v>124</v>
      </c>
      <c r="C34" s="377"/>
      <c r="D34" s="41"/>
      <c r="E34" s="34"/>
    </row>
    <row r="35" spans="1:5" ht="18.75">
      <c r="A35" s="253" t="s">
        <v>1264</v>
      </c>
      <c r="B35" s="254" t="s">
        <v>1265</v>
      </c>
      <c r="C35" s="570"/>
      <c r="D35" s="41"/>
      <c r="E35" s="34"/>
    </row>
    <row r="36" spans="1:5" ht="18.75">
      <c r="A36" s="253" t="s">
        <v>1335</v>
      </c>
      <c r="B36" s="562" t="s">
        <v>548</v>
      </c>
      <c r="C36" s="570">
        <f>SUM(C31:C35)</f>
        <v>0</v>
      </c>
      <c r="D36" s="570">
        <f>SUM(D31:D35)</f>
        <v>0</v>
      </c>
      <c r="E36" s="570">
        <f>SUM(E31:E35)</f>
        <v>0</v>
      </c>
    </row>
    <row r="37" spans="1:5" ht="18.75">
      <c r="A37" s="253" t="s">
        <v>1342</v>
      </c>
      <c r="B37" s="254" t="s">
        <v>1343</v>
      </c>
      <c r="C37" s="570"/>
      <c r="D37" s="570"/>
      <c r="E37" s="570"/>
    </row>
    <row r="38" spans="1:5" ht="18.75">
      <c r="A38" s="253" t="s">
        <v>1344</v>
      </c>
      <c r="B38" s="254" t="s">
        <v>1267</v>
      </c>
      <c r="C38" s="570"/>
      <c r="D38" s="34"/>
      <c r="E38" s="34"/>
    </row>
    <row r="39" spans="1:5" ht="18.75">
      <c r="A39" s="253" t="s">
        <v>1345</v>
      </c>
      <c r="B39" s="254" t="s">
        <v>88</v>
      </c>
      <c r="C39" s="570"/>
      <c r="D39" s="34"/>
      <c r="E39" s="34"/>
    </row>
    <row r="40" spans="1:5" ht="18.75">
      <c r="A40" s="253" t="s">
        <v>1346</v>
      </c>
      <c r="B40" s="254" t="s">
        <v>1268</v>
      </c>
      <c r="C40" s="377"/>
      <c r="D40" s="34"/>
      <c r="E40" s="34">
        <v>108</v>
      </c>
    </row>
    <row r="41" spans="1:5" ht="19.5" thickBot="1">
      <c r="A41" s="288" t="s">
        <v>1347</v>
      </c>
      <c r="B41" s="289" t="s">
        <v>1269</v>
      </c>
      <c r="C41" s="377"/>
      <c r="D41" s="34"/>
      <c r="E41" s="34"/>
    </row>
    <row r="42" spans="1:5" ht="17.25" customHeight="1" thickBot="1">
      <c r="A42" s="268" t="s">
        <v>1266</v>
      </c>
      <c r="B42" s="571" t="s">
        <v>1270</v>
      </c>
      <c r="C42" s="377">
        <f>SUM(C37:C41)</f>
        <v>0</v>
      </c>
      <c r="D42" s="377">
        <f>SUM(D38:D41)</f>
        <v>0</v>
      </c>
      <c r="E42" s="377">
        <f>SUM(E38:E41)</f>
        <v>108</v>
      </c>
    </row>
    <row r="43" spans="1:5" ht="22.5" customHeight="1" thickBot="1">
      <c r="A43" s="572" t="s">
        <v>1300</v>
      </c>
      <c r="B43" s="573" t="s">
        <v>595</v>
      </c>
      <c r="C43" s="574">
        <f>SUM(C42,C36)</f>
        <v>0</v>
      </c>
      <c r="D43" s="574">
        <f>SUM(D42,D36)</f>
        <v>0</v>
      </c>
      <c r="E43" s="574">
        <f>SUM(E42,E36)</f>
        <v>108</v>
      </c>
    </row>
    <row r="44" spans="1:5" ht="18.75">
      <c r="A44" s="249" t="s">
        <v>1271</v>
      </c>
      <c r="B44" s="291" t="s">
        <v>1348</v>
      </c>
      <c r="C44" s="377"/>
      <c r="D44" s="34"/>
      <c r="E44" s="34"/>
    </row>
    <row r="45" spans="1:5" ht="18.75">
      <c r="A45" s="494" t="s">
        <v>1350</v>
      </c>
      <c r="B45" s="590" t="s">
        <v>1351</v>
      </c>
      <c r="C45" s="377"/>
      <c r="D45" s="34"/>
      <c r="E45" s="34"/>
    </row>
    <row r="46" spans="1:5" ht="18.75">
      <c r="A46" s="253" t="s">
        <v>1272</v>
      </c>
      <c r="B46" s="254" t="s">
        <v>1349</v>
      </c>
      <c r="C46" s="295"/>
      <c r="D46" s="566"/>
      <c r="E46" s="34"/>
    </row>
    <row r="47" spans="1:5" ht="18.75">
      <c r="A47" s="575" t="s">
        <v>1301</v>
      </c>
      <c r="B47" s="576" t="s">
        <v>1366</v>
      </c>
      <c r="C47" s="577">
        <f>SUM(C44:C46)</f>
        <v>0</v>
      </c>
      <c r="D47" s="577">
        <f>SUM(D44:D46)</f>
        <v>0</v>
      </c>
      <c r="E47" s="577">
        <f>SUM(E44:E46)</f>
        <v>0</v>
      </c>
    </row>
    <row r="48" spans="1:5" ht="18.75">
      <c r="A48" s="253" t="s">
        <v>1275</v>
      </c>
      <c r="B48" s="254" t="s">
        <v>544</v>
      </c>
      <c r="C48" s="295"/>
      <c r="D48" s="566"/>
      <c r="E48" s="34"/>
    </row>
    <row r="49" spans="1:5" ht="18.75">
      <c r="A49" s="253" t="s">
        <v>1274</v>
      </c>
      <c r="B49" s="254" t="s">
        <v>543</v>
      </c>
      <c r="C49" s="295"/>
      <c r="D49" s="34"/>
      <c r="E49" s="34"/>
    </row>
    <row r="50" spans="1:5" ht="18.75">
      <c r="A50" s="253" t="s">
        <v>1276</v>
      </c>
      <c r="B50" s="254" t="s">
        <v>503</v>
      </c>
      <c r="C50" s="295"/>
      <c r="D50" s="34"/>
      <c r="E50" s="34"/>
    </row>
    <row r="51" spans="1:5" ht="18.75">
      <c r="A51" s="575" t="s">
        <v>1273</v>
      </c>
      <c r="B51" s="576" t="s">
        <v>1277</v>
      </c>
      <c r="C51" s="577">
        <f>SUM(C48:C50)</f>
        <v>0</v>
      </c>
      <c r="D51" s="577">
        <f>SUM(D48:D50)</f>
        <v>0</v>
      </c>
      <c r="E51" s="577">
        <f>SUM(E48:E50)</f>
        <v>0</v>
      </c>
    </row>
    <row r="52" spans="1:5" ht="18.75">
      <c r="A52" s="253" t="s">
        <v>1332</v>
      </c>
      <c r="B52" s="254" t="s">
        <v>1278</v>
      </c>
      <c r="C52" s="295"/>
      <c r="D52" s="34"/>
      <c r="E52" s="34"/>
    </row>
    <row r="53" spans="1:5" ht="18.75">
      <c r="A53" s="253" t="s">
        <v>1280</v>
      </c>
      <c r="B53" s="254" t="s">
        <v>26</v>
      </c>
      <c r="C53" s="295"/>
      <c r="D53" s="41"/>
      <c r="E53" s="34"/>
    </row>
    <row r="54" spans="1:5" ht="18.75">
      <c r="A54" s="253" t="s">
        <v>1281</v>
      </c>
      <c r="B54" s="254" t="s">
        <v>1352</v>
      </c>
      <c r="C54" s="377"/>
      <c r="D54" s="34"/>
      <c r="E54" s="34"/>
    </row>
    <row r="55" spans="1:5" ht="18.75">
      <c r="A55" s="575" t="s">
        <v>1283</v>
      </c>
      <c r="B55" s="576" t="s">
        <v>1282</v>
      </c>
      <c r="C55" s="574">
        <f>SUM(C53:C54)</f>
        <v>0</v>
      </c>
      <c r="D55" s="574">
        <f>SUM(D53:D54)</f>
        <v>0</v>
      </c>
      <c r="E55" s="574">
        <f>SUM(E53:E54)</f>
        <v>0</v>
      </c>
    </row>
    <row r="56" spans="1:5" ht="18.75">
      <c r="A56" s="575" t="s">
        <v>1284</v>
      </c>
      <c r="B56" s="588" t="s">
        <v>1333</v>
      </c>
      <c r="C56" s="589"/>
      <c r="D56" s="589"/>
      <c r="E56" s="589"/>
    </row>
    <row r="57" spans="1:5" ht="18.75">
      <c r="A57" s="288"/>
      <c r="B57" s="554" t="s">
        <v>943</v>
      </c>
      <c r="C57" s="554"/>
      <c r="D57" s="554"/>
      <c r="E57" s="554"/>
    </row>
    <row r="58" spans="1:5" ht="18.75">
      <c r="A58" s="288" t="s">
        <v>1353</v>
      </c>
      <c r="B58" s="554" t="s">
        <v>547</v>
      </c>
      <c r="C58" s="554"/>
      <c r="D58" s="554"/>
      <c r="E58" s="554"/>
    </row>
    <row r="59" spans="1:5" ht="18.75">
      <c r="A59" s="288" t="s">
        <v>1354</v>
      </c>
      <c r="B59" s="554" t="s">
        <v>1355</v>
      </c>
      <c r="C59" s="554"/>
      <c r="D59" s="554"/>
      <c r="E59" s="554"/>
    </row>
    <row r="60" spans="1:5" ht="27" customHeight="1">
      <c r="A60" s="561" t="s">
        <v>1285</v>
      </c>
      <c r="B60" s="552" t="s">
        <v>945</v>
      </c>
      <c r="C60" s="591">
        <f>SUM(C58:C59)</f>
        <v>0</v>
      </c>
      <c r="D60" s="591">
        <f>SUM(D58:D59)</f>
        <v>0</v>
      </c>
      <c r="E60" s="591">
        <f>SUM(E58:E59)</f>
        <v>0</v>
      </c>
    </row>
    <row r="61" spans="1:5" ht="23.25" customHeight="1">
      <c r="A61" s="462" t="s">
        <v>1356</v>
      </c>
      <c r="B61" s="553" t="s">
        <v>1362</v>
      </c>
      <c r="C61" s="591"/>
      <c r="D61" s="591"/>
      <c r="E61" s="591"/>
    </row>
    <row r="62" spans="1:5" ht="23.25" customHeight="1">
      <c r="A62" s="462" t="s">
        <v>1357</v>
      </c>
      <c r="B62" s="553" t="s">
        <v>1358</v>
      </c>
      <c r="C62" s="591"/>
      <c r="D62" s="591"/>
      <c r="E62" s="591"/>
    </row>
    <row r="63" spans="1:5" ht="23.25" customHeight="1">
      <c r="A63" s="462" t="s">
        <v>1359</v>
      </c>
      <c r="B63" s="553" t="s">
        <v>9</v>
      </c>
      <c r="C63" s="591"/>
      <c r="D63" s="591"/>
      <c r="E63" s="591"/>
    </row>
    <row r="64" spans="1:6" ht="23.25" customHeight="1" thickBot="1">
      <c r="A64" s="462" t="s">
        <v>1360</v>
      </c>
      <c r="B64" s="553" t="s">
        <v>1361</v>
      </c>
      <c r="C64" s="591"/>
      <c r="D64" s="591"/>
      <c r="E64" s="591"/>
      <c r="F64" s="21" t="s">
        <v>1368</v>
      </c>
    </row>
    <row r="65" spans="1:5" ht="17.25" customHeight="1" thickBot="1">
      <c r="A65" s="298" t="s">
        <v>1286</v>
      </c>
      <c r="B65" s="552" t="s">
        <v>948</v>
      </c>
      <c r="C65" s="591">
        <f>SUM(C61:C64)</f>
        <v>0</v>
      </c>
      <c r="D65" s="591">
        <f>SUM(D61:D64)</f>
        <v>0</v>
      </c>
      <c r="E65" s="591">
        <f>SUM(E61:E64)</f>
        <v>0</v>
      </c>
    </row>
    <row r="66" spans="1:5" ht="25.5" customHeight="1">
      <c r="A66" s="578" t="s">
        <v>1279</v>
      </c>
      <c r="B66" s="579" t="s">
        <v>1287</v>
      </c>
      <c r="C66" s="579">
        <f>SUM(C65+C60+C56+C55+C52)</f>
        <v>0</v>
      </c>
      <c r="D66" s="579">
        <f>SUM(D65+D60+D56+D55+D52)</f>
        <v>0</v>
      </c>
      <c r="E66" s="579">
        <f>SUM(E65+E60+E56+E55+E52)</f>
        <v>0</v>
      </c>
    </row>
    <row r="67" spans="1:5" ht="18.75">
      <c r="A67" s="253" t="s">
        <v>1288</v>
      </c>
      <c r="B67" s="553" t="s">
        <v>952</v>
      </c>
      <c r="C67" s="553"/>
      <c r="D67" s="553"/>
      <c r="E67" s="553"/>
    </row>
    <row r="68" spans="1:5" ht="18.75">
      <c r="A68" s="253" t="s">
        <v>1289</v>
      </c>
      <c r="B68" s="553" t="s">
        <v>954</v>
      </c>
      <c r="C68" s="553"/>
      <c r="D68" s="553"/>
      <c r="E68" s="553"/>
    </row>
    <row r="69" spans="1:5" ht="24" customHeight="1">
      <c r="A69" s="575" t="s">
        <v>1291</v>
      </c>
      <c r="B69" s="579" t="s">
        <v>1290</v>
      </c>
      <c r="C69" s="579">
        <f>SUM(C67:C68)</f>
        <v>0</v>
      </c>
      <c r="D69" s="579">
        <f>SUM(D67:D68)</f>
        <v>0</v>
      </c>
      <c r="E69" s="579">
        <f>SUM(E67:E68)</f>
        <v>0</v>
      </c>
    </row>
    <row r="70" spans="1:5" ht="26.25" customHeight="1" thickBot="1">
      <c r="A70" s="561" t="s">
        <v>1294</v>
      </c>
      <c r="B70" s="552" t="s">
        <v>958</v>
      </c>
      <c r="C70" s="552"/>
      <c r="D70" s="552"/>
      <c r="E70" s="552">
        <v>29</v>
      </c>
    </row>
    <row r="71" spans="1:5" ht="27" customHeight="1" thickBot="1">
      <c r="A71" s="268" t="s">
        <v>1295</v>
      </c>
      <c r="B71" s="552" t="s">
        <v>960</v>
      </c>
      <c r="C71" s="552"/>
      <c r="D71" s="552"/>
      <c r="E71" s="552"/>
    </row>
    <row r="72" spans="1:5" ht="19.5" thickBot="1">
      <c r="A72" s="210" t="s">
        <v>1296</v>
      </c>
      <c r="B72" s="552" t="s">
        <v>1293</v>
      </c>
      <c r="C72" s="552"/>
      <c r="D72" s="552"/>
      <c r="E72" s="552"/>
    </row>
    <row r="73" spans="1:5" ht="24.75" customHeight="1">
      <c r="A73" s="593" t="s">
        <v>1298</v>
      </c>
      <c r="B73" s="594" t="s">
        <v>1363</v>
      </c>
      <c r="C73" s="594"/>
      <c r="D73" s="552"/>
      <c r="E73" s="552"/>
    </row>
    <row r="74" spans="1:6" ht="24.75" customHeight="1">
      <c r="A74" s="592" t="s">
        <v>1364</v>
      </c>
      <c r="B74" s="563" t="s">
        <v>1365</v>
      </c>
      <c r="C74" s="563"/>
      <c r="D74" s="553"/>
      <c r="E74" s="553"/>
      <c r="F74" s="21" t="s">
        <v>1369</v>
      </c>
    </row>
    <row r="75" spans="1:5" ht="24.75" customHeight="1">
      <c r="A75" s="592" t="s">
        <v>1370</v>
      </c>
      <c r="B75" s="563" t="s">
        <v>1367</v>
      </c>
      <c r="C75" s="563"/>
      <c r="D75" s="553"/>
      <c r="E75" s="553"/>
    </row>
    <row r="76" spans="1:5" ht="18.75">
      <c r="A76" s="98" t="s">
        <v>1297</v>
      </c>
      <c r="B76" s="552" t="s">
        <v>970</v>
      </c>
      <c r="C76" s="552">
        <f>SUM(C74:C75)</f>
        <v>0</v>
      </c>
      <c r="D76" s="552">
        <f>SUM(D74:D75)</f>
        <v>0</v>
      </c>
      <c r="E76" s="552">
        <f>SUM(E74:E75)</f>
        <v>0</v>
      </c>
    </row>
    <row r="77" spans="1:5" ht="24.75" customHeight="1">
      <c r="A77" s="580" t="s">
        <v>1292</v>
      </c>
      <c r="B77" s="579" t="s">
        <v>1334</v>
      </c>
      <c r="C77" s="579">
        <f>C76+C73+C72+C71+C70</f>
        <v>0</v>
      </c>
      <c r="D77" s="579">
        <f>D76+D73+D72+D71+D70</f>
        <v>0</v>
      </c>
      <c r="E77" s="579">
        <f>E76+E73+E72+E71+E70</f>
        <v>29</v>
      </c>
    </row>
    <row r="78" spans="1:10" ht="24.75" customHeight="1">
      <c r="A78" s="587" t="s">
        <v>1299</v>
      </c>
      <c r="B78" s="585" t="s">
        <v>70</v>
      </c>
      <c r="C78" s="579">
        <f>SUM(C77+C69+C66+C47+C43)</f>
        <v>0</v>
      </c>
      <c r="D78" s="579">
        <f>SUM(D77+D69+D66+D47+D43)</f>
        <v>0</v>
      </c>
      <c r="E78" s="579">
        <f>SUM(E77+E69+E66+E47+E43)</f>
        <v>137</v>
      </c>
      <c r="F78" s="560"/>
      <c r="G78" s="560"/>
      <c r="H78" s="560"/>
      <c r="I78" s="560"/>
      <c r="J78" s="560"/>
    </row>
    <row r="79" spans="1:10" ht="24.75" customHeight="1">
      <c r="A79" s="98" t="s">
        <v>1307</v>
      </c>
      <c r="B79" s="553" t="s">
        <v>1302</v>
      </c>
      <c r="C79" s="552"/>
      <c r="D79" s="552"/>
      <c r="E79" s="552"/>
      <c r="F79" s="560"/>
      <c r="G79" s="560"/>
      <c r="H79" s="560"/>
      <c r="I79" s="560"/>
      <c r="J79" s="560"/>
    </row>
    <row r="80" spans="1:10" ht="24.75" customHeight="1">
      <c r="A80" s="98" t="s">
        <v>1306</v>
      </c>
      <c r="B80" s="553" t="s">
        <v>1308</v>
      </c>
      <c r="C80" s="552"/>
      <c r="D80" s="552"/>
      <c r="E80" s="552"/>
      <c r="F80" s="560"/>
      <c r="G80" s="560"/>
      <c r="H80" s="560"/>
      <c r="I80" s="560"/>
      <c r="J80" s="560"/>
    </row>
    <row r="81" spans="1:10" ht="24.75" customHeight="1">
      <c r="A81" s="98"/>
      <c r="B81" s="97" t="s">
        <v>1304</v>
      </c>
      <c r="C81" s="552"/>
      <c r="D81" s="552"/>
      <c r="E81" s="552"/>
      <c r="F81" s="560"/>
      <c r="G81" s="560"/>
      <c r="H81" s="560"/>
      <c r="I81" s="560"/>
      <c r="J81" s="560"/>
    </row>
    <row r="82" spans="1:5" ht="18.75">
      <c r="A82" s="98"/>
      <c r="B82" s="97" t="s">
        <v>1303</v>
      </c>
      <c r="C82" s="377"/>
      <c r="D82" s="34"/>
      <c r="E82" s="34"/>
    </row>
    <row r="83" spans="1:5" ht="18.75">
      <c r="A83" s="98"/>
      <c r="B83" s="567" t="s">
        <v>1305</v>
      </c>
      <c r="C83" s="377"/>
      <c r="D83" s="34"/>
      <c r="E83" s="34"/>
    </row>
    <row r="84" spans="1:5" ht="25.5">
      <c r="A84" s="580" t="s">
        <v>1341</v>
      </c>
      <c r="B84" s="579" t="s">
        <v>1337</v>
      </c>
      <c r="C84" s="377">
        <f>SUM(C80:C83)</f>
        <v>0</v>
      </c>
      <c r="D84" s="377">
        <f>SUM(D80:D83)</f>
        <v>0</v>
      </c>
      <c r="E84" s="377">
        <f>SUM(E80:E83)</f>
        <v>0</v>
      </c>
    </row>
    <row r="85" spans="1:5" s="564" customFormat="1" ht="18.75">
      <c r="A85" s="587" t="s">
        <v>1336</v>
      </c>
      <c r="B85" s="587" t="s">
        <v>1340</v>
      </c>
      <c r="C85" s="574">
        <f>SUM(C79+C84)</f>
        <v>0</v>
      </c>
      <c r="D85" s="574">
        <f>SUM(D79+D84)</f>
        <v>0</v>
      </c>
      <c r="E85" s="574">
        <f>SUM(E79+E84)</f>
        <v>0</v>
      </c>
    </row>
    <row r="86" spans="1:5" ht="18.75">
      <c r="A86" s="97" t="s">
        <v>1309</v>
      </c>
      <c r="B86" s="553" t="s">
        <v>1113</v>
      </c>
      <c r="C86" s="553"/>
      <c r="D86" s="553"/>
      <c r="E86" s="553"/>
    </row>
    <row r="87" spans="1:5" s="382" customFormat="1" ht="15">
      <c r="A87" s="97" t="s">
        <v>1310</v>
      </c>
      <c r="B87" s="553" t="s">
        <v>1371</v>
      </c>
      <c r="C87" s="553"/>
      <c r="D87" s="553"/>
      <c r="E87" s="553"/>
    </row>
    <row r="88" spans="1:5" ht="18.75">
      <c r="A88" s="172" t="s">
        <v>1311</v>
      </c>
      <c r="B88" s="553" t="s">
        <v>1117</v>
      </c>
      <c r="C88" s="553"/>
      <c r="D88" s="553"/>
      <c r="E88" s="553"/>
    </row>
    <row r="89" spans="1:5" ht="24" customHeight="1">
      <c r="A89" s="172" t="s">
        <v>1312</v>
      </c>
      <c r="B89" s="553" t="s">
        <v>1118</v>
      </c>
      <c r="C89" s="553"/>
      <c r="D89" s="553"/>
      <c r="E89" s="553"/>
    </row>
    <row r="90" spans="1:5" ht="26.25" customHeight="1">
      <c r="A90" s="172" t="s">
        <v>1313</v>
      </c>
      <c r="B90" s="553" t="s">
        <v>1120</v>
      </c>
      <c r="C90" s="553"/>
      <c r="D90" s="553"/>
      <c r="E90" s="553"/>
    </row>
    <row r="91" spans="1:5" ht="26.25" customHeight="1">
      <c r="A91" s="172"/>
      <c r="B91" s="553" t="s">
        <v>1445</v>
      </c>
      <c r="C91" s="553"/>
      <c r="D91" s="553"/>
      <c r="E91" s="553">
        <v>291</v>
      </c>
    </row>
    <row r="92" spans="1:5" ht="25.5" customHeight="1">
      <c r="A92" s="172" t="s">
        <v>1314</v>
      </c>
      <c r="B92" s="553" t="s">
        <v>1126</v>
      </c>
      <c r="C92" s="553"/>
      <c r="D92" s="553"/>
      <c r="E92" s="553">
        <v>79</v>
      </c>
    </row>
    <row r="93" spans="1:5" ht="18.75">
      <c r="A93" s="584" t="s">
        <v>1315</v>
      </c>
      <c r="B93" s="585" t="s">
        <v>1339</v>
      </c>
      <c r="C93" s="552">
        <f>SUM(C86:C92)</f>
        <v>0</v>
      </c>
      <c r="D93" s="552">
        <f>SUM(D86:D92)</f>
        <v>0</v>
      </c>
      <c r="E93" s="552">
        <f>SUM(E86:E92)</f>
        <v>370</v>
      </c>
    </row>
    <row r="94" spans="1:5" ht="18.75">
      <c r="A94" s="172" t="s">
        <v>1316</v>
      </c>
      <c r="B94" s="553" t="s">
        <v>1130</v>
      </c>
      <c r="C94" s="553"/>
      <c r="D94" s="553"/>
      <c r="E94" s="553"/>
    </row>
    <row r="95" spans="1:5" ht="18.75">
      <c r="A95" s="172" t="s">
        <v>1317</v>
      </c>
      <c r="B95" s="553" t="s">
        <v>1132</v>
      </c>
      <c r="C95" s="553"/>
      <c r="D95" s="553"/>
      <c r="E95" s="553"/>
    </row>
    <row r="96" spans="1:5" ht="18.75">
      <c r="A96" s="172" t="s">
        <v>1318</v>
      </c>
      <c r="B96" s="553" t="s">
        <v>1134</v>
      </c>
      <c r="C96" s="553"/>
      <c r="D96" s="553"/>
      <c r="E96" s="553"/>
    </row>
    <row r="97" spans="1:5" ht="24" customHeight="1">
      <c r="A97" s="172" t="s">
        <v>1319</v>
      </c>
      <c r="B97" s="553" t="s">
        <v>1136</v>
      </c>
      <c r="C97" s="553"/>
      <c r="D97" s="553"/>
      <c r="E97" s="553"/>
    </row>
    <row r="98" spans="1:5" ht="18.75">
      <c r="A98" s="584" t="s">
        <v>1320</v>
      </c>
      <c r="B98" s="585" t="s">
        <v>1338</v>
      </c>
      <c r="C98" s="552">
        <f>SUM(C94:C97)</f>
        <v>0</v>
      </c>
      <c r="D98" s="552">
        <f>SUM(D94:D97)</f>
        <v>0</v>
      </c>
      <c r="E98" s="552">
        <f>SUM(E94:E97)</f>
        <v>0</v>
      </c>
    </row>
    <row r="99" spans="1:5" ht="25.5" customHeight="1">
      <c r="A99" s="172" t="s">
        <v>1323</v>
      </c>
      <c r="B99" s="555" t="s">
        <v>1325</v>
      </c>
      <c r="C99" s="555"/>
      <c r="D99" s="555"/>
      <c r="E99" s="555"/>
    </row>
    <row r="100" spans="1:5" ht="27" customHeight="1">
      <c r="A100" s="457" t="s">
        <v>1322</v>
      </c>
      <c r="B100" s="553" t="s">
        <v>1321</v>
      </c>
      <c r="C100" s="553"/>
      <c r="D100" s="553"/>
      <c r="E100" s="553"/>
    </row>
    <row r="101" spans="1:5" ht="18.75">
      <c r="A101" s="584" t="s">
        <v>1326</v>
      </c>
      <c r="B101" s="586" t="s">
        <v>1324</v>
      </c>
      <c r="C101" s="295">
        <f>SUM(C99:C100)</f>
        <v>0</v>
      </c>
      <c r="D101" s="295">
        <f>SUM(D99:D100)</f>
        <v>0</v>
      </c>
      <c r="E101" s="295">
        <f>SUM(E99:E100)</f>
        <v>0</v>
      </c>
    </row>
    <row r="102" spans="1:5" ht="18.75">
      <c r="A102" s="34"/>
      <c r="B102" s="36" t="s">
        <v>118</v>
      </c>
      <c r="C102" s="581">
        <f>SUM(C101+C98+C93+C85+C78+C29+C23)</f>
        <v>720</v>
      </c>
      <c r="D102" s="581">
        <f>SUM(D101+D98+D93+D85+D78+D29+D23)</f>
        <v>0</v>
      </c>
      <c r="E102" s="581">
        <f>SUM(E101+E98+E93+E85+E78+E29+E23)</f>
        <v>3652</v>
      </c>
    </row>
  </sheetData>
  <sheetProtection/>
  <mergeCells count="1">
    <mergeCell ref="A2:E2"/>
  </mergeCell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00B050"/>
  </sheetPr>
  <dimension ref="A1:M52"/>
  <sheetViews>
    <sheetView view="pageBreakPreview" zoomScale="60" zoomScalePageLayoutView="0" workbookViewId="0" topLeftCell="B28">
      <selection activeCell="I30" sqref="I30"/>
    </sheetView>
  </sheetViews>
  <sheetFormatPr defaultColWidth="8.66015625" defaultRowHeight="18"/>
  <cols>
    <col min="1" max="1" width="9" style="11" bestFit="1" customWidth="1"/>
    <col min="2" max="2" width="42.08203125" style="11" customWidth="1"/>
    <col min="3" max="3" width="8.41015625" style="11" customWidth="1"/>
    <col min="4" max="4" width="9.41015625" style="11" customWidth="1"/>
    <col min="5" max="6" width="8.25" style="11" customWidth="1"/>
    <col min="7" max="16384" width="8.91015625" style="11" customWidth="1"/>
  </cols>
  <sheetData>
    <row r="1" spans="1:8" ht="27" thickBot="1">
      <c r="A1" s="135"/>
      <c r="B1" s="142" t="s">
        <v>203</v>
      </c>
      <c r="C1" s="13" t="s">
        <v>302</v>
      </c>
      <c r="D1" s="25" t="s">
        <v>281</v>
      </c>
      <c r="E1" s="46" t="s">
        <v>614</v>
      </c>
      <c r="F1" s="25" t="s">
        <v>626</v>
      </c>
      <c r="G1" s="25" t="s">
        <v>616</v>
      </c>
      <c r="H1" s="25" t="s">
        <v>801</v>
      </c>
    </row>
    <row r="2" spans="1:8" ht="15.75">
      <c r="A2" s="14"/>
      <c r="B2" s="143"/>
      <c r="C2" s="13"/>
      <c r="D2" s="25"/>
      <c r="E2" s="25"/>
      <c r="F2" s="25"/>
      <c r="G2" s="25"/>
      <c r="H2" s="25"/>
    </row>
    <row r="3" spans="1:8" ht="15.75">
      <c r="A3" s="28"/>
      <c r="B3" s="144" t="s">
        <v>156</v>
      </c>
      <c r="C3" s="122"/>
      <c r="D3" s="25"/>
      <c r="E3" s="25"/>
      <c r="F3" s="25"/>
      <c r="G3" s="25"/>
      <c r="H3" s="25"/>
    </row>
    <row r="4" spans="1:8" ht="15">
      <c r="A4" s="25">
        <v>1263</v>
      </c>
      <c r="B4" s="145" t="s">
        <v>223</v>
      </c>
      <c r="C4" s="122">
        <v>120</v>
      </c>
      <c r="D4" s="25"/>
      <c r="E4" s="25"/>
      <c r="F4" s="25"/>
      <c r="G4" s="25"/>
      <c r="H4" s="25"/>
    </row>
    <row r="5" spans="1:8" ht="15">
      <c r="A5" s="25">
        <v>1811</v>
      </c>
      <c r="B5" s="145" t="s">
        <v>232</v>
      </c>
      <c r="C5" s="122">
        <v>32</v>
      </c>
      <c r="D5" s="25"/>
      <c r="E5" s="25"/>
      <c r="F5" s="25"/>
      <c r="G5" s="25"/>
      <c r="H5" s="25"/>
    </row>
    <row r="6" spans="1:8" ht="15.75">
      <c r="A6" s="28"/>
      <c r="B6" s="144" t="s">
        <v>62</v>
      </c>
      <c r="C6" s="123">
        <f>SUM(C4:C5)</f>
        <v>152</v>
      </c>
      <c r="D6" s="28">
        <f>SUM(D4:D5)</f>
        <v>0</v>
      </c>
      <c r="E6" s="25"/>
      <c r="F6" s="25"/>
      <c r="G6" s="25"/>
      <c r="H6" s="25"/>
    </row>
    <row r="7" spans="1:8" ht="12.75" customHeight="1">
      <c r="A7" s="25"/>
      <c r="B7" s="28"/>
      <c r="C7" s="122"/>
      <c r="D7" s="25"/>
      <c r="E7" s="25"/>
      <c r="F7" s="25"/>
      <c r="G7" s="25"/>
      <c r="H7" s="25"/>
    </row>
    <row r="8" spans="1:8" ht="15">
      <c r="A8" s="25"/>
      <c r="B8" s="25"/>
      <c r="C8" s="122"/>
      <c r="D8" s="25"/>
      <c r="E8" s="25"/>
      <c r="F8" s="25"/>
      <c r="G8" s="25"/>
      <c r="H8" s="25"/>
    </row>
    <row r="9" spans="1:9" ht="18" customHeight="1">
      <c r="A9" s="25">
        <v>52211</v>
      </c>
      <c r="B9" s="108" t="s">
        <v>197</v>
      </c>
      <c r="C9" s="123">
        <v>360</v>
      </c>
      <c r="D9" s="28">
        <v>360</v>
      </c>
      <c r="E9" s="25">
        <v>360</v>
      </c>
      <c r="F9" s="25"/>
      <c r="G9" s="25">
        <v>420</v>
      </c>
      <c r="H9" s="25">
        <v>420</v>
      </c>
      <c r="I9" s="11" t="s">
        <v>786</v>
      </c>
    </row>
    <row r="10" spans="1:8" ht="18.75" customHeight="1">
      <c r="A10" s="25">
        <v>514145</v>
      </c>
      <c r="B10" s="108" t="s">
        <v>182</v>
      </c>
      <c r="C10" s="123"/>
      <c r="D10" s="28"/>
      <c r="E10" s="25"/>
      <c r="F10" s="25"/>
      <c r="G10" s="25"/>
      <c r="H10" s="25"/>
    </row>
    <row r="11" spans="1:8" ht="18.75" customHeight="1">
      <c r="A11" s="25"/>
      <c r="B11" s="108"/>
      <c r="C11" s="123"/>
      <c r="D11" s="28"/>
      <c r="E11" s="25"/>
      <c r="F11" s="25"/>
      <c r="G11" s="25"/>
      <c r="H11" s="25"/>
    </row>
    <row r="12" spans="1:8" ht="21" customHeight="1">
      <c r="A12" s="25"/>
      <c r="B12" s="28" t="s">
        <v>105</v>
      </c>
      <c r="C12" s="333">
        <f aca="true" t="shared" si="0" ref="C12:H12">SUM(C8:C11)</f>
        <v>360</v>
      </c>
      <c r="D12" s="29">
        <f t="shared" si="0"/>
        <v>360</v>
      </c>
      <c r="E12" s="29">
        <f t="shared" si="0"/>
        <v>360</v>
      </c>
      <c r="F12" s="29">
        <f t="shared" si="0"/>
        <v>0</v>
      </c>
      <c r="G12" s="29">
        <f t="shared" si="0"/>
        <v>420</v>
      </c>
      <c r="H12" s="29">
        <f t="shared" si="0"/>
        <v>420</v>
      </c>
    </row>
    <row r="13" spans="1:9" ht="15.75">
      <c r="A13" s="25">
        <v>531125</v>
      </c>
      <c r="B13" s="25" t="s">
        <v>303</v>
      </c>
      <c r="C13" s="355"/>
      <c r="D13" s="27">
        <f>D12*27%</f>
        <v>97.2</v>
      </c>
      <c r="E13" s="25">
        <v>87</v>
      </c>
      <c r="F13" s="25"/>
      <c r="G13" s="26">
        <f>I13*27%+1</f>
        <v>114.4</v>
      </c>
      <c r="H13" s="26">
        <f>I13*27%+1</f>
        <v>114.4</v>
      </c>
      <c r="I13" s="11">
        <f>G9</f>
        <v>420</v>
      </c>
    </row>
    <row r="14" spans="1:8" ht="15.75">
      <c r="A14" s="25">
        <v>5331</v>
      </c>
      <c r="B14" s="25" t="s">
        <v>4</v>
      </c>
      <c r="C14" s="123"/>
      <c r="D14" s="28"/>
      <c r="E14" s="25"/>
      <c r="F14" s="25"/>
      <c r="G14" s="25"/>
      <c r="H14" s="25"/>
    </row>
    <row r="15" spans="1:8" ht="15.75">
      <c r="A15" s="25">
        <v>5341</v>
      </c>
      <c r="B15" s="25" t="s">
        <v>42</v>
      </c>
      <c r="C15" s="123"/>
      <c r="D15" s="28"/>
      <c r="E15" s="25"/>
      <c r="F15" s="25"/>
      <c r="G15" s="25"/>
      <c r="H15" s="25"/>
    </row>
    <row r="16" spans="1:8" ht="18.75" customHeight="1">
      <c r="A16" s="28">
        <v>53</v>
      </c>
      <c r="B16" s="28" t="s">
        <v>99</v>
      </c>
      <c r="C16" s="333">
        <f aca="true" t="shared" si="1" ref="C16:H16">SUM(C13:C15)</f>
        <v>0</v>
      </c>
      <c r="D16" s="29">
        <f t="shared" si="1"/>
        <v>97.2</v>
      </c>
      <c r="E16" s="29">
        <f t="shared" si="1"/>
        <v>87</v>
      </c>
      <c r="F16" s="29">
        <f t="shared" si="1"/>
        <v>0</v>
      </c>
      <c r="G16" s="29">
        <f t="shared" si="1"/>
        <v>114.4</v>
      </c>
      <c r="H16" s="29">
        <f t="shared" si="1"/>
        <v>114.4</v>
      </c>
    </row>
    <row r="17" spans="1:8" ht="18.75" customHeight="1">
      <c r="A17" s="28"/>
      <c r="B17" s="28"/>
      <c r="C17" s="333"/>
      <c r="D17" s="29"/>
      <c r="E17" s="25"/>
      <c r="F17" s="25"/>
      <c r="G17" s="25"/>
      <c r="H17" s="25"/>
    </row>
    <row r="18" spans="1:8" ht="18.75" customHeight="1">
      <c r="A18" s="25">
        <v>37315</v>
      </c>
      <c r="B18" s="25" t="s">
        <v>771</v>
      </c>
      <c r="C18" s="333">
        <v>150</v>
      </c>
      <c r="D18" s="29">
        <v>150</v>
      </c>
      <c r="E18" s="25"/>
      <c r="F18" s="25"/>
      <c r="G18" s="25"/>
      <c r="H18" s="25"/>
    </row>
    <row r="19" spans="1:8" ht="15" customHeight="1">
      <c r="A19" s="25">
        <v>38115</v>
      </c>
      <c r="B19" s="25" t="s">
        <v>185</v>
      </c>
      <c r="C19" s="123"/>
      <c r="D19" s="28"/>
      <c r="E19" s="25"/>
      <c r="F19" s="25"/>
      <c r="G19" s="25"/>
      <c r="H19" s="25"/>
    </row>
    <row r="20" spans="1:8" s="12" customFormat="1" ht="15" customHeight="1">
      <c r="A20" s="28"/>
      <c r="B20" s="28" t="s">
        <v>186</v>
      </c>
      <c r="C20" s="333">
        <f>SUM(C18:C19)</f>
        <v>150</v>
      </c>
      <c r="D20" s="29">
        <f>SUM(D18:D19)</f>
        <v>150</v>
      </c>
      <c r="E20" s="29">
        <f>SUM(E18:E19)</f>
        <v>0</v>
      </c>
      <c r="F20" s="29">
        <f>SUM(F18:F19)</f>
        <v>0</v>
      </c>
      <c r="G20" s="29">
        <f>SUM(G18:G19)</f>
        <v>0</v>
      </c>
      <c r="H20" s="29"/>
    </row>
    <row r="21" spans="1:8" ht="15" customHeight="1">
      <c r="A21" s="25"/>
      <c r="B21" s="25"/>
      <c r="C21" s="123"/>
      <c r="D21" s="28"/>
      <c r="E21" s="25"/>
      <c r="F21" s="25"/>
      <c r="G21" s="25"/>
      <c r="H21" s="25"/>
    </row>
    <row r="22" spans="1:8" ht="15.75">
      <c r="A22" s="25">
        <v>54412</v>
      </c>
      <c r="B22" s="25" t="s">
        <v>106</v>
      </c>
      <c r="C22" s="123">
        <v>20</v>
      </c>
      <c r="D22" s="28">
        <v>40</v>
      </c>
      <c r="E22" s="25">
        <v>45</v>
      </c>
      <c r="F22" s="25">
        <v>45</v>
      </c>
      <c r="G22" s="25">
        <v>50</v>
      </c>
      <c r="H22" s="25">
        <v>50</v>
      </c>
    </row>
    <row r="23" spans="1:9" ht="15.75">
      <c r="A23" s="25">
        <v>54711</v>
      </c>
      <c r="B23" s="25" t="s">
        <v>89</v>
      </c>
      <c r="C23" s="123"/>
      <c r="D23" s="28"/>
      <c r="E23" s="25">
        <v>118</v>
      </c>
      <c r="F23" s="25">
        <v>118</v>
      </c>
      <c r="G23" s="25">
        <v>118</v>
      </c>
      <c r="H23" s="25">
        <v>118</v>
      </c>
      <c r="I23" s="11" t="s">
        <v>772</v>
      </c>
    </row>
    <row r="24" spans="1:9" ht="15.75">
      <c r="A24" s="25">
        <v>54712</v>
      </c>
      <c r="B24" s="25" t="s">
        <v>146</v>
      </c>
      <c r="C24" s="123"/>
      <c r="D24" s="28"/>
      <c r="E24" s="25"/>
      <c r="F24" s="25"/>
      <c r="G24" s="25"/>
      <c r="H24" s="25">
        <v>16</v>
      </c>
      <c r="I24" s="11" t="s">
        <v>804</v>
      </c>
    </row>
    <row r="25" spans="1:8" ht="15.75">
      <c r="A25" s="25">
        <v>5481</v>
      </c>
      <c r="B25" s="25" t="s">
        <v>128</v>
      </c>
      <c r="C25" s="123"/>
      <c r="D25" s="28"/>
      <c r="E25" s="25"/>
      <c r="F25" s="25"/>
      <c r="G25" s="25"/>
      <c r="H25" s="25"/>
    </row>
    <row r="26" spans="1:8" ht="15.75" customHeight="1">
      <c r="A26" s="25">
        <v>54913</v>
      </c>
      <c r="B26" s="146" t="s">
        <v>127</v>
      </c>
      <c r="C26" s="123"/>
      <c r="D26" s="28"/>
      <c r="E26" s="25"/>
      <c r="F26" s="25"/>
      <c r="G26" s="25"/>
      <c r="H26" s="25"/>
    </row>
    <row r="27" spans="1:8" ht="19.5" customHeight="1">
      <c r="A27" s="28">
        <v>54</v>
      </c>
      <c r="B27" s="28" t="s">
        <v>99</v>
      </c>
      <c r="C27" s="333">
        <f aca="true" t="shared" si="2" ref="C27:H27">SUM(C22:C26)</f>
        <v>20</v>
      </c>
      <c r="D27" s="29">
        <f t="shared" si="2"/>
        <v>40</v>
      </c>
      <c r="E27" s="29">
        <f t="shared" si="2"/>
        <v>163</v>
      </c>
      <c r="F27" s="29">
        <f t="shared" si="2"/>
        <v>163</v>
      </c>
      <c r="G27" s="29">
        <f t="shared" si="2"/>
        <v>168</v>
      </c>
      <c r="H27" s="29">
        <f t="shared" si="2"/>
        <v>184</v>
      </c>
    </row>
    <row r="28" spans="1:8" ht="10.5" customHeight="1">
      <c r="A28" s="25"/>
      <c r="B28" s="25"/>
      <c r="C28" s="123"/>
      <c r="D28" s="28"/>
      <c r="E28" s="25"/>
      <c r="F28" s="25"/>
      <c r="G28" s="25"/>
      <c r="H28" s="25"/>
    </row>
    <row r="29" spans="1:8" ht="15.75">
      <c r="A29" s="25">
        <v>55111</v>
      </c>
      <c r="B29" s="25" t="s">
        <v>104</v>
      </c>
      <c r="C29" s="123">
        <v>96</v>
      </c>
      <c r="D29" s="28">
        <v>96</v>
      </c>
      <c r="E29" s="28">
        <v>98</v>
      </c>
      <c r="F29" s="25">
        <v>120</v>
      </c>
      <c r="G29" s="25">
        <v>120</v>
      </c>
      <c r="H29" s="25">
        <v>120</v>
      </c>
    </row>
    <row r="30" spans="1:8" ht="15.75">
      <c r="A30" s="25">
        <v>55112</v>
      </c>
      <c r="B30" s="25" t="s">
        <v>198</v>
      </c>
      <c r="C30" s="123">
        <v>120</v>
      </c>
      <c r="D30" s="28">
        <v>120</v>
      </c>
      <c r="E30" s="28">
        <v>98</v>
      </c>
      <c r="F30" s="25">
        <v>87</v>
      </c>
      <c r="G30" s="25">
        <v>87</v>
      </c>
      <c r="H30" s="25">
        <v>87</v>
      </c>
    </row>
    <row r="31" spans="1:8" ht="15.75">
      <c r="A31" s="25">
        <v>55214</v>
      </c>
      <c r="B31" s="25" t="s">
        <v>100</v>
      </c>
      <c r="C31" s="123"/>
      <c r="D31" s="28"/>
      <c r="E31" s="25"/>
      <c r="F31" s="25"/>
      <c r="G31" s="25"/>
      <c r="H31" s="25"/>
    </row>
    <row r="32" spans="1:8" ht="15.75">
      <c r="A32" s="25">
        <v>55215</v>
      </c>
      <c r="B32" s="25" t="s">
        <v>101</v>
      </c>
      <c r="C32" s="123"/>
      <c r="D32" s="28"/>
      <c r="E32" s="25"/>
      <c r="F32" s="25"/>
      <c r="G32" s="25"/>
      <c r="H32" s="25"/>
    </row>
    <row r="33" spans="1:8" ht="15.75">
      <c r="A33" s="25">
        <v>55217</v>
      </c>
      <c r="B33" s="25" t="s">
        <v>102</v>
      </c>
      <c r="C33" s="123"/>
      <c r="D33" s="28"/>
      <c r="E33" s="25"/>
      <c r="F33" s="25"/>
      <c r="G33" s="25"/>
      <c r="H33" s="25"/>
    </row>
    <row r="34" spans="1:8" ht="15.75">
      <c r="A34" s="25">
        <v>552181</v>
      </c>
      <c r="B34" s="25" t="s">
        <v>145</v>
      </c>
      <c r="C34" s="123"/>
      <c r="D34" s="28"/>
      <c r="E34" s="25"/>
      <c r="F34" s="25">
        <v>8</v>
      </c>
      <c r="G34" s="25"/>
      <c r="H34" s="25"/>
    </row>
    <row r="35" spans="1:8" ht="15.75">
      <c r="A35" s="25"/>
      <c r="B35" s="25"/>
      <c r="C35" s="123"/>
      <c r="D35" s="28"/>
      <c r="E35" s="25"/>
      <c r="F35" s="25"/>
      <c r="G35" s="25"/>
      <c r="H35" s="25"/>
    </row>
    <row r="36" spans="1:8" ht="15.75">
      <c r="A36" s="25"/>
      <c r="B36" s="25"/>
      <c r="C36" s="123"/>
      <c r="D36" s="28"/>
      <c r="E36" s="25"/>
      <c r="F36" s="25"/>
      <c r="G36" s="25"/>
      <c r="H36" s="25"/>
    </row>
    <row r="37" spans="1:13" ht="35.25" customHeight="1">
      <c r="A37" s="737">
        <v>5531</v>
      </c>
      <c r="B37" s="737" t="s">
        <v>584</v>
      </c>
      <c r="C37" s="356"/>
      <c r="D37" s="147"/>
      <c r="E37" s="357"/>
      <c r="F37" s="357"/>
      <c r="G37" s="461"/>
      <c r="H37" s="461"/>
      <c r="I37" s="148"/>
      <c r="J37" s="148"/>
      <c r="K37" s="148"/>
      <c r="L37" s="148"/>
      <c r="M37" s="148"/>
    </row>
    <row r="38" spans="1:8" ht="15.75" customHeight="1" hidden="1">
      <c r="A38" s="737"/>
      <c r="B38" s="710"/>
      <c r="C38" s="356"/>
      <c r="D38" s="147"/>
      <c r="E38" s="25"/>
      <c r="F38" s="25"/>
      <c r="G38" s="25"/>
      <c r="H38" s="25"/>
    </row>
    <row r="39" spans="1:8" ht="18.75" customHeight="1">
      <c r="A39" s="28">
        <v>55</v>
      </c>
      <c r="B39" s="28" t="s">
        <v>64</v>
      </c>
      <c r="C39" s="333">
        <f aca="true" t="shared" si="3" ref="C39:H39">SUM(C29:C38)</f>
        <v>216</v>
      </c>
      <c r="D39" s="29">
        <f t="shared" si="3"/>
        <v>216</v>
      </c>
      <c r="E39" s="29">
        <f t="shared" si="3"/>
        <v>196</v>
      </c>
      <c r="F39" s="29">
        <f t="shared" si="3"/>
        <v>215</v>
      </c>
      <c r="G39" s="29">
        <f t="shared" si="3"/>
        <v>207</v>
      </c>
      <c r="H39" s="29">
        <f t="shared" si="3"/>
        <v>207</v>
      </c>
    </row>
    <row r="40" spans="1:8" ht="10.5" customHeight="1">
      <c r="A40" s="25"/>
      <c r="B40" s="25"/>
      <c r="C40" s="123"/>
      <c r="D40" s="28"/>
      <c r="E40" s="25"/>
      <c r="F40" s="25"/>
      <c r="G40" s="25"/>
      <c r="H40" s="25"/>
    </row>
    <row r="41" spans="1:10" ht="17.25" customHeight="1">
      <c r="A41" s="25">
        <v>56111</v>
      </c>
      <c r="B41" s="25" t="s">
        <v>103</v>
      </c>
      <c r="C41" s="333">
        <f>(C27+C39)*0.27</f>
        <v>63.720000000000006</v>
      </c>
      <c r="D41" s="29">
        <f>(D27+D39)*0.27</f>
        <v>69.12</v>
      </c>
      <c r="E41" s="26">
        <f>(E39+E27)*27%</f>
        <v>96.93</v>
      </c>
      <c r="F41" s="25">
        <v>102</v>
      </c>
      <c r="G41" s="26">
        <f>I41*27%+1</f>
        <v>102.25</v>
      </c>
      <c r="H41" s="26">
        <f>J41*27%+1</f>
        <v>106.57000000000001</v>
      </c>
      <c r="I41" s="18">
        <f>G39+G27</f>
        <v>375</v>
      </c>
      <c r="J41" s="18">
        <f>H39+H27</f>
        <v>391</v>
      </c>
    </row>
    <row r="42" spans="1:8" ht="15.75">
      <c r="A42" s="25">
        <v>56211</v>
      </c>
      <c r="B42" s="25" t="s">
        <v>18</v>
      </c>
      <c r="C42" s="123"/>
      <c r="D42" s="28"/>
      <c r="E42" s="25"/>
      <c r="F42" s="25"/>
      <c r="G42" s="25"/>
      <c r="H42" s="25"/>
    </row>
    <row r="43" spans="1:8" ht="15.75">
      <c r="A43" s="25">
        <v>56214</v>
      </c>
      <c r="B43" s="25" t="s">
        <v>113</v>
      </c>
      <c r="C43" s="123"/>
      <c r="D43" s="28"/>
      <c r="E43" s="25"/>
      <c r="F43" s="25"/>
      <c r="G43" s="25"/>
      <c r="H43" s="25"/>
    </row>
    <row r="44" spans="1:8" ht="19.5" customHeight="1">
      <c r="A44" s="28">
        <v>56</v>
      </c>
      <c r="B44" s="28" t="s">
        <v>99</v>
      </c>
      <c r="C44" s="333">
        <f aca="true" t="shared" si="4" ref="C44:H44">SUM(C41:C43)</f>
        <v>63.720000000000006</v>
      </c>
      <c r="D44" s="29">
        <f t="shared" si="4"/>
        <v>69.12</v>
      </c>
      <c r="E44" s="29">
        <f t="shared" si="4"/>
        <v>96.93</v>
      </c>
      <c r="F44" s="29">
        <f t="shared" si="4"/>
        <v>102</v>
      </c>
      <c r="G44" s="29">
        <f t="shared" si="4"/>
        <v>102.25</v>
      </c>
      <c r="H44" s="29">
        <f t="shared" si="4"/>
        <v>106.57000000000001</v>
      </c>
    </row>
    <row r="45" spans="1:8" ht="12" customHeight="1">
      <c r="A45" s="25"/>
      <c r="B45" s="25"/>
      <c r="C45" s="123"/>
      <c r="D45" s="28"/>
      <c r="E45" s="25"/>
      <c r="F45" s="25"/>
      <c r="G45" s="25"/>
      <c r="H45" s="25"/>
    </row>
    <row r="46" spans="1:8" ht="15.75">
      <c r="A46" s="25"/>
      <c r="B46" s="25"/>
      <c r="C46" s="123"/>
      <c r="D46" s="28"/>
      <c r="E46" s="25"/>
      <c r="F46" s="25"/>
      <c r="G46" s="25"/>
      <c r="H46" s="25"/>
    </row>
    <row r="47" spans="1:8" ht="19.5" customHeight="1">
      <c r="A47" s="28"/>
      <c r="B47" s="28"/>
      <c r="C47" s="123"/>
      <c r="D47" s="28"/>
      <c r="E47" s="25"/>
      <c r="F47" s="25"/>
      <c r="G47" s="25"/>
      <c r="H47" s="25"/>
    </row>
    <row r="48" spans="1:8" ht="15.75">
      <c r="A48" s="28"/>
      <c r="B48" s="28" t="s">
        <v>29</v>
      </c>
      <c r="C48" s="333">
        <f aca="true" t="shared" si="5" ref="C48:H48">SUM(C47,C44,C39,C27,C20)</f>
        <v>449.72</v>
      </c>
      <c r="D48" s="29">
        <f t="shared" si="5"/>
        <v>475.12</v>
      </c>
      <c r="E48" s="29">
        <f t="shared" si="5"/>
        <v>455.93</v>
      </c>
      <c r="F48" s="29">
        <f t="shared" si="5"/>
        <v>480</v>
      </c>
      <c r="G48" s="29">
        <f t="shared" si="5"/>
        <v>477.25</v>
      </c>
      <c r="H48" s="29">
        <f t="shared" si="5"/>
        <v>497.57</v>
      </c>
    </row>
    <row r="49" spans="1:8" ht="10.5" customHeight="1">
      <c r="A49" s="28"/>
      <c r="B49" s="28"/>
      <c r="C49" s="122"/>
      <c r="D49" s="25"/>
      <c r="E49" s="25"/>
      <c r="F49" s="25"/>
      <c r="G49" s="25"/>
      <c r="H49" s="25"/>
    </row>
    <row r="50" spans="1:8" ht="22.5" customHeight="1" thickBot="1">
      <c r="A50" s="135"/>
      <c r="B50" s="149" t="s">
        <v>43</v>
      </c>
      <c r="C50" s="150">
        <f aca="true" t="shared" si="6" ref="C50:H50">SUM(C48,C16,C12)</f>
        <v>809.72</v>
      </c>
      <c r="D50" s="29">
        <f t="shared" si="6"/>
        <v>932.32</v>
      </c>
      <c r="E50" s="29">
        <f t="shared" si="6"/>
        <v>902.9300000000001</v>
      </c>
      <c r="F50" s="29">
        <f t="shared" si="6"/>
        <v>480</v>
      </c>
      <c r="G50" s="29">
        <f t="shared" si="6"/>
        <v>1011.65</v>
      </c>
      <c r="H50" s="29">
        <f t="shared" si="6"/>
        <v>1031.97</v>
      </c>
    </row>
    <row r="51" spans="1:8" ht="16.5" thickBot="1">
      <c r="A51" s="12"/>
      <c r="B51" s="12"/>
      <c r="D51" s="25"/>
      <c r="E51" s="25"/>
      <c r="F51" s="25"/>
      <c r="G51" s="25"/>
      <c r="H51" s="25"/>
    </row>
    <row r="52" spans="1:8" ht="16.5" thickBot="1">
      <c r="A52" s="14"/>
      <c r="B52" s="140" t="s">
        <v>184</v>
      </c>
      <c r="C52" s="141">
        <f aca="true" t="shared" si="7" ref="C52:H52">SUM(C50+C6)</f>
        <v>961.72</v>
      </c>
      <c r="D52" s="30">
        <f t="shared" si="7"/>
        <v>932.32</v>
      </c>
      <c r="E52" s="30">
        <f t="shared" si="7"/>
        <v>902.9300000000001</v>
      </c>
      <c r="F52" s="30">
        <f t="shared" si="7"/>
        <v>480</v>
      </c>
      <c r="G52" s="30">
        <f t="shared" si="7"/>
        <v>1011.65</v>
      </c>
      <c r="H52" s="30">
        <f t="shared" si="7"/>
        <v>1031.97</v>
      </c>
    </row>
  </sheetData>
  <sheetProtection/>
  <mergeCells count="2">
    <mergeCell ref="A37:A38"/>
    <mergeCell ref="B37:B38"/>
  </mergeCells>
  <printOptions/>
  <pageMargins left="0.7" right="0.7" top="0.75" bottom="0.75" header="0.3" footer="0.3"/>
  <pageSetup horizontalDpi="300" verticalDpi="300" orientation="portrait" paperSize="9" scale="57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C00000"/>
  </sheetPr>
  <dimension ref="A2:J101"/>
  <sheetViews>
    <sheetView zoomScalePageLayoutView="0" workbookViewId="0" topLeftCell="A94">
      <selection activeCell="F23" sqref="F23"/>
    </sheetView>
  </sheetViews>
  <sheetFormatPr defaultColWidth="8.41015625" defaultRowHeight="18"/>
  <cols>
    <col min="1" max="1" width="8.41015625" style="21" customWidth="1"/>
    <col min="2" max="2" width="29.41015625" style="21" customWidth="1"/>
    <col min="3" max="3" width="8" style="382" customWidth="1"/>
    <col min="4" max="4" width="7.33203125" style="21" customWidth="1"/>
    <col min="5" max="5" width="7.75" style="21" customWidth="1"/>
    <col min="6" max="249" width="7.08203125" style="21" customWidth="1"/>
    <col min="250" max="16384" width="8.41015625" style="21" customWidth="1"/>
  </cols>
  <sheetData>
    <row r="2" spans="1:5" ht="18.75">
      <c r="A2" s="620" t="s">
        <v>1331</v>
      </c>
      <c r="B2" s="620"/>
      <c r="C2" s="620"/>
      <c r="D2" s="620"/>
      <c r="E2" s="620"/>
    </row>
    <row r="3" ht="19.5" thickBot="1">
      <c r="C3" s="243"/>
    </row>
    <row r="4" spans="1:5" ht="19.5" thickBot="1">
      <c r="A4" s="595">
        <v>910123</v>
      </c>
      <c r="B4" s="245" t="s">
        <v>245</v>
      </c>
      <c r="C4" s="421" t="s">
        <v>616</v>
      </c>
      <c r="D4" s="41" t="s">
        <v>626</v>
      </c>
      <c r="E4" s="34">
        <v>2016</v>
      </c>
    </row>
    <row r="5" spans="1:5" ht="19.5" thickBot="1">
      <c r="A5" s="596" t="s">
        <v>1409</v>
      </c>
      <c r="B5" s="210"/>
      <c r="C5" s="295"/>
      <c r="D5" s="34"/>
      <c r="E5" s="34"/>
    </row>
    <row r="6" spans="1:5" ht="18.75">
      <c r="A6" s="249" t="s">
        <v>819</v>
      </c>
      <c r="B6" s="250" t="s">
        <v>1238</v>
      </c>
      <c r="C6" s="376"/>
      <c r="D6" s="565"/>
      <c r="E6" s="565"/>
    </row>
    <row r="7" spans="1:5" ht="18.75">
      <c r="A7" s="253" t="s">
        <v>822</v>
      </c>
      <c r="B7" s="254" t="s">
        <v>821</v>
      </c>
      <c r="C7" s="377"/>
      <c r="D7" s="34"/>
      <c r="E7" s="34"/>
    </row>
    <row r="8" spans="1:5" ht="18.75">
      <c r="A8" s="253" t="s">
        <v>823</v>
      </c>
      <c r="B8" s="254" t="s">
        <v>820</v>
      </c>
      <c r="C8" s="377"/>
      <c r="D8" s="34"/>
      <c r="E8" s="381"/>
    </row>
    <row r="9" spans="1:5" ht="18.75">
      <c r="A9" s="253" t="s">
        <v>825</v>
      </c>
      <c r="B9" s="254" t="s">
        <v>824</v>
      </c>
      <c r="C9" s="377"/>
      <c r="D9" s="34"/>
      <c r="E9" s="34"/>
    </row>
    <row r="10" spans="1:5" ht="18.75">
      <c r="A10" s="253" t="s">
        <v>826</v>
      </c>
      <c r="B10" s="260" t="s">
        <v>1239</v>
      </c>
      <c r="C10" s="377"/>
      <c r="D10" s="34"/>
      <c r="E10" s="34"/>
    </row>
    <row r="11" spans="1:5" ht="18.75">
      <c r="A11" s="253" t="s">
        <v>1233</v>
      </c>
      <c r="B11" s="260" t="s">
        <v>1240</v>
      </c>
      <c r="C11" s="378"/>
      <c r="D11" s="34"/>
      <c r="E11" s="34"/>
    </row>
    <row r="12" spans="1:5" ht="18.75">
      <c r="A12" s="253" t="s">
        <v>1241</v>
      </c>
      <c r="B12" s="262" t="s">
        <v>1234</v>
      </c>
      <c r="C12" s="377"/>
      <c r="D12" s="34"/>
      <c r="E12" s="34"/>
    </row>
    <row r="13" spans="1:5" ht="18.75">
      <c r="A13" s="253" t="s">
        <v>1242</v>
      </c>
      <c r="B13" s="262" t="s">
        <v>1235</v>
      </c>
      <c r="C13" s="377"/>
      <c r="D13" s="34"/>
      <c r="E13" s="34"/>
    </row>
    <row r="14" spans="1:5" ht="18.75">
      <c r="A14" s="253" t="s">
        <v>1243</v>
      </c>
      <c r="B14" s="254" t="s">
        <v>528</v>
      </c>
      <c r="C14" s="377"/>
      <c r="D14" s="34"/>
      <c r="E14" s="34"/>
    </row>
    <row r="15" spans="1:5" ht="18.75">
      <c r="A15" s="253" t="s">
        <v>1244</v>
      </c>
      <c r="B15" s="254" t="s">
        <v>1236</v>
      </c>
      <c r="C15" s="377"/>
      <c r="D15" s="34"/>
      <c r="E15" s="34"/>
    </row>
    <row r="16" spans="1:5" ht="19.5" thickBot="1">
      <c r="A16" s="264" t="s">
        <v>1245</v>
      </c>
      <c r="B16" s="265" t="s">
        <v>791</v>
      </c>
      <c r="C16" s="377"/>
      <c r="D16" s="34"/>
      <c r="E16" s="34"/>
    </row>
    <row r="17" spans="1:5" ht="19.5" thickBot="1">
      <c r="A17" s="568" t="s">
        <v>1327</v>
      </c>
      <c r="B17" s="569" t="s">
        <v>1249</v>
      </c>
      <c r="C17" s="379">
        <f>SUM(C6:C16)</f>
        <v>0</v>
      </c>
      <c r="D17" s="379">
        <f>SUM(D6:D16)</f>
        <v>0</v>
      </c>
      <c r="E17" s="379">
        <f>SUM(E6:E16)</f>
        <v>0</v>
      </c>
    </row>
    <row r="18" spans="1:5" ht="19.5" thickBot="1">
      <c r="A18" s="557" t="s">
        <v>1329</v>
      </c>
      <c r="B18" s="558" t="s">
        <v>1248</v>
      </c>
      <c r="C18" s="377"/>
      <c r="D18" s="34"/>
      <c r="E18" s="34"/>
    </row>
    <row r="19" spans="1:5" ht="19.5" thickBot="1">
      <c r="A19" s="557" t="s">
        <v>1328</v>
      </c>
      <c r="B19" s="558" t="s">
        <v>1246</v>
      </c>
      <c r="C19" s="377"/>
      <c r="D19" s="34"/>
      <c r="E19" s="34"/>
    </row>
    <row r="20" spans="1:5" ht="19.5" thickBot="1">
      <c r="A20" s="557" t="s">
        <v>1253</v>
      </c>
      <c r="B20" s="558" t="s">
        <v>19</v>
      </c>
      <c r="C20" s="377"/>
      <c r="D20" s="34"/>
      <c r="E20" s="34"/>
    </row>
    <row r="21" spans="1:5" ht="19.5" thickBot="1">
      <c r="A21" s="557" t="s">
        <v>1254</v>
      </c>
      <c r="B21" s="558" t="s">
        <v>889</v>
      </c>
      <c r="C21" s="377">
        <v>420</v>
      </c>
      <c r="D21" s="34"/>
      <c r="E21" s="34">
        <v>480</v>
      </c>
    </row>
    <row r="22" spans="1:6" ht="19.5" thickBot="1">
      <c r="A22" s="568" t="s">
        <v>1330</v>
      </c>
      <c r="B22" s="569" t="s">
        <v>1247</v>
      </c>
      <c r="C22" s="377">
        <f>SUM(C18:C21)</f>
        <v>420</v>
      </c>
      <c r="D22" s="377">
        <f>SUM(D18:D21)</f>
        <v>0</v>
      </c>
      <c r="E22" s="377">
        <f>SUM(E18:E21)</f>
        <v>480</v>
      </c>
      <c r="F22" s="21" t="s">
        <v>1588</v>
      </c>
    </row>
    <row r="23" spans="1:5" ht="27" customHeight="1" thickBot="1">
      <c r="A23" s="268" t="s">
        <v>1250</v>
      </c>
      <c r="B23" s="269" t="s">
        <v>1237</v>
      </c>
      <c r="C23" s="379">
        <f>SUM(C22,C17)</f>
        <v>420</v>
      </c>
      <c r="D23" s="379">
        <f>SUM(D22,D17)</f>
        <v>0</v>
      </c>
      <c r="E23" s="379">
        <f>SUM(E22,E17)</f>
        <v>480</v>
      </c>
    </row>
    <row r="24" spans="1:5" ht="19.5" thickBot="1">
      <c r="A24" s="270"/>
      <c r="B24" s="271"/>
      <c r="C24" s="377"/>
      <c r="D24" s="34"/>
      <c r="E24" s="34"/>
    </row>
    <row r="25" spans="1:6" ht="18.75">
      <c r="A25" s="272" t="s">
        <v>1255</v>
      </c>
      <c r="B25" s="97" t="s">
        <v>590</v>
      </c>
      <c r="C25" s="275">
        <v>114</v>
      </c>
      <c r="D25" s="44"/>
      <c r="E25" s="118">
        <f>F25*27%</f>
        <v>129.60000000000002</v>
      </c>
      <c r="F25" s="21">
        <f>E22</f>
        <v>480</v>
      </c>
    </row>
    <row r="26" spans="1:5" ht="18.75">
      <c r="A26" s="559" t="s">
        <v>1256</v>
      </c>
      <c r="B26" s="97" t="s">
        <v>1251</v>
      </c>
      <c r="C26" s="275"/>
      <c r="D26" s="44"/>
      <c r="E26" s="34"/>
    </row>
    <row r="27" spans="1:5" ht="18.75">
      <c r="A27" s="276" t="s">
        <v>1252</v>
      </c>
      <c r="B27" s="255" t="s">
        <v>4</v>
      </c>
      <c r="C27" s="378"/>
      <c r="D27" s="34"/>
      <c r="E27" s="34"/>
    </row>
    <row r="28" spans="1:5" ht="19.5" thickBot="1">
      <c r="A28" s="462" t="s">
        <v>1257</v>
      </c>
      <c r="B28" s="255" t="s">
        <v>635</v>
      </c>
      <c r="C28" s="378"/>
      <c r="D28" s="34"/>
      <c r="E28" s="34"/>
    </row>
    <row r="29" spans="1:5" ht="19.5" thickBot="1">
      <c r="A29" s="582" t="s">
        <v>1258</v>
      </c>
      <c r="B29" s="583" t="s">
        <v>69</v>
      </c>
      <c r="C29" s="378">
        <f>SUM(C25:C28)</f>
        <v>114</v>
      </c>
      <c r="D29" s="378">
        <f>SUM(D25:D28)</f>
        <v>0</v>
      </c>
      <c r="E29" s="378">
        <f>SUM(E25:E28)</f>
        <v>129.60000000000002</v>
      </c>
    </row>
    <row r="30" spans="1:5" ht="19.5" thickBot="1">
      <c r="A30" s="282"/>
      <c r="B30" s="283"/>
      <c r="C30" s="377"/>
      <c r="D30" s="34"/>
      <c r="E30" s="34"/>
    </row>
    <row r="31" spans="1:5" ht="18.75">
      <c r="A31" s="249" t="s">
        <v>1259</v>
      </c>
      <c r="B31" s="291" t="s">
        <v>533</v>
      </c>
      <c r="C31" s="377"/>
      <c r="D31" s="34"/>
      <c r="E31" s="34"/>
    </row>
    <row r="32" spans="1:5" ht="18.75">
      <c r="A32" s="253" t="s">
        <v>1260</v>
      </c>
      <c r="B32" s="254" t="s">
        <v>534</v>
      </c>
      <c r="C32" s="377">
        <v>50</v>
      </c>
      <c r="D32" s="41">
        <v>32</v>
      </c>
      <c r="E32" s="34">
        <v>40</v>
      </c>
    </row>
    <row r="33" spans="1:5" ht="18.75">
      <c r="A33" s="253" t="s">
        <v>1262</v>
      </c>
      <c r="B33" s="254" t="s">
        <v>1261</v>
      </c>
      <c r="C33" s="377"/>
      <c r="D33" s="41"/>
      <c r="E33" s="34"/>
    </row>
    <row r="34" spans="1:5" ht="18.75">
      <c r="A34" s="253" t="s">
        <v>1263</v>
      </c>
      <c r="B34" s="254" t="s">
        <v>124</v>
      </c>
      <c r="C34" s="377"/>
      <c r="D34" s="41"/>
      <c r="E34" s="34"/>
    </row>
    <row r="35" spans="1:6" ht="18.75">
      <c r="A35" s="253" t="s">
        <v>1264</v>
      </c>
      <c r="B35" s="254" t="s">
        <v>1265</v>
      </c>
      <c r="C35" s="570">
        <v>118</v>
      </c>
      <c r="D35" s="41">
        <v>129</v>
      </c>
      <c r="E35" s="34">
        <v>130</v>
      </c>
      <c r="F35" s="21" t="s">
        <v>1536</v>
      </c>
    </row>
    <row r="36" spans="1:5" ht="18.75">
      <c r="A36" s="253" t="s">
        <v>1335</v>
      </c>
      <c r="B36" s="562" t="s">
        <v>548</v>
      </c>
      <c r="C36" s="570">
        <f>SUM(C31:C35)</f>
        <v>168</v>
      </c>
      <c r="D36" s="570">
        <f>SUM(D31:D35)</f>
        <v>161</v>
      </c>
      <c r="E36" s="570">
        <f>SUM(E31:E35)</f>
        <v>170</v>
      </c>
    </row>
    <row r="37" spans="1:5" ht="18.75">
      <c r="A37" s="253" t="s">
        <v>1342</v>
      </c>
      <c r="B37" s="254" t="s">
        <v>1343</v>
      </c>
      <c r="C37" s="570"/>
      <c r="D37" s="570"/>
      <c r="E37" s="570"/>
    </row>
    <row r="38" spans="1:5" ht="18.75">
      <c r="A38" s="253" t="s">
        <v>1344</v>
      </c>
      <c r="B38" s="254" t="s">
        <v>1267</v>
      </c>
      <c r="C38" s="570"/>
      <c r="D38" s="34"/>
      <c r="E38" s="34"/>
    </row>
    <row r="39" spans="1:5" ht="18.75">
      <c r="A39" s="253" t="s">
        <v>1345</v>
      </c>
      <c r="B39" s="254" t="s">
        <v>88</v>
      </c>
      <c r="C39" s="570"/>
      <c r="D39" s="34"/>
      <c r="E39" s="34"/>
    </row>
    <row r="40" spans="1:5" ht="18.75">
      <c r="A40" s="253" t="s">
        <v>1346</v>
      </c>
      <c r="B40" s="254" t="s">
        <v>1268</v>
      </c>
      <c r="C40" s="377"/>
      <c r="D40" s="34"/>
      <c r="E40" s="34"/>
    </row>
    <row r="41" spans="1:5" ht="19.5" thickBot="1">
      <c r="A41" s="288" t="s">
        <v>1347</v>
      </c>
      <c r="B41" s="289" t="s">
        <v>1269</v>
      </c>
      <c r="C41" s="377">
        <v>16</v>
      </c>
      <c r="D41" s="34">
        <v>9</v>
      </c>
      <c r="E41" s="34">
        <v>20</v>
      </c>
    </row>
    <row r="42" spans="1:5" ht="17.25" customHeight="1" thickBot="1">
      <c r="A42" s="268" t="s">
        <v>1266</v>
      </c>
      <c r="B42" s="571" t="s">
        <v>1270</v>
      </c>
      <c r="C42" s="377">
        <f>SUM(C37:C41)</f>
        <v>16</v>
      </c>
      <c r="D42" s="377">
        <f>SUM(D38:D41)</f>
        <v>9</v>
      </c>
      <c r="E42" s="377">
        <f>SUM(E38:E41)</f>
        <v>20</v>
      </c>
    </row>
    <row r="43" spans="1:5" ht="22.5" customHeight="1" thickBot="1">
      <c r="A43" s="572" t="s">
        <v>1300</v>
      </c>
      <c r="B43" s="573" t="s">
        <v>595</v>
      </c>
      <c r="C43" s="574">
        <f>SUM(C42,C36)</f>
        <v>184</v>
      </c>
      <c r="D43" s="574">
        <f>SUM(D42,D36)</f>
        <v>170</v>
      </c>
      <c r="E43" s="574">
        <f>SUM(E42,E36)</f>
        <v>190</v>
      </c>
    </row>
    <row r="44" spans="1:5" ht="18.75">
      <c r="A44" s="249" t="s">
        <v>1271</v>
      </c>
      <c r="B44" s="291" t="s">
        <v>1348</v>
      </c>
      <c r="C44" s="377">
        <v>120</v>
      </c>
      <c r="D44" s="34">
        <v>126</v>
      </c>
      <c r="E44" s="34">
        <v>130</v>
      </c>
    </row>
    <row r="45" spans="1:5" ht="18.75">
      <c r="A45" s="494" t="s">
        <v>1350</v>
      </c>
      <c r="B45" s="590" t="s">
        <v>1351</v>
      </c>
      <c r="C45" s="377"/>
      <c r="D45" s="34"/>
      <c r="E45" s="34"/>
    </row>
    <row r="46" spans="1:5" ht="18.75">
      <c r="A46" s="253" t="s">
        <v>1272</v>
      </c>
      <c r="B46" s="254" t="s">
        <v>1349</v>
      </c>
      <c r="C46" s="295">
        <v>87</v>
      </c>
      <c r="D46" s="566">
        <v>89</v>
      </c>
      <c r="E46" s="34">
        <v>90</v>
      </c>
    </row>
    <row r="47" spans="1:5" ht="18.75">
      <c r="A47" s="575" t="s">
        <v>1301</v>
      </c>
      <c r="B47" s="576" t="s">
        <v>1366</v>
      </c>
      <c r="C47" s="577">
        <f>SUM(C44:C46)</f>
        <v>207</v>
      </c>
      <c r="D47" s="577">
        <f>SUM(D44:D46)</f>
        <v>215</v>
      </c>
      <c r="E47" s="577">
        <f>SUM(E44:E46)</f>
        <v>220</v>
      </c>
    </row>
    <row r="48" spans="1:5" ht="18.75">
      <c r="A48" s="253" t="s">
        <v>1275</v>
      </c>
      <c r="B48" s="254" t="s">
        <v>544</v>
      </c>
      <c r="C48" s="295"/>
      <c r="D48" s="566"/>
      <c r="E48" s="34"/>
    </row>
    <row r="49" spans="1:5" ht="18.75">
      <c r="A49" s="253" t="s">
        <v>1274</v>
      </c>
      <c r="B49" s="254" t="s">
        <v>543</v>
      </c>
      <c r="C49" s="295"/>
      <c r="D49" s="34"/>
      <c r="E49" s="34"/>
    </row>
    <row r="50" spans="1:5" ht="18.75">
      <c r="A50" s="253" t="s">
        <v>1276</v>
      </c>
      <c r="B50" s="254" t="s">
        <v>503</v>
      </c>
      <c r="C50" s="295"/>
      <c r="D50" s="34"/>
      <c r="E50" s="34"/>
    </row>
    <row r="51" spans="1:5" ht="18.75">
      <c r="A51" s="575" t="s">
        <v>1273</v>
      </c>
      <c r="B51" s="576" t="s">
        <v>1277</v>
      </c>
      <c r="C51" s="577">
        <f>SUM(C48:C50)</f>
        <v>0</v>
      </c>
      <c r="D51" s="577">
        <f>SUM(D48:D50)</f>
        <v>0</v>
      </c>
      <c r="E51" s="577">
        <f>SUM(E48:E50)</f>
        <v>0</v>
      </c>
    </row>
    <row r="52" spans="1:5" ht="18.75">
      <c r="A52" s="253" t="s">
        <v>1332</v>
      </c>
      <c r="B52" s="254" t="s">
        <v>1278</v>
      </c>
      <c r="C52" s="295"/>
      <c r="D52" s="34"/>
      <c r="E52" s="34"/>
    </row>
    <row r="53" spans="1:5" ht="18.75">
      <c r="A53" s="253" t="s">
        <v>1280</v>
      </c>
      <c r="B53" s="254" t="s">
        <v>26</v>
      </c>
      <c r="C53" s="295"/>
      <c r="D53" s="41"/>
      <c r="E53" s="34"/>
    </row>
    <row r="54" spans="1:5" ht="18.75">
      <c r="A54" s="253" t="s">
        <v>1281</v>
      </c>
      <c r="B54" s="254" t="s">
        <v>1352</v>
      </c>
      <c r="C54" s="377"/>
      <c r="D54" s="34"/>
      <c r="E54" s="34"/>
    </row>
    <row r="55" spans="1:5" ht="18.75">
      <c r="A55" s="575" t="s">
        <v>1283</v>
      </c>
      <c r="B55" s="576" t="s">
        <v>1282</v>
      </c>
      <c r="C55" s="574">
        <f>SUM(C53:C54)</f>
        <v>0</v>
      </c>
      <c r="D55" s="574">
        <f>SUM(D53:D54)</f>
        <v>0</v>
      </c>
      <c r="E55" s="574">
        <f>SUM(E53:E54)</f>
        <v>0</v>
      </c>
    </row>
    <row r="56" spans="1:5" ht="18.75">
      <c r="A56" s="575" t="s">
        <v>1284</v>
      </c>
      <c r="B56" s="588" t="s">
        <v>1333</v>
      </c>
      <c r="C56" s="589"/>
      <c r="D56" s="589"/>
      <c r="E56" s="589"/>
    </row>
    <row r="57" spans="1:5" ht="18.75">
      <c r="A57" s="288"/>
      <c r="B57" s="554" t="s">
        <v>943</v>
      </c>
      <c r="C57" s="554"/>
      <c r="D57" s="554"/>
      <c r="E57" s="554"/>
    </row>
    <row r="58" spans="1:6" ht="18.75">
      <c r="A58" s="288" t="s">
        <v>1353</v>
      </c>
      <c r="B58" s="554" t="s">
        <v>547</v>
      </c>
      <c r="C58" s="554"/>
      <c r="D58" s="554">
        <v>43</v>
      </c>
      <c r="E58" s="554"/>
      <c r="F58" s="21" t="s">
        <v>1537</v>
      </c>
    </row>
    <row r="59" spans="1:5" ht="18.75">
      <c r="A59" s="288" t="s">
        <v>1354</v>
      </c>
      <c r="B59" s="554" t="s">
        <v>1355</v>
      </c>
      <c r="C59" s="554"/>
      <c r="D59" s="554"/>
      <c r="E59" s="554"/>
    </row>
    <row r="60" spans="1:5" ht="27" customHeight="1">
      <c r="A60" s="561" t="s">
        <v>1285</v>
      </c>
      <c r="B60" s="552" t="s">
        <v>945</v>
      </c>
      <c r="C60" s="591">
        <f>SUM(C58:C59)</f>
        <v>0</v>
      </c>
      <c r="D60" s="591">
        <f>SUM(D58:D59)</f>
        <v>43</v>
      </c>
      <c r="E60" s="591">
        <f>SUM(E58:E59)</f>
        <v>0</v>
      </c>
    </row>
    <row r="61" spans="1:5" ht="23.25" customHeight="1">
      <c r="A61" s="462" t="s">
        <v>1356</v>
      </c>
      <c r="B61" s="553" t="s">
        <v>1362</v>
      </c>
      <c r="C61" s="591"/>
      <c r="D61" s="591"/>
      <c r="E61" s="591"/>
    </row>
    <row r="62" spans="1:5" ht="23.25" customHeight="1">
      <c r="A62" s="462" t="s">
        <v>1357</v>
      </c>
      <c r="B62" s="553" t="s">
        <v>1358</v>
      </c>
      <c r="C62" s="591"/>
      <c r="D62" s="591"/>
      <c r="E62" s="591"/>
    </row>
    <row r="63" spans="1:5" ht="23.25" customHeight="1">
      <c r="A63" s="462" t="s">
        <v>1359</v>
      </c>
      <c r="B63" s="553" t="s">
        <v>9</v>
      </c>
      <c r="C63" s="591"/>
      <c r="D63" s="591"/>
      <c r="E63" s="591"/>
    </row>
    <row r="64" spans="1:6" ht="23.25" customHeight="1" thickBot="1">
      <c r="A64" s="462" t="s">
        <v>1360</v>
      </c>
      <c r="B64" s="553" t="s">
        <v>1361</v>
      </c>
      <c r="C64" s="591"/>
      <c r="D64" s="591"/>
      <c r="E64" s="591"/>
      <c r="F64" s="21" t="s">
        <v>1368</v>
      </c>
    </row>
    <row r="65" spans="1:5" ht="17.25" customHeight="1" thickBot="1">
      <c r="A65" s="298" t="s">
        <v>1286</v>
      </c>
      <c r="B65" s="552" t="s">
        <v>948</v>
      </c>
      <c r="C65" s="591">
        <f>SUM(C61:C64)</f>
        <v>0</v>
      </c>
      <c r="D65" s="591">
        <f>SUM(D61:D64)</f>
        <v>0</v>
      </c>
      <c r="E65" s="591">
        <f>SUM(E61:E64)</f>
        <v>0</v>
      </c>
    </row>
    <row r="66" spans="1:5" ht="25.5" customHeight="1">
      <c r="A66" s="578" t="s">
        <v>1279</v>
      </c>
      <c r="B66" s="579" t="s">
        <v>1287</v>
      </c>
      <c r="C66" s="579">
        <f>SUM(C65+C60+C56+C55+C52)</f>
        <v>0</v>
      </c>
      <c r="D66" s="603">
        <f>SUM(D65+D60+D56+D55+D52+D51)</f>
        <v>43</v>
      </c>
      <c r="E66" s="579">
        <f>SUM(E65+E60+E56+E55+E52)</f>
        <v>0</v>
      </c>
    </row>
    <row r="67" spans="1:5" ht="18.75">
      <c r="A67" s="253" t="s">
        <v>1288</v>
      </c>
      <c r="B67" s="553" t="s">
        <v>952</v>
      </c>
      <c r="C67" s="553"/>
      <c r="D67" s="553"/>
      <c r="E67" s="553"/>
    </row>
    <row r="68" spans="1:5" ht="18.75">
      <c r="A68" s="253" t="s">
        <v>1289</v>
      </c>
      <c r="B68" s="553" t="s">
        <v>954</v>
      </c>
      <c r="C68" s="553"/>
      <c r="D68" s="553"/>
      <c r="E68" s="553"/>
    </row>
    <row r="69" spans="1:5" ht="24" customHeight="1">
      <c r="A69" s="575" t="s">
        <v>1291</v>
      </c>
      <c r="B69" s="579" t="s">
        <v>1290</v>
      </c>
      <c r="C69" s="579">
        <f>SUM(C67:C68)</f>
        <v>0</v>
      </c>
      <c r="D69" s="579">
        <f>SUM(D67:D68)</f>
        <v>0</v>
      </c>
      <c r="E69" s="579">
        <f>SUM(E67:E68)</f>
        <v>0</v>
      </c>
    </row>
    <row r="70" spans="1:7" ht="26.25" customHeight="1" thickBot="1">
      <c r="A70" s="561" t="s">
        <v>1294</v>
      </c>
      <c r="B70" s="552" t="s">
        <v>958</v>
      </c>
      <c r="C70" s="552">
        <v>107</v>
      </c>
      <c r="D70" s="552">
        <v>88</v>
      </c>
      <c r="E70" s="552">
        <v>111</v>
      </c>
      <c r="F70" s="597">
        <f>E43+E47+E51+E55+E56+E60</f>
        <v>410</v>
      </c>
      <c r="G70" s="21">
        <f>F70*27%</f>
        <v>110.7</v>
      </c>
    </row>
    <row r="71" spans="1:5" ht="27" customHeight="1" thickBot="1">
      <c r="A71" s="268" t="s">
        <v>1295</v>
      </c>
      <c r="B71" s="552" t="s">
        <v>960</v>
      </c>
      <c r="C71" s="552"/>
      <c r="D71" s="552"/>
      <c r="E71" s="552"/>
    </row>
    <row r="72" spans="1:5" ht="19.5" thickBot="1">
      <c r="A72" s="210" t="s">
        <v>1296</v>
      </c>
      <c r="B72" s="552" t="s">
        <v>1293</v>
      </c>
      <c r="C72" s="552"/>
      <c r="D72" s="552"/>
      <c r="E72" s="552"/>
    </row>
    <row r="73" spans="1:5" ht="24.75" customHeight="1">
      <c r="A73" s="593" t="s">
        <v>1298</v>
      </c>
      <c r="B73" s="594" t="s">
        <v>1363</v>
      </c>
      <c r="C73" s="594"/>
      <c r="D73" s="552"/>
      <c r="E73" s="552"/>
    </row>
    <row r="74" spans="1:6" ht="24.75" customHeight="1">
      <c r="A74" s="592" t="s">
        <v>1364</v>
      </c>
      <c r="B74" s="563" t="s">
        <v>1365</v>
      </c>
      <c r="C74" s="563"/>
      <c r="D74" s="553"/>
      <c r="E74" s="553"/>
      <c r="F74" s="21" t="s">
        <v>1369</v>
      </c>
    </row>
    <row r="75" spans="1:5" ht="24.75" customHeight="1">
      <c r="A75" s="592" t="s">
        <v>1370</v>
      </c>
      <c r="B75" s="563" t="s">
        <v>1367</v>
      </c>
      <c r="C75" s="563"/>
      <c r="D75" s="553"/>
      <c r="E75" s="553"/>
    </row>
    <row r="76" spans="1:5" ht="18.75">
      <c r="A76" s="98" t="s">
        <v>1297</v>
      </c>
      <c r="B76" s="552" t="s">
        <v>970</v>
      </c>
      <c r="C76" s="552">
        <f>SUM(C74:C75)</f>
        <v>0</v>
      </c>
      <c r="D76" s="552">
        <f>SUM(D74:D75)</f>
        <v>0</v>
      </c>
      <c r="E76" s="552">
        <f>SUM(E74:E75)</f>
        <v>0</v>
      </c>
    </row>
    <row r="77" spans="1:5" ht="24.75" customHeight="1">
      <c r="A77" s="580" t="s">
        <v>1292</v>
      </c>
      <c r="B77" s="579" t="s">
        <v>1334</v>
      </c>
      <c r="C77" s="579">
        <f>C76+C73+C72+C71+C70</f>
        <v>107</v>
      </c>
      <c r="D77" s="579">
        <f>D76+D73+D72+D71+D70</f>
        <v>88</v>
      </c>
      <c r="E77" s="579">
        <f>E76+E73+E72+E71+E70</f>
        <v>111</v>
      </c>
    </row>
    <row r="78" spans="1:10" ht="24.75" customHeight="1">
      <c r="A78" s="587" t="s">
        <v>1299</v>
      </c>
      <c r="B78" s="585" t="s">
        <v>70</v>
      </c>
      <c r="C78" s="579">
        <f>SUM(C77+C69+C66+C47+C43)</f>
        <v>498</v>
      </c>
      <c r="D78" s="579">
        <f>SUM(D77+D69+D66+D47+D43)</f>
        <v>516</v>
      </c>
      <c r="E78" s="579">
        <f>SUM(E77+E69+E66+E47+E43)</f>
        <v>521</v>
      </c>
      <c r="F78" s="560"/>
      <c r="G78" s="560"/>
      <c r="H78" s="560"/>
      <c r="I78" s="560"/>
      <c r="J78" s="560"/>
    </row>
    <row r="79" spans="1:10" ht="24.75" customHeight="1">
      <c r="A79" s="98" t="s">
        <v>1307</v>
      </c>
      <c r="B79" s="553" t="s">
        <v>1302</v>
      </c>
      <c r="C79" s="552"/>
      <c r="D79" s="552"/>
      <c r="E79" s="552"/>
      <c r="F79" s="560"/>
      <c r="G79" s="560"/>
      <c r="H79" s="560"/>
      <c r="I79" s="560"/>
      <c r="J79" s="560"/>
    </row>
    <row r="80" spans="1:10" ht="24.75" customHeight="1">
      <c r="A80" s="98" t="s">
        <v>1306</v>
      </c>
      <c r="B80" s="553" t="s">
        <v>1308</v>
      </c>
      <c r="C80" s="552"/>
      <c r="D80" s="552"/>
      <c r="E80" s="552"/>
      <c r="F80" s="560"/>
      <c r="G80" s="560"/>
      <c r="H80" s="560"/>
      <c r="I80" s="560"/>
      <c r="J80" s="560"/>
    </row>
    <row r="81" spans="1:10" ht="24.75" customHeight="1">
      <c r="A81" s="98"/>
      <c r="B81" s="97" t="s">
        <v>1304</v>
      </c>
      <c r="C81" s="552"/>
      <c r="D81" s="552"/>
      <c r="E81" s="552"/>
      <c r="F81" s="560"/>
      <c r="G81" s="560"/>
      <c r="H81" s="560"/>
      <c r="I81" s="560"/>
      <c r="J81" s="560"/>
    </row>
    <row r="82" spans="1:5" ht="18.75">
      <c r="A82" s="98"/>
      <c r="B82" s="97" t="s">
        <v>1303</v>
      </c>
      <c r="C82" s="377"/>
      <c r="D82" s="34"/>
      <c r="E82" s="34"/>
    </row>
    <row r="83" spans="1:5" ht="18.75">
      <c r="A83" s="98"/>
      <c r="B83" s="567" t="s">
        <v>1305</v>
      </c>
      <c r="C83" s="377"/>
      <c r="D83" s="34"/>
      <c r="E83" s="34"/>
    </row>
    <row r="84" spans="1:5" ht="25.5">
      <c r="A84" s="580" t="s">
        <v>1341</v>
      </c>
      <c r="B84" s="579" t="s">
        <v>1337</v>
      </c>
      <c r="C84" s="377">
        <f>SUM(C80:C83)</f>
        <v>0</v>
      </c>
      <c r="D84" s="377">
        <f>SUM(D80:D83)</f>
        <v>0</v>
      </c>
      <c r="E84" s="377">
        <f>SUM(E80:E83)</f>
        <v>0</v>
      </c>
    </row>
    <row r="85" spans="1:5" s="564" customFormat="1" ht="18.75">
      <c r="A85" s="587" t="s">
        <v>1336</v>
      </c>
      <c r="B85" s="587" t="s">
        <v>1340</v>
      </c>
      <c r="C85" s="574">
        <f>SUM(C79+C84)</f>
        <v>0</v>
      </c>
      <c r="D85" s="574">
        <f>SUM(D79+D84)</f>
        <v>0</v>
      </c>
      <c r="E85" s="574">
        <f>SUM(E79+E84)</f>
        <v>0</v>
      </c>
    </row>
    <row r="86" spans="1:5" ht="18.75">
      <c r="A86" s="97" t="s">
        <v>1309</v>
      </c>
      <c r="B86" s="553" t="s">
        <v>1113</v>
      </c>
      <c r="C86" s="553"/>
      <c r="D86" s="553"/>
      <c r="E86" s="553"/>
    </row>
    <row r="87" spans="1:5" s="382" customFormat="1" ht="15">
      <c r="A87" s="97" t="s">
        <v>1310</v>
      </c>
      <c r="B87" s="553" t="s">
        <v>1371</v>
      </c>
      <c r="C87" s="553"/>
      <c r="D87" s="553"/>
      <c r="E87" s="553"/>
    </row>
    <row r="88" spans="1:5" ht="18.75">
      <c r="A88" s="172" t="s">
        <v>1311</v>
      </c>
      <c r="B88" s="553" t="s">
        <v>1117</v>
      </c>
      <c r="C88" s="553"/>
      <c r="D88" s="553"/>
      <c r="E88" s="553"/>
    </row>
    <row r="89" spans="1:5" ht="24" customHeight="1">
      <c r="A89" s="172" t="s">
        <v>1312</v>
      </c>
      <c r="B89" s="553" t="s">
        <v>1118</v>
      </c>
      <c r="C89" s="553"/>
      <c r="D89" s="553"/>
      <c r="E89" s="553"/>
    </row>
    <row r="90" spans="1:5" ht="26.25" customHeight="1">
      <c r="A90" s="172" t="s">
        <v>1313</v>
      </c>
      <c r="B90" s="553" t="s">
        <v>1120</v>
      </c>
      <c r="C90" s="553"/>
      <c r="D90" s="553"/>
      <c r="E90" s="553"/>
    </row>
    <row r="91" spans="1:5" ht="25.5" customHeight="1">
      <c r="A91" s="172" t="s">
        <v>1314</v>
      </c>
      <c r="B91" s="553" t="s">
        <v>1126</v>
      </c>
      <c r="C91" s="553"/>
      <c r="D91" s="553"/>
      <c r="E91" s="553"/>
    </row>
    <row r="92" spans="1:5" ht="18.75">
      <c r="A92" s="584" t="s">
        <v>1315</v>
      </c>
      <c r="B92" s="585" t="s">
        <v>1339</v>
      </c>
      <c r="C92" s="552">
        <f>SUM(C86:C91)</f>
        <v>0</v>
      </c>
      <c r="D92" s="552">
        <f>SUM(D86:D91)</f>
        <v>0</v>
      </c>
      <c r="E92" s="552">
        <f>SUM(E86:E91)</f>
        <v>0</v>
      </c>
    </row>
    <row r="93" spans="1:5" ht="18.75">
      <c r="A93" s="172" t="s">
        <v>1316</v>
      </c>
      <c r="B93" s="553" t="s">
        <v>1130</v>
      </c>
      <c r="C93" s="553"/>
      <c r="D93" s="553"/>
      <c r="E93" s="553"/>
    </row>
    <row r="94" spans="1:5" ht="18.75">
      <c r="A94" s="172" t="s">
        <v>1317</v>
      </c>
      <c r="B94" s="553" t="s">
        <v>1132</v>
      </c>
      <c r="C94" s="553"/>
      <c r="D94" s="553"/>
      <c r="E94" s="553"/>
    </row>
    <row r="95" spans="1:5" ht="18.75">
      <c r="A95" s="172" t="s">
        <v>1318</v>
      </c>
      <c r="B95" s="553" t="s">
        <v>1134</v>
      </c>
      <c r="C95" s="553"/>
      <c r="D95" s="553"/>
      <c r="E95" s="553"/>
    </row>
    <row r="96" spans="1:5" ht="24" customHeight="1">
      <c r="A96" s="172" t="s">
        <v>1319</v>
      </c>
      <c r="B96" s="553" t="s">
        <v>1136</v>
      </c>
      <c r="C96" s="553"/>
      <c r="D96" s="553"/>
      <c r="E96" s="553"/>
    </row>
    <row r="97" spans="1:5" ht="18.75">
      <c r="A97" s="584" t="s">
        <v>1320</v>
      </c>
      <c r="B97" s="585" t="s">
        <v>1338</v>
      </c>
      <c r="C97" s="552">
        <f>SUM(C93:C96)</f>
        <v>0</v>
      </c>
      <c r="D97" s="552">
        <f>SUM(D93:D96)</f>
        <v>0</v>
      </c>
      <c r="E97" s="552">
        <f>SUM(E93:E96)</f>
        <v>0</v>
      </c>
    </row>
    <row r="98" spans="1:5" ht="25.5" customHeight="1">
      <c r="A98" s="172" t="s">
        <v>1323</v>
      </c>
      <c r="B98" s="555" t="s">
        <v>1325</v>
      </c>
      <c r="C98" s="555"/>
      <c r="D98" s="555"/>
      <c r="E98" s="555"/>
    </row>
    <row r="99" spans="1:5" ht="27" customHeight="1">
      <c r="A99" s="457" t="s">
        <v>1322</v>
      </c>
      <c r="B99" s="553" t="s">
        <v>1321</v>
      </c>
      <c r="C99" s="553"/>
      <c r="D99" s="553"/>
      <c r="E99" s="553"/>
    </row>
    <row r="100" spans="1:5" ht="18.75">
      <c r="A100" s="584" t="s">
        <v>1326</v>
      </c>
      <c r="B100" s="586" t="s">
        <v>1324</v>
      </c>
      <c r="C100" s="295">
        <f>SUM(C98:C99)</f>
        <v>0</v>
      </c>
      <c r="D100" s="295">
        <f>SUM(D98:D99)</f>
        <v>0</v>
      </c>
      <c r="E100" s="295">
        <f>SUM(E98:E99)</f>
        <v>0</v>
      </c>
    </row>
    <row r="101" spans="1:5" ht="18.75">
      <c r="A101" s="34"/>
      <c r="B101" s="36" t="s">
        <v>118</v>
      </c>
      <c r="C101" s="581">
        <f>SUM(C100+C97+C92+C85+C78+C29+C23)</f>
        <v>1032</v>
      </c>
      <c r="D101" s="581">
        <f>SUM(D100+D97+D92+D85+D78+D29+D23)</f>
        <v>516</v>
      </c>
      <c r="E101" s="581">
        <f>SUM(E100+E97+E92+E85+E78+E29+E23)</f>
        <v>1130.6</v>
      </c>
    </row>
  </sheetData>
  <sheetProtection/>
  <mergeCells count="1">
    <mergeCell ref="A2:E2"/>
  </mergeCells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00B050"/>
  </sheetPr>
  <dimension ref="A1:N59"/>
  <sheetViews>
    <sheetView view="pageBreakPreview" zoomScale="60" zoomScalePageLayoutView="0" workbookViewId="0" topLeftCell="A16">
      <selection activeCell="I42" sqref="I42:K42"/>
    </sheetView>
  </sheetViews>
  <sheetFormatPr defaultColWidth="8.66015625" defaultRowHeight="18"/>
  <cols>
    <col min="1" max="1" width="9" style="11" bestFit="1" customWidth="1"/>
    <col min="2" max="2" width="34.33203125" style="11" customWidth="1"/>
    <col min="3" max="4" width="7.41015625" style="11" customWidth="1"/>
    <col min="5" max="5" width="11" style="11" customWidth="1"/>
    <col min="6" max="6" width="8.91015625" style="11" customWidth="1"/>
    <col min="7" max="8" width="10.08203125" style="11" customWidth="1"/>
    <col min="9" max="16384" width="8.91015625" style="11" customWidth="1"/>
  </cols>
  <sheetData>
    <row r="1" spans="1:8" ht="29.25" customHeight="1" thickBot="1">
      <c r="A1" s="135"/>
      <c r="B1" s="151" t="s">
        <v>211</v>
      </c>
      <c r="C1" s="13" t="s">
        <v>305</v>
      </c>
      <c r="D1" s="13" t="s">
        <v>281</v>
      </c>
      <c r="E1" s="17" t="s">
        <v>614</v>
      </c>
      <c r="F1" s="11" t="s">
        <v>626</v>
      </c>
      <c r="G1" s="11" t="s">
        <v>616</v>
      </c>
      <c r="H1" s="11" t="s">
        <v>802</v>
      </c>
    </row>
    <row r="2" spans="1:6" ht="15.75">
      <c r="A2" s="14"/>
      <c r="B2" s="143"/>
      <c r="C2" s="13"/>
      <c r="D2" s="13"/>
      <c r="F2" s="11" t="s">
        <v>199</v>
      </c>
    </row>
    <row r="3" spans="1:8" ht="15.75">
      <c r="A3" s="28"/>
      <c r="B3" s="144" t="s">
        <v>556</v>
      </c>
      <c r="C3" s="25"/>
      <c r="D3" s="25"/>
      <c r="E3" s="25"/>
      <c r="F3" s="25"/>
      <c r="G3" s="25"/>
      <c r="H3" s="25"/>
    </row>
    <row r="4" spans="1:8" ht="15">
      <c r="A4" s="25">
        <v>13152</v>
      </c>
      <c r="B4" s="145" t="s">
        <v>268</v>
      </c>
      <c r="C4" s="25">
        <v>120</v>
      </c>
      <c r="D4" s="25"/>
      <c r="E4" s="25"/>
      <c r="F4" s="25"/>
      <c r="G4" s="25"/>
      <c r="H4" s="25">
        <v>197</v>
      </c>
    </row>
    <row r="5" spans="1:8" ht="15">
      <c r="A5" s="25"/>
      <c r="B5" s="145" t="s">
        <v>555</v>
      </c>
      <c r="C5" s="25"/>
      <c r="D5" s="25">
        <v>394</v>
      </c>
      <c r="E5" s="25"/>
      <c r="F5" s="25"/>
      <c r="G5" s="25"/>
      <c r="H5" s="25"/>
    </row>
    <row r="6" spans="1:8" ht="15">
      <c r="A6" s="25">
        <v>1811</v>
      </c>
      <c r="B6" s="145" t="s">
        <v>232</v>
      </c>
      <c r="C6" s="25">
        <v>32</v>
      </c>
      <c r="D6" s="25">
        <v>106</v>
      </c>
      <c r="E6" s="25"/>
      <c r="F6" s="25"/>
      <c r="G6" s="25"/>
      <c r="H6" s="26">
        <f>H4*27%</f>
        <v>53.190000000000005</v>
      </c>
    </row>
    <row r="7" spans="1:8" ht="15.75">
      <c r="A7" s="28"/>
      <c r="B7" s="144" t="s">
        <v>62</v>
      </c>
      <c r="C7" s="28">
        <f>SUM(C4:C6)</f>
        <v>152</v>
      </c>
      <c r="D7" s="28">
        <f>SUM(D4:D6)</f>
        <v>500</v>
      </c>
      <c r="E7" s="28">
        <f>SUM(E4:E6)</f>
        <v>0</v>
      </c>
      <c r="F7" s="25"/>
      <c r="G7" s="25"/>
      <c r="H7" s="26">
        <f>SUM(H4:H6)</f>
        <v>250.19</v>
      </c>
    </row>
    <row r="8" spans="1:8" ht="12.75" customHeight="1">
      <c r="A8" s="25"/>
      <c r="B8" s="28"/>
      <c r="C8" s="25"/>
      <c r="D8" s="25"/>
      <c r="E8" s="25"/>
      <c r="F8" s="25"/>
      <c r="G8" s="25"/>
      <c r="H8" s="25"/>
    </row>
    <row r="9" spans="1:8" ht="15">
      <c r="A9" s="25"/>
      <c r="B9" s="25"/>
      <c r="C9" s="25"/>
      <c r="D9" s="25"/>
      <c r="E9" s="25"/>
      <c r="F9" s="25"/>
      <c r="G9" s="25"/>
      <c r="H9" s="25"/>
    </row>
    <row r="10" spans="1:8" ht="17.25" customHeight="1">
      <c r="A10" s="25">
        <v>511115</v>
      </c>
      <c r="B10" s="108" t="s">
        <v>135</v>
      </c>
      <c r="C10" s="28">
        <v>1101</v>
      </c>
      <c r="D10" s="28">
        <v>1368</v>
      </c>
      <c r="E10" s="27">
        <f>'[3]GEVSZ'!$P$15/1000</f>
        <v>1214.5</v>
      </c>
      <c r="F10" s="25"/>
      <c r="G10" s="25">
        <v>1257</v>
      </c>
      <c r="H10" s="25">
        <v>1257</v>
      </c>
    </row>
    <row r="11" spans="1:8" ht="18" customHeight="1">
      <c r="A11" s="25">
        <v>512185</v>
      </c>
      <c r="B11" s="108" t="s">
        <v>196</v>
      </c>
      <c r="C11" s="28">
        <v>80</v>
      </c>
      <c r="D11" s="28">
        <v>80</v>
      </c>
      <c r="E11" s="28">
        <v>80</v>
      </c>
      <c r="F11" s="25"/>
      <c r="G11" s="25">
        <v>80</v>
      </c>
      <c r="H11" s="25">
        <v>80</v>
      </c>
    </row>
    <row r="12" spans="1:8" ht="18" customHeight="1">
      <c r="A12" s="25"/>
      <c r="B12" s="108" t="s">
        <v>793</v>
      </c>
      <c r="C12" s="28"/>
      <c r="D12" s="28"/>
      <c r="E12" s="28"/>
      <c r="F12" s="25"/>
      <c r="G12" s="25">
        <v>105</v>
      </c>
      <c r="H12" s="25">
        <v>105</v>
      </c>
    </row>
    <row r="13" spans="1:8" ht="18" customHeight="1">
      <c r="A13" s="25">
        <v>513195</v>
      </c>
      <c r="B13" s="108" t="s">
        <v>147</v>
      </c>
      <c r="C13" s="28">
        <v>10</v>
      </c>
      <c r="D13" s="28">
        <v>10</v>
      </c>
      <c r="E13" s="28"/>
      <c r="F13" s="25"/>
      <c r="G13" s="25"/>
      <c r="H13" s="25"/>
    </row>
    <row r="14" spans="1:8" ht="18" customHeight="1">
      <c r="A14" s="25">
        <v>52213</v>
      </c>
      <c r="B14" s="108" t="s">
        <v>220</v>
      </c>
      <c r="C14" s="28"/>
      <c r="D14" s="28">
        <v>0</v>
      </c>
      <c r="E14" s="28">
        <v>15</v>
      </c>
      <c r="F14" s="25"/>
      <c r="G14" s="25">
        <v>29</v>
      </c>
      <c r="H14" s="25">
        <v>29</v>
      </c>
    </row>
    <row r="15" spans="1:8" ht="18.75" customHeight="1">
      <c r="A15" s="25">
        <v>514145</v>
      </c>
      <c r="B15" s="108" t="s">
        <v>636</v>
      </c>
      <c r="C15" s="28">
        <v>120</v>
      </c>
      <c r="D15" s="28">
        <v>120</v>
      </c>
      <c r="E15" s="28">
        <v>60</v>
      </c>
      <c r="F15" s="25"/>
      <c r="G15" s="25">
        <v>150</v>
      </c>
      <c r="H15" s="25">
        <v>150</v>
      </c>
    </row>
    <row r="16" spans="1:8" ht="18.75" customHeight="1">
      <c r="A16" s="25"/>
      <c r="B16" s="108"/>
      <c r="C16" s="28"/>
      <c r="D16" s="28"/>
      <c r="E16" s="28"/>
      <c r="F16" s="25"/>
      <c r="G16" s="25"/>
      <c r="H16" s="25"/>
    </row>
    <row r="17" spans="1:8" ht="21" customHeight="1">
      <c r="A17" s="25"/>
      <c r="B17" s="28" t="s">
        <v>105</v>
      </c>
      <c r="C17" s="29">
        <f aca="true" t="shared" si="0" ref="C17:H17">SUM(C9:C16)</f>
        <v>1311</v>
      </c>
      <c r="D17" s="29">
        <f t="shared" si="0"/>
        <v>1578</v>
      </c>
      <c r="E17" s="29">
        <f t="shared" si="0"/>
        <v>1369.5</v>
      </c>
      <c r="F17" s="29">
        <f t="shared" si="0"/>
        <v>0</v>
      </c>
      <c r="G17" s="29">
        <f t="shared" si="0"/>
        <v>1621</v>
      </c>
      <c r="H17" s="29">
        <f t="shared" si="0"/>
        <v>1621</v>
      </c>
    </row>
    <row r="18" spans="1:8" ht="9" customHeight="1">
      <c r="A18" s="25"/>
      <c r="B18" s="28"/>
      <c r="C18" s="28"/>
      <c r="D18" s="28"/>
      <c r="E18" s="28"/>
      <c r="F18" s="25"/>
      <c r="G18" s="25"/>
      <c r="H18" s="25"/>
    </row>
    <row r="19" spans="1:10" ht="15.75">
      <c r="A19" s="25">
        <v>244</v>
      </c>
      <c r="B19" s="25" t="s">
        <v>303</v>
      </c>
      <c r="C19" s="27"/>
      <c r="D19" s="27">
        <v>391</v>
      </c>
      <c r="E19" s="27">
        <f>(E17-E15)*27%</f>
        <v>353.565</v>
      </c>
      <c r="F19" s="25"/>
      <c r="G19" s="26">
        <f>I19*27%</f>
        <v>397.17</v>
      </c>
      <c r="H19" s="26">
        <f>J19*27%</f>
        <v>397.17</v>
      </c>
      <c r="I19" s="18">
        <f>G17-G15</f>
        <v>1471</v>
      </c>
      <c r="J19" s="18">
        <f>H17-H15</f>
        <v>1471</v>
      </c>
    </row>
    <row r="20" spans="1:8" ht="15.75">
      <c r="A20" s="25">
        <v>5331</v>
      </c>
      <c r="B20" s="25" t="s">
        <v>4</v>
      </c>
      <c r="C20" s="28"/>
      <c r="D20" s="28"/>
      <c r="E20" s="27">
        <f>E15*16.7%</f>
        <v>10.02</v>
      </c>
      <c r="F20" s="25"/>
      <c r="G20" s="25">
        <v>25</v>
      </c>
      <c r="H20" s="25">
        <v>25</v>
      </c>
    </row>
    <row r="21" spans="1:8" ht="15.75">
      <c r="A21" s="25">
        <v>5341</v>
      </c>
      <c r="B21" s="25" t="s">
        <v>634</v>
      </c>
      <c r="C21" s="28"/>
      <c r="D21" s="28"/>
      <c r="E21" s="27"/>
      <c r="F21" s="25"/>
      <c r="G21" s="25">
        <v>29</v>
      </c>
      <c r="H21" s="25">
        <v>29</v>
      </c>
    </row>
    <row r="22" spans="1:8" ht="18.75" customHeight="1">
      <c r="A22" s="28">
        <v>53</v>
      </c>
      <c r="B22" s="28" t="s">
        <v>99</v>
      </c>
      <c r="C22" s="29">
        <f aca="true" t="shared" si="1" ref="C22:H22">SUM(C19:C21)</f>
        <v>0</v>
      </c>
      <c r="D22" s="29">
        <f t="shared" si="1"/>
        <v>391</v>
      </c>
      <c r="E22" s="27">
        <f t="shared" si="1"/>
        <v>363.585</v>
      </c>
      <c r="F22" s="27">
        <f t="shared" si="1"/>
        <v>0</v>
      </c>
      <c r="G22" s="27">
        <f t="shared" si="1"/>
        <v>451.17</v>
      </c>
      <c r="H22" s="27">
        <f t="shared" si="1"/>
        <v>451.17</v>
      </c>
    </row>
    <row r="23" spans="1:8" ht="18.75" customHeight="1">
      <c r="A23" s="28"/>
      <c r="B23" s="28"/>
      <c r="C23" s="29"/>
      <c r="D23" s="29"/>
      <c r="E23" s="27"/>
      <c r="F23" s="25"/>
      <c r="G23" s="25"/>
      <c r="H23" s="25"/>
    </row>
    <row r="24" spans="1:8" ht="18.75" customHeight="1">
      <c r="A24" s="25"/>
      <c r="B24" s="25"/>
      <c r="C24" s="29"/>
      <c r="D24" s="29"/>
      <c r="E24" s="27"/>
      <c r="F24" s="25"/>
      <c r="G24" s="25"/>
      <c r="H24" s="25"/>
    </row>
    <row r="25" spans="1:8" ht="15" customHeight="1">
      <c r="A25" s="25">
        <v>38115</v>
      </c>
      <c r="B25" s="25" t="s">
        <v>185</v>
      </c>
      <c r="C25" s="28"/>
      <c r="D25" s="28"/>
      <c r="E25" s="27"/>
      <c r="F25" s="25"/>
      <c r="G25" s="25"/>
      <c r="H25" s="25"/>
    </row>
    <row r="26" spans="1:8" s="12" customFormat="1" ht="15" customHeight="1">
      <c r="A26" s="28"/>
      <c r="B26" s="28" t="s">
        <v>186</v>
      </c>
      <c r="C26" s="29">
        <f>SUM(C24:C25)</f>
        <v>0</v>
      </c>
      <c r="D26" s="29">
        <f>SUM(D24:D25)</f>
        <v>0</v>
      </c>
      <c r="E26" s="27"/>
      <c r="F26" s="28"/>
      <c r="G26" s="28"/>
      <c r="H26" s="28"/>
    </row>
    <row r="27" spans="1:8" ht="15" customHeight="1">
      <c r="A27" s="25"/>
      <c r="B27" s="25"/>
      <c r="C27" s="28"/>
      <c r="D27" s="28"/>
      <c r="E27" s="27"/>
      <c r="F27" s="25"/>
      <c r="G27" s="25"/>
      <c r="H27" s="25"/>
    </row>
    <row r="28" spans="1:8" ht="15.75">
      <c r="A28" s="25">
        <v>54412</v>
      </c>
      <c r="B28" s="25" t="s">
        <v>106</v>
      </c>
      <c r="C28" s="28">
        <v>20</v>
      </c>
      <c r="D28" s="28">
        <v>10</v>
      </c>
      <c r="E28" s="27">
        <v>20</v>
      </c>
      <c r="F28" s="25"/>
      <c r="G28" s="25">
        <v>20</v>
      </c>
      <c r="H28" s="25">
        <v>20</v>
      </c>
    </row>
    <row r="29" spans="1:8" ht="15.75">
      <c r="A29" s="25">
        <v>54711</v>
      </c>
      <c r="B29" s="25" t="s">
        <v>89</v>
      </c>
      <c r="C29" s="28">
        <v>50</v>
      </c>
      <c r="D29" s="28">
        <v>50</v>
      </c>
      <c r="E29" s="27">
        <v>20</v>
      </c>
      <c r="F29" s="25"/>
      <c r="G29" s="25">
        <v>40</v>
      </c>
      <c r="H29" s="25">
        <v>40</v>
      </c>
    </row>
    <row r="30" spans="1:9" ht="15.75">
      <c r="A30" s="25">
        <v>54712</v>
      </c>
      <c r="B30" s="25" t="s">
        <v>263</v>
      </c>
      <c r="C30" s="28">
        <v>50</v>
      </c>
      <c r="D30" s="28">
        <v>50</v>
      </c>
      <c r="E30" s="27">
        <v>150</v>
      </c>
      <c r="F30" s="25"/>
      <c r="G30" s="25"/>
      <c r="H30" s="541">
        <v>95</v>
      </c>
      <c r="I30" s="11" t="s">
        <v>816</v>
      </c>
    </row>
    <row r="31" spans="1:8" ht="15.75">
      <c r="A31" s="25">
        <v>5481</v>
      </c>
      <c r="B31" s="25" t="s">
        <v>128</v>
      </c>
      <c r="C31" s="28">
        <v>20</v>
      </c>
      <c r="D31" s="28">
        <v>20</v>
      </c>
      <c r="E31" s="27">
        <v>20</v>
      </c>
      <c r="F31" s="25"/>
      <c r="G31" s="25">
        <v>20</v>
      </c>
      <c r="H31" s="25">
        <v>20</v>
      </c>
    </row>
    <row r="32" spans="1:8" ht="15.75" customHeight="1">
      <c r="A32" s="25">
        <v>54913</v>
      </c>
      <c r="B32" s="146" t="s">
        <v>166</v>
      </c>
      <c r="C32" s="28">
        <v>50</v>
      </c>
      <c r="D32" s="28">
        <v>50</v>
      </c>
      <c r="E32" s="27">
        <v>60</v>
      </c>
      <c r="F32" s="25">
        <v>87</v>
      </c>
      <c r="G32" s="25">
        <v>60</v>
      </c>
      <c r="H32" s="25">
        <v>60</v>
      </c>
    </row>
    <row r="33" spans="1:8" ht="19.5" customHeight="1">
      <c r="A33" s="28">
        <v>54</v>
      </c>
      <c r="B33" s="28" t="s">
        <v>99</v>
      </c>
      <c r="C33" s="29">
        <f aca="true" t="shared" si="2" ref="C33:H33">SUM(C28:C32)</f>
        <v>190</v>
      </c>
      <c r="D33" s="29">
        <f t="shared" si="2"/>
        <v>180</v>
      </c>
      <c r="E33" s="27">
        <f t="shared" si="2"/>
        <v>270</v>
      </c>
      <c r="F33" s="27">
        <f t="shared" si="2"/>
        <v>87</v>
      </c>
      <c r="G33" s="27">
        <f t="shared" si="2"/>
        <v>140</v>
      </c>
      <c r="H33" s="27">
        <f t="shared" si="2"/>
        <v>235</v>
      </c>
    </row>
    <row r="34" spans="1:8" ht="10.5" customHeight="1">
      <c r="A34" s="25"/>
      <c r="B34" s="25"/>
      <c r="C34" s="28"/>
      <c r="D34" s="28"/>
      <c r="E34" s="27"/>
      <c r="F34" s="25"/>
      <c r="G34" s="25"/>
      <c r="H34" s="25"/>
    </row>
    <row r="35" spans="1:8" ht="15.75">
      <c r="A35" s="25">
        <v>55111</v>
      </c>
      <c r="B35" s="25" t="s">
        <v>104</v>
      </c>
      <c r="C35" s="28"/>
      <c r="D35" s="28"/>
      <c r="E35" s="27"/>
      <c r="F35" s="25">
        <v>25</v>
      </c>
      <c r="G35" s="25">
        <v>230</v>
      </c>
      <c r="H35" s="25">
        <v>230</v>
      </c>
    </row>
    <row r="36" spans="1:8" ht="15.75">
      <c r="A36" s="25">
        <v>55112</v>
      </c>
      <c r="B36" s="25" t="s">
        <v>198</v>
      </c>
      <c r="C36" s="28"/>
      <c r="D36" s="28"/>
      <c r="E36" s="27"/>
      <c r="F36" s="25"/>
      <c r="G36" s="25"/>
      <c r="H36" s="25"/>
    </row>
    <row r="37" spans="1:8" ht="15.75">
      <c r="A37" s="25">
        <v>55214</v>
      </c>
      <c r="B37" s="25" t="s">
        <v>100</v>
      </c>
      <c r="C37" s="28">
        <v>490</v>
      </c>
      <c r="D37" s="28">
        <v>490</v>
      </c>
      <c r="E37" s="27">
        <v>800</v>
      </c>
      <c r="F37" s="25">
        <v>370</v>
      </c>
      <c r="G37" s="25">
        <v>400</v>
      </c>
      <c r="H37" s="25">
        <v>400</v>
      </c>
    </row>
    <row r="38" spans="1:8" ht="15.75">
      <c r="A38" s="25">
        <v>55215</v>
      </c>
      <c r="B38" s="25" t="s">
        <v>101</v>
      </c>
      <c r="C38" s="28">
        <v>400</v>
      </c>
      <c r="D38" s="28">
        <v>300</v>
      </c>
      <c r="E38" s="27">
        <v>200</v>
      </c>
      <c r="F38" s="25">
        <v>241</v>
      </c>
      <c r="G38" s="25">
        <v>250</v>
      </c>
      <c r="H38" s="25">
        <v>250</v>
      </c>
    </row>
    <row r="39" spans="1:8" ht="15.75">
      <c r="A39" s="25">
        <v>55217</v>
      </c>
      <c r="B39" s="25" t="s">
        <v>102</v>
      </c>
      <c r="C39" s="28">
        <v>40</v>
      </c>
      <c r="D39" s="28">
        <v>50</v>
      </c>
      <c r="E39" s="27">
        <v>35</v>
      </c>
      <c r="F39" s="25">
        <v>41</v>
      </c>
      <c r="G39" s="25">
        <v>45</v>
      </c>
      <c r="H39" s="25">
        <v>45</v>
      </c>
    </row>
    <row r="40" spans="1:8" ht="27" customHeight="1">
      <c r="A40" s="25">
        <v>552181</v>
      </c>
      <c r="B40" s="25" t="s">
        <v>145</v>
      </c>
      <c r="C40" s="28">
        <v>50</v>
      </c>
      <c r="D40" s="28">
        <v>50</v>
      </c>
      <c r="E40" s="27">
        <v>60</v>
      </c>
      <c r="F40" s="25">
        <v>53</v>
      </c>
      <c r="G40" s="25">
        <v>60</v>
      </c>
      <c r="H40" s="25">
        <v>60</v>
      </c>
    </row>
    <row r="41" spans="1:9" ht="15.75">
      <c r="A41" s="25">
        <v>55311</v>
      </c>
      <c r="B41" s="25" t="s">
        <v>221</v>
      </c>
      <c r="C41" s="28">
        <v>1709</v>
      </c>
      <c r="D41" s="28">
        <v>1500</v>
      </c>
      <c r="E41" s="27">
        <v>3422</v>
      </c>
      <c r="F41" s="27">
        <f>3194+106</f>
        <v>3300</v>
      </c>
      <c r="G41" s="27">
        <v>3283</v>
      </c>
      <c r="H41" s="532">
        <v>3354</v>
      </c>
      <c r="I41" s="11">
        <v>71</v>
      </c>
    </row>
    <row r="42" spans="1:14" ht="42.75" customHeight="1">
      <c r="A42" s="737">
        <v>5531</v>
      </c>
      <c r="B42" s="738" t="s">
        <v>304</v>
      </c>
      <c r="C42" s="147">
        <v>1872</v>
      </c>
      <c r="D42" s="147">
        <v>1872</v>
      </c>
      <c r="E42" s="358">
        <f>1944+12</f>
        <v>1956</v>
      </c>
      <c r="F42" s="25">
        <v>1956</v>
      </c>
      <c r="G42" s="25">
        <v>2097</v>
      </c>
      <c r="H42" s="25">
        <v>2100</v>
      </c>
      <c r="I42" s="740" t="s">
        <v>815</v>
      </c>
      <c r="J42" s="741"/>
      <c r="K42" s="741"/>
      <c r="L42" s="148"/>
      <c r="M42" s="148"/>
      <c r="N42" s="148"/>
    </row>
    <row r="43" spans="1:8" ht="12.75" customHeight="1">
      <c r="A43" s="737"/>
      <c r="B43" s="739"/>
      <c r="C43" s="147"/>
      <c r="D43" s="147"/>
      <c r="E43" s="358"/>
      <c r="F43" s="25"/>
      <c r="G43" s="25"/>
      <c r="H43" s="25"/>
    </row>
    <row r="44" spans="1:10" ht="18.75" customHeight="1">
      <c r="A44" s="28">
        <v>55</v>
      </c>
      <c r="B44" s="28" t="s">
        <v>64</v>
      </c>
      <c r="C44" s="29">
        <f aca="true" t="shared" si="3" ref="C44:H44">SUM(C35:C43)</f>
        <v>4561</v>
      </c>
      <c r="D44" s="29">
        <f t="shared" si="3"/>
        <v>4262</v>
      </c>
      <c r="E44" s="27">
        <f t="shared" si="3"/>
        <v>6473</v>
      </c>
      <c r="F44" s="27">
        <f t="shared" si="3"/>
        <v>5986</v>
      </c>
      <c r="G44" s="27">
        <f t="shared" si="3"/>
        <v>6365</v>
      </c>
      <c r="H44" s="27">
        <f t="shared" si="3"/>
        <v>6439</v>
      </c>
      <c r="I44" s="131">
        <f>G33+G44</f>
        <v>6505</v>
      </c>
      <c r="J44" s="131">
        <f>H33+H44</f>
        <v>6674</v>
      </c>
    </row>
    <row r="45" spans="1:8" ht="10.5" customHeight="1">
      <c r="A45" s="25"/>
      <c r="B45" s="25"/>
      <c r="C45" s="28"/>
      <c r="D45" s="28"/>
      <c r="E45" s="27"/>
      <c r="F45" s="25"/>
      <c r="G45" s="25"/>
      <c r="H45" s="25"/>
    </row>
    <row r="46" spans="1:8" ht="17.25" customHeight="1">
      <c r="A46" s="25">
        <v>56111</v>
      </c>
      <c r="B46" s="25" t="s">
        <v>103</v>
      </c>
      <c r="C46" s="29">
        <f>(C33+C44-C42)*27%+(936*5%)</f>
        <v>824.13</v>
      </c>
      <c r="D46" s="29">
        <f>(D33+D44-D42)*27%+(936*5%)</f>
        <v>740.7</v>
      </c>
      <c r="E46" s="27">
        <f>(E33+E44-936)*27%+936*5%</f>
        <v>1614.69</v>
      </c>
      <c r="F46" s="30">
        <v>875</v>
      </c>
      <c r="G46" s="26">
        <f>I44*27%</f>
        <v>1756.3500000000001</v>
      </c>
      <c r="H46" s="26">
        <f>J44*27%</f>
        <v>1801.98</v>
      </c>
    </row>
    <row r="47" spans="1:8" ht="15.75">
      <c r="A47" s="25">
        <v>56211</v>
      </c>
      <c r="B47" s="25" t="s">
        <v>18</v>
      </c>
      <c r="C47" s="28"/>
      <c r="D47" s="28"/>
      <c r="E47" s="27"/>
      <c r="F47" s="25"/>
      <c r="G47" s="25"/>
      <c r="H47" s="25"/>
    </row>
    <row r="48" spans="1:8" ht="15.75">
      <c r="A48" s="25">
        <v>57211</v>
      </c>
      <c r="B48" s="25" t="s">
        <v>212</v>
      </c>
      <c r="C48" s="28">
        <v>22</v>
      </c>
      <c r="D48" s="28">
        <v>23</v>
      </c>
      <c r="E48" s="27">
        <f>E15*19.04%</f>
        <v>11.424</v>
      </c>
      <c r="F48" s="25"/>
      <c r="G48" s="25"/>
      <c r="H48" s="25"/>
    </row>
    <row r="49" spans="1:8" ht="19.5" customHeight="1">
      <c r="A49" s="28">
        <v>56</v>
      </c>
      <c r="B49" s="28" t="s">
        <v>99</v>
      </c>
      <c r="C49" s="29">
        <f aca="true" t="shared" si="4" ref="C49:H49">SUM(C46:C48)</f>
        <v>846.13</v>
      </c>
      <c r="D49" s="29">
        <f t="shared" si="4"/>
        <v>763.7</v>
      </c>
      <c r="E49" s="27">
        <f t="shared" si="4"/>
        <v>1626.114</v>
      </c>
      <c r="F49" s="27">
        <f t="shared" si="4"/>
        <v>875</v>
      </c>
      <c r="G49" s="27">
        <f t="shared" si="4"/>
        <v>1756.3500000000001</v>
      </c>
      <c r="H49" s="27">
        <f t="shared" si="4"/>
        <v>1801.98</v>
      </c>
    </row>
    <row r="50" spans="1:8" ht="12" customHeight="1">
      <c r="A50" s="25"/>
      <c r="B50" s="25"/>
      <c r="C50" s="28"/>
      <c r="D50" s="28"/>
      <c r="E50" s="27"/>
      <c r="F50" s="25"/>
      <c r="G50" s="25"/>
      <c r="H50" s="25"/>
    </row>
    <row r="51" spans="1:8" ht="15.75">
      <c r="A51" s="25"/>
      <c r="B51" s="25"/>
      <c r="C51" s="28"/>
      <c r="D51" s="28"/>
      <c r="E51" s="27"/>
      <c r="F51" s="25"/>
      <c r="G51" s="25"/>
      <c r="H51" s="25"/>
    </row>
    <row r="52" spans="1:8" ht="19.5" customHeight="1">
      <c r="A52" s="28"/>
      <c r="B52" s="28"/>
      <c r="C52" s="28"/>
      <c r="D52" s="28"/>
      <c r="E52" s="27"/>
      <c r="F52" s="25"/>
      <c r="G52" s="25"/>
      <c r="H52" s="25"/>
    </row>
    <row r="53" spans="1:8" ht="15.75">
      <c r="A53" s="28"/>
      <c r="B53" s="28" t="s">
        <v>29</v>
      </c>
      <c r="C53" s="29">
        <f aca="true" t="shared" si="5" ref="C53:H53">SUM(C52,C49,C44,C33,C26)</f>
        <v>5597.13</v>
      </c>
      <c r="D53" s="29">
        <f t="shared" si="5"/>
        <v>5205.7</v>
      </c>
      <c r="E53" s="27">
        <f t="shared" si="5"/>
        <v>8369.114</v>
      </c>
      <c r="F53" s="27">
        <f t="shared" si="5"/>
        <v>6948</v>
      </c>
      <c r="G53" s="27">
        <f t="shared" si="5"/>
        <v>8261.35</v>
      </c>
      <c r="H53" s="27">
        <f t="shared" si="5"/>
        <v>8475.98</v>
      </c>
    </row>
    <row r="54" spans="1:8" ht="10.5" customHeight="1">
      <c r="A54" s="28"/>
      <c r="B54" s="28"/>
      <c r="C54" s="25"/>
      <c r="D54" s="25"/>
      <c r="E54" s="26"/>
      <c r="F54" s="25"/>
      <c r="G54" s="25"/>
      <c r="H54" s="25"/>
    </row>
    <row r="55" spans="1:8" ht="22.5" customHeight="1" thickBot="1">
      <c r="A55" s="135"/>
      <c r="B55" s="28" t="s">
        <v>43</v>
      </c>
      <c r="C55" s="29">
        <f aca="true" t="shared" si="6" ref="C55:H55">SUM(C53,C22,C17)</f>
        <v>6908.13</v>
      </c>
      <c r="D55" s="29">
        <f t="shared" si="6"/>
        <v>7174.7</v>
      </c>
      <c r="E55" s="27">
        <f t="shared" si="6"/>
        <v>10102.198999999999</v>
      </c>
      <c r="F55" s="27">
        <f t="shared" si="6"/>
        <v>6948</v>
      </c>
      <c r="G55" s="27">
        <f t="shared" si="6"/>
        <v>10333.52</v>
      </c>
      <c r="H55" s="27">
        <f t="shared" si="6"/>
        <v>10548.15</v>
      </c>
    </row>
    <row r="56" spans="1:8" ht="15.75">
      <c r="A56" s="12"/>
      <c r="B56" s="28"/>
      <c r="C56" s="25"/>
      <c r="D56" s="25"/>
      <c r="E56" s="26"/>
      <c r="F56" s="25"/>
      <c r="G56" s="25"/>
      <c r="H56" s="25"/>
    </row>
    <row r="57" spans="1:8" ht="15.75">
      <c r="A57" s="14"/>
      <c r="B57" s="28" t="s">
        <v>184</v>
      </c>
      <c r="C57" s="30">
        <f aca="true" t="shared" si="7" ref="C57:H57">SUM(C55+C7)</f>
        <v>7060.13</v>
      </c>
      <c r="D57" s="30">
        <f t="shared" si="7"/>
        <v>7674.7</v>
      </c>
      <c r="E57" s="26">
        <f t="shared" si="7"/>
        <v>10102.198999999999</v>
      </c>
      <c r="F57" s="26">
        <f t="shared" si="7"/>
        <v>6948</v>
      </c>
      <c r="G57" s="26">
        <f t="shared" si="7"/>
        <v>10333.52</v>
      </c>
      <c r="H57" s="26">
        <f t="shared" si="7"/>
        <v>10798.34</v>
      </c>
    </row>
    <row r="59" ht="15">
      <c r="C59" s="11">
        <v>11336</v>
      </c>
    </row>
  </sheetData>
  <sheetProtection/>
  <mergeCells count="3">
    <mergeCell ref="B42:B43"/>
    <mergeCell ref="A42:A43"/>
    <mergeCell ref="I42:K42"/>
  </mergeCells>
  <printOptions/>
  <pageMargins left="0.7" right="0.7" top="0.75" bottom="0.75" header="0.3" footer="0.3"/>
  <pageSetup horizontalDpi="300" verticalDpi="300" orientation="portrait" paperSize="9" scale="55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C00000"/>
  </sheetPr>
  <dimension ref="A2:J101"/>
  <sheetViews>
    <sheetView zoomScalePageLayoutView="0" workbookViewId="0" topLeftCell="A89">
      <selection activeCell="E67" sqref="E67"/>
    </sheetView>
  </sheetViews>
  <sheetFormatPr defaultColWidth="8.41015625" defaultRowHeight="18"/>
  <cols>
    <col min="1" max="1" width="8.41015625" style="21" customWidth="1"/>
    <col min="2" max="2" width="29.41015625" style="21" customWidth="1"/>
    <col min="3" max="3" width="8" style="382" customWidth="1"/>
    <col min="4" max="4" width="7.33203125" style="21" customWidth="1"/>
    <col min="5" max="5" width="7.75" style="21" customWidth="1"/>
    <col min="6" max="249" width="7.08203125" style="21" customWidth="1"/>
    <col min="250" max="16384" width="8.41015625" style="21" customWidth="1"/>
  </cols>
  <sheetData>
    <row r="2" spans="1:5" ht="18.75">
      <c r="A2" s="620" t="s">
        <v>1331</v>
      </c>
      <c r="B2" s="620"/>
      <c r="C2" s="620"/>
      <c r="D2" s="620"/>
      <c r="E2" s="620"/>
    </row>
    <row r="3" ht="19.5" thickBot="1">
      <c r="C3" s="243"/>
    </row>
    <row r="4" spans="1:5" ht="19.5" thickBot="1">
      <c r="A4" s="595">
        <v>910502</v>
      </c>
      <c r="B4" s="245" t="s">
        <v>1410</v>
      </c>
      <c r="C4" s="421" t="s">
        <v>616</v>
      </c>
      <c r="D4" s="41" t="s">
        <v>626</v>
      </c>
      <c r="E4" s="34">
        <v>2016</v>
      </c>
    </row>
    <row r="5" spans="1:5" ht="19.5" thickBot="1">
      <c r="A5" s="596" t="s">
        <v>1411</v>
      </c>
      <c r="B5" s="210"/>
      <c r="C5" s="295"/>
      <c r="D5" s="34"/>
      <c r="E5" s="34"/>
    </row>
    <row r="6" spans="1:5" ht="18.75">
      <c r="A6" s="249" t="s">
        <v>819</v>
      </c>
      <c r="B6" s="250" t="s">
        <v>1238</v>
      </c>
      <c r="C6" s="376">
        <v>1257</v>
      </c>
      <c r="D6" s="565"/>
      <c r="E6" s="565">
        <v>1326</v>
      </c>
    </row>
    <row r="7" spans="1:5" ht="18.75">
      <c r="A7" s="253" t="s">
        <v>822</v>
      </c>
      <c r="B7" s="254" t="s">
        <v>821</v>
      </c>
      <c r="C7" s="377"/>
      <c r="D7" s="34"/>
      <c r="E7" s="34"/>
    </row>
    <row r="8" spans="1:5" ht="18.75">
      <c r="A8" s="253" t="s">
        <v>823</v>
      </c>
      <c r="B8" s="254" t="s">
        <v>820</v>
      </c>
      <c r="C8" s="377"/>
      <c r="D8" s="34"/>
      <c r="E8" s="381"/>
    </row>
    <row r="9" spans="1:5" ht="18.75">
      <c r="A9" s="253" t="s">
        <v>825</v>
      </c>
      <c r="B9" s="254" t="s">
        <v>824</v>
      </c>
      <c r="C9" s="377"/>
      <c r="D9" s="34"/>
      <c r="E9" s="34"/>
    </row>
    <row r="10" spans="1:5" ht="18.75">
      <c r="A10" s="253" t="s">
        <v>826</v>
      </c>
      <c r="B10" s="260" t="s">
        <v>1239</v>
      </c>
      <c r="C10" s="377"/>
      <c r="D10" s="34"/>
      <c r="E10" s="34"/>
    </row>
    <row r="11" spans="1:5" ht="18.75">
      <c r="A11" s="253" t="s">
        <v>1233</v>
      </c>
      <c r="B11" s="260" t="s">
        <v>1240</v>
      </c>
      <c r="C11" s="378"/>
      <c r="D11" s="34"/>
      <c r="E11" s="34"/>
    </row>
    <row r="12" spans="1:5" ht="18.75">
      <c r="A12" s="253" t="s">
        <v>1241</v>
      </c>
      <c r="B12" s="262" t="s">
        <v>1234</v>
      </c>
      <c r="C12" s="377"/>
      <c r="D12" s="34"/>
      <c r="E12" s="34">
        <v>96</v>
      </c>
    </row>
    <row r="13" spans="1:5" ht="18.75">
      <c r="A13" s="253" t="s">
        <v>1242</v>
      </c>
      <c r="B13" s="262" t="s">
        <v>1235</v>
      </c>
      <c r="C13" s="377"/>
      <c r="D13" s="34"/>
      <c r="E13" s="34">
        <v>54</v>
      </c>
    </row>
    <row r="14" spans="1:5" ht="18.75">
      <c r="A14" s="253" t="s">
        <v>1243</v>
      </c>
      <c r="B14" s="254" t="s">
        <v>528</v>
      </c>
      <c r="C14" s="377"/>
      <c r="D14" s="34"/>
      <c r="E14" s="34"/>
    </row>
    <row r="15" spans="1:5" ht="18.75">
      <c r="A15" s="253" t="s">
        <v>1244</v>
      </c>
      <c r="B15" s="254" t="s">
        <v>1236</v>
      </c>
      <c r="C15" s="377"/>
      <c r="D15" s="34"/>
      <c r="E15" s="34"/>
    </row>
    <row r="16" spans="1:5" ht="19.5" thickBot="1">
      <c r="A16" s="264" t="s">
        <v>1245</v>
      </c>
      <c r="B16" s="265" t="s">
        <v>791</v>
      </c>
      <c r="C16" s="377"/>
      <c r="D16" s="34"/>
      <c r="E16" s="34">
        <v>111</v>
      </c>
    </row>
    <row r="17" spans="1:5" ht="19.5" thickBot="1">
      <c r="A17" s="568" t="s">
        <v>1327</v>
      </c>
      <c r="B17" s="569" t="s">
        <v>1249</v>
      </c>
      <c r="C17" s="379">
        <f>SUM(C6:C16)</f>
        <v>1257</v>
      </c>
      <c r="D17" s="379">
        <f>SUM(D6:D16)</f>
        <v>0</v>
      </c>
      <c r="E17" s="379">
        <f>SUM(E6:E16)</f>
        <v>1587</v>
      </c>
    </row>
    <row r="18" spans="1:5" ht="19.5" thickBot="1">
      <c r="A18" s="557" t="s">
        <v>1329</v>
      </c>
      <c r="B18" s="558" t="s">
        <v>1248</v>
      </c>
      <c r="C18" s="377"/>
      <c r="D18" s="34"/>
      <c r="E18" s="34"/>
    </row>
    <row r="19" spans="1:5" ht="19.5" thickBot="1">
      <c r="A19" s="557" t="s">
        <v>1328</v>
      </c>
      <c r="B19" s="558" t="s">
        <v>1246</v>
      </c>
      <c r="C19" s="377"/>
      <c r="D19" s="34"/>
      <c r="E19" s="34"/>
    </row>
    <row r="20" spans="1:5" ht="19.5" thickBot="1">
      <c r="A20" s="557" t="s">
        <v>1253</v>
      </c>
      <c r="B20" s="558" t="s">
        <v>19</v>
      </c>
      <c r="C20" s="377"/>
      <c r="D20" s="34"/>
      <c r="E20" s="34"/>
    </row>
    <row r="21" spans="1:5" ht="19.5" thickBot="1">
      <c r="A21" s="557" t="s">
        <v>1254</v>
      </c>
      <c r="B21" s="558" t="s">
        <v>889</v>
      </c>
      <c r="C21" s="377"/>
      <c r="D21" s="34"/>
      <c r="E21" s="34"/>
    </row>
    <row r="22" spans="1:5" ht="19.5" thickBot="1">
      <c r="A22" s="568" t="s">
        <v>1330</v>
      </c>
      <c r="B22" s="569" t="s">
        <v>1247</v>
      </c>
      <c r="C22" s="377">
        <f>SUM(C18:C21)</f>
        <v>0</v>
      </c>
      <c r="D22" s="377">
        <f>SUM(D18:D21)</f>
        <v>0</v>
      </c>
      <c r="E22" s="377">
        <f>SUM(E18:E21)</f>
        <v>0</v>
      </c>
    </row>
    <row r="23" spans="1:5" ht="27" customHeight="1" thickBot="1">
      <c r="A23" s="268" t="s">
        <v>1250</v>
      </c>
      <c r="B23" s="269" t="s">
        <v>1237</v>
      </c>
      <c r="C23" s="379">
        <f>SUM(C22,C17)</f>
        <v>1257</v>
      </c>
      <c r="D23" s="379">
        <f>SUM(D22,D17)</f>
        <v>0</v>
      </c>
      <c r="E23" s="379">
        <f>SUM(E22,E17)</f>
        <v>1587</v>
      </c>
    </row>
    <row r="24" spans="1:5" ht="19.5" thickBot="1">
      <c r="A24" s="270"/>
      <c r="B24" s="271"/>
      <c r="C24" s="377"/>
      <c r="D24" s="34"/>
      <c r="E24" s="34"/>
    </row>
    <row r="25" spans="1:6" ht="18.75">
      <c r="A25" s="272" t="s">
        <v>1255</v>
      </c>
      <c r="B25" s="97" t="s">
        <v>590</v>
      </c>
      <c r="C25" s="275"/>
      <c r="D25" s="44"/>
      <c r="E25" s="44">
        <f>F25*27%</f>
        <v>387.99</v>
      </c>
      <c r="F25" s="21">
        <f>E6+E7+E8+E9+E10+E11+E16+E22</f>
        <v>1437</v>
      </c>
    </row>
    <row r="26" spans="1:5" ht="18.75">
      <c r="A26" s="559" t="s">
        <v>1256</v>
      </c>
      <c r="B26" s="97" t="s">
        <v>1251</v>
      </c>
      <c r="C26" s="275"/>
      <c r="D26" s="44"/>
      <c r="E26" s="44"/>
    </row>
    <row r="27" spans="1:6" ht="18.75">
      <c r="A27" s="276" t="s">
        <v>1252</v>
      </c>
      <c r="B27" s="255" t="s">
        <v>4</v>
      </c>
      <c r="C27" s="378"/>
      <c r="D27" s="34"/>
      <c r="E27" s="44">
        <f>F27*16.67%</f>
        <v>25.005000000000003</v>
      </c>
      <c r="F27" s="21">
        <f>E12+E13</f>
        <v>150</v>
      </c>
    </row>
    <row r="28" spans="1:5" ht="19.5" thickBot="1">
      <c r="A28" s="462" t="s">
        <v>1257</v>
      </c>
      <c r="B28" s="255" t="s">
        <v>635</v>
      </c>
      <c r="C28" s="378"/>
      <c r="D28" s="34"/>
      <c r="E28" s="44">
        <f>F27*19.04%</f>
        <v>28.56</v>
      </c>
    </row>
    <row r="29" spans="1:5" ht="19.5" thickBot="1">
      <c r="A29" s="582" t="s">
        <v>1258</v>
      </c>
      <c r="B29" s="583" t="s">
        <v>69</v>
      </c>
      <c r="C29" s="378">
        <f>SUM(C25:C28)</f>
        <v>0</v>
      </c>
      <c r="D29" s="378">
        <f>SUM(D25:D28)</f>
        <v>0</v>
      </c>
      <c r="E29" s="378">
        <f>SUM(E25:E28)</f>
        <v>441.555</v>
      </c>
    </row>
    <row r="30" spans="1:5" ht="19.5" thickBot="1">
      <c r="A30" s="282"/>
      <c r="B30" s="283"/>
      <c r="C30" s="377"/>
      <c r="D30" s="34"/>
      <c r="E30" s="34"/>
    </row>
    <row r="31" spans="1:5" ht="18.75">
      <c r="A31" s="249" t="s">
        <v>1259</v>
      </c>
      <c r="B31" s="291" t="s">
        <v>533</v>
      </c>
      <c r="C31" s="377"/>
      <c r="D31" s="34"/>
      <c r="E31" s="34"/>
    </row>
    <row r="32" spans="1:5" ht="18.75">
      <c r="A32" s="253" t="s">
        <v>1260</v>
      </c>
      <c r="B32" s="254" t="s">
        <v>534</v>
      </c>
      <c r="C32" s="377"/>
      <c r="D32" s="41"/>
      <c r="E32" s="34"/>
    </row>
    <row r="33" spans="1:5" ht="18.75">
      <c r="A33" s="253" t="s">
        <v>1262</v>
      </c>
      <c r="B33" s="254" t="s">
        <v>1261</v>
      </c>
      <c r="C33" s="377">
        <v>20</v>
      </c>
      <c r="D33" s="41">
        <v>20</v>
      </c>
      <c r="E33" s="34">
        <v>20</v>
      </c>
    </row>
    <row r="34" spans="1:5" ht="18.75">
      <c r="A34" s="253" t="s">
        <v>1263</v>
      </c>
      <c r="B34" s="254" t="s">
        <v>124</v>
      </c>
      <c r="C34" s="377"/>
      <c r="D34" s="41"/>
      <c r="E34" s="34"/>
    </row>
    <row r="35" spans="1:5" ht="18.75">
      <c r="A35" s="253" t="s">
        <v>1264</v>
      </c>
      <c r="B35" s="254" t="s">
        <v>1265</v>
      </c>
      <c r="C35" s="570">
        <v>135</v>
      </c>
      <c r="D35" s="41">
        <v>3</v>
      </c>
      <c r="E35" s="34"/>
    </row>
    <row r="36" spans="1:5" ht="18.75">
      <c r="A36" s="253" t="s">
        <v>1335</v>
      </c>
      <c r="B36" s="562" t="s">
        <v>548</v>
      </c>
      <c r="C36" s="570">
        <f>SUM(C31:C35)</f>
        <v>155</v>
      </c>
      <c r="D36" s="570">
        <f>SUM(D31:D35)</f>
        <v>23</v>
      </c>
      <c r="E36" s="570">
        <f>SUM(E31:E35)</f>
        <v>20</v>
      </c>
    </row>
    <row r="37" spans="1:5" ht="18.75">
      <c r="A37" s="253" t="s">
        <v>1342</v>
      </c>
      <c r="B37" s="254" t="s">
        <v>1343</v>
      </c>
      <c r="C37" s="570"/>
      <c r="D37" s="570"/>
      <c r="E37" s="570"/>
    </row>
    <row r="38" spans="1:5" ht="18.75">
      <c r="A38" s="253" t="s">
        <v>1344</v>
      </c>
      <c r="B38" s="254" t="s">
        <v>1267</v>
      </c>
      <c r="C38" s="570"/>
      <c r="D38" s="34"/>
      <c r="E38" s="34"/>
    </row>
    <row r="39" spans="1:5" ht="18.75">
      <c r="A39" s="253" t="s">
        <v>1345</v>
      </c>
      <c r="B39" s="254" t="s">
        <v>88</v>
      </c>
      <c r="C39" s="570"/>
      <c r="D39" s="34"/>
      <c r="E39" s="34"/>
    </row>
    <row r="40" spans="1:5" ht="18.75">
      <c r="A40" s="253" t="s">
        <v>1346</v>
      </c>
      <c r="B40" s="254" t="s">
        <v>1268</v>
      </c>
      <c r="C40" s="377">
        <v>20</v>
      </c>
      <c r="D40" s="34">
        <v>20</v>
      </c>
      <c r="E40" s="34">
        <v>20</v>
      </c>
    </row>
    <row r="41" spans="1:5" ht="19.5" thickBot="1">
      <c r="A41" s="288" t="s">
        <v>1347</v>
      </c>
      <c r="B41" s="289" t="s">
        <v>1269</v>
      </c>
      <c r="C41" s="377">
        <v>60</v>
      </c>
      <c r="D41" s="34">
        <v>230</v>
      </c>
      <c r="E41" s="34">
        <v>60</v>
      </c>
    </row>
    <row r="42" spans="1:5" ht="17.25" customHeight="1" thickBot="1">
      <c r="A42" s="268" t="s">
        <v>1266</v>
      </c>
      <c r="B42" s="571" t="s">
        <v>1270</v>
      </c>
      <c r="C42" s="377">
        <f>SUM(C37:C41)</f>
        <v>80</v>
      </c>
      <c r="D42" s="377">
        <f>SUM(D38:D41)</f>
        <v>250</v>
      </c>
      <c r="E42" s="377">
        <f>SUM(E38:E41)</f>
        <v>80</v>
      </c>
    </row>
    <row r="43" spans="1:5" ht="22.5" customHeight="1" thickBot="1">
      <c r="A43" s="572" t="s">
        <v>1300</v>
      </c>
      <c r="B43" s="573" t="s">
        <v>595</v>
      </c>
      <c r="C43" s="574">
        <f>SUM(C42,C36)</f>
        <v>235</v>
      </c>
      <c r="D43" s="574">
        <f>SUM(D42,D36)</f>
        <v>273</v>
      </c>
      <c r="E43" s="574">
        <f>SUM(E42,E36)</f>
        <v>100</v>
      </c>
    </row>
    <row r="44" spans="1:5" ht="18.75">
      <c r="A44" s="249" t="s">
        <v>1271</v>
      </c>
      <c r="B44" s="291" t="s">
        <v>1348</v>
      </c>
      <c r="C44" s="377"/>
      <c r="D44" s="34"/>
      <c r="E44" s="34"/>
    </row>
    <row r="45" spans="1:5" ht="18.75">
      <c r="A45" s="494" t="s">
        <v>1350</v>
      </c>
      <c r="B45" s="590" t="s">
        <v>1351</v>
      </c>
      <c r="C45" s="377"/>
      <c r="D45" s="34"/>
      <c r="E45" s="34"/>
    </row>
    <row r="46" spans="1:5" ht="18.75">
      <c r="A46" s="253" t="s">
        <v>1272</v>
      </c>
      <c r="B46" s="254" t="s">
        <v>1349</v>
      </c>
      <c r="C46" s="295">
        <v>230</v>
      </c>
      <c r="D46" s="566">
        <v>81</v>
      </c>
      <c r="E46" s="34">
        <v>100</v>
      </c>
    </row>
    <row r="47" spans="1:5" ht="18.75">
      <c r="A47" s="575" t="s">
        <v>1301</v>
      </c>
      <c r="B47" s="576" t="s">
        <v>1366</v>
      </c>
      <c r="C47" s="577">
        <f>SUM(C44:C46)</f>
        <v>230</v>
      </c>
      <c r="D47" s="577">
        <f>SUM(D44:D46)</f>
        <v>81</v>
      </c>
      <c r="E47" s="577">
        <f>SUM(E44:E46)</f>
        <v>100</v>
      </c>
    </row>
    <row r="48" spans="1:5" ht="18.75">
      <c r="A48" s="253" t="s">
        <v>1275</v>
      </c>
      <c r="B48" s="254" t="s">
        <v>544</v>
      </c>
      <c r="C48" s="295">
        <v>250</v>
      </c>
      <c r="D48" s="566">
        <v>208</v>
      </c>
      <c r="E48" s="34">
        <v>250</v>
      </c>
    </row>
    <row r="49" spans="1:5" ht="18.75">
      <c r="A49" s="253" t="s">
        <v>1274</v>
      </c>
      <c r="B49" s="254" t="s">
        <v>543</v>
      </c>
      <c r="C49" s="295">
        <v>400</v>
      </c>
      <c r="D49" s="34">
        <v>393</v>
      </c>
      <c r="E49" s="34">
        <v>400</v>
      </c>
    </row>
    <row r="50" spans="1:5" ht="18.75">
      <c r="A50" s="253" t="s">
        <v>1276</v>
      </c>
      <c r="B50" s="254" t="s">
        <v>503</v>
      </c>
      <c r="C50" s="295">
        <v>45</v>
      </c>
      <c r="D50" s="34">
        <v>35</v>
      </c>
      <c r="E50" s="34">
        <v>45</v>
      </c>
    </row>
    <row r="51" spans="1:5" ht="18.75">
      <c r="A51" s="575" t="s">
        <v>1273</v>
      </c>
      <c r="B51" s="576" t="s">
        <v>1277</v>
      </c>
      <c r="C51" s="577">
        <f>SUM(C48:C50)</f>
        <v>695</v>
      </c>
      <c r="D51" s="577">
        <f>SUM(D48:D50)</f>
        <v>636</v>
      </c>
      <c r="E51" s="577">
        <f>SUM(E48:E50)</f>
        <v>695</v>
      </c>
    </row>
    <row r="52" spans="1:5" ht="18.75">
      <c r="A52" s="253" t="s">
        <v>1332</v>
      </c>
      <c r="B52" s="254" t="s">
        <v>1278</v>
      </c>
      <c r="C52" s="295"/>
      <c r="D52" s="34"/>
      <c r="E52" s="34"/>
    </row>
    <row r="53" spans="1:5" ht="18.75">
      <c r="A53" s="253" t="s">
        <v>1280</v>
      </c>
      <c r="B53" s="254" t="s">
        <v>26</v>
      </c>
      <c r="C53" s="295">
        <v>60</v>
      </c>
      <c r="D53" s="41">
        <v>15</v>
      </c>
      <c r="E53" s="34">
        <v>60</v>
      </c>
    </row>
    <row r="54" spans="1:5" ht="18.75">
      <c r="A54" s="253" t="s">
        <v>1281</v>
      </c>
      <c r="B54" s="254" t="s">
        <v>1352</v>
      </c>
      <c r="C54" s="377"/>
      <c r="D54" s="34"/>
      <c r="E54" s="34"/>
    </row>
    <row r="55" spans="1:5" ht="18.75">
      <c r="A55" s="575" t="s">
        <v>1283</v>
      </c>
      <c r="B55" s="576" t="s">
        <v>1282</v>
      </c>
      <c r="C55" s="574">
        <f>SUM(C53:C54)</f>
        <v>60</v>
      </c>
      <c r="D55" s="574">
        <f>SUM(D53:D54)</f>
        <v>15</v>
      </c>
      <c r="E55" s="574">
        <f>SUM(E53:E54)</f>
        <v>60</v>
      </c>
    </row>
    <row r="56" spans="1:5" ht="18.75">
      <c r="A56" s="575" t="s">
        <v>1284</v>
      </c>
      <c r="B56" s="588" t="s">
        <v>1333</v>
      </c>
      <c r="C56" s="589"/>
      <c r="D56" s="589"/>
      <c r="E56" s="589"/>
    </row>
    <row r="57" spans="1:5" ht="18.75">
      <c r="A57" s="288"/>
      <c r="B57" s="554" t="s">
        <v>943</v>
      </c>
      <c r="C57" s="554"/>
      <c r="D57" s="554"/>
      <c r="E57" s="554"/>
    </row>
    <row r="58" spans="1:9" ht="31.5" customHeight="1">
      <c r="A58" s="288" t="s">
        <v>1353</v>
      </c>
      <c r="B58" s="554" t="s">
        <v>547</v>
      </c>
      <c r="C58" s="554">
        <v>2100</v>
      </c>
      <c r="D58" s="554">
        <v>2100</v>
      </c>
      <c r="E58" s="554">
        <v>2832</v>
      </c>
      <c r="F58" s="742" t="s">
        <v>1580</v>
      </c>
      <c r="G58" s="743"/>
      <c r="H58" s="743"/>
      <c r="I58" s="743"/>
    </row>
    <row r="59" spans="1:6" ht="18.75">
      <c r="A59" s="288" t="s">
        <v>1354</v>
      </c>
      <c r="B59" s="554" t="s">
        <v>1355</v>
      </c>
      <c r="C59" s="554">
        <v>3354</v>
      </c>
      <c r="D59" s="554">
        <v>4972</v>
      </c>
      <c r="E59" s="554">
        <v>3334</v>
      </c>
      <c r="F59" s="21" t="s">
        <v>1455</v>
      </c>
    </row>
    <row r="60" spans="1:5" ht="27" customHeight="1">
      <c r="A60" s="561" t="s">
        <v>1285</v>
      </c>
      <c r="B60" s="552" t="s">
        <v>945</v>
      </c>
      <c r="C60" s="591">
        <f>SUM(C58:C59)</f>
        <v>5454</v>
      </c>
      <c r="D60" s="591">
        <f>SUM(D58:D59)</f>
        <v>7072</v>
      </c>
      <c r="E60" s="591">
        <f>SUM(E58:E59)</f>
        <v>6166</v>
      </c>
    </row>
    <row r="61" spans="1:5" ht="23.25" customHeight="1">
      <c r="A61" s="462" t="s">
        <v>1356</v>
      </c>
      <c r="B61" s="553" t="s">
        <v>1362</v>
      </c>
      <c r="C61" s="591"/>
      <c r="D61" s="591"/>
      <c r="E61" s="591"/>
    </row>
    <row r="62" spans="1:5" ht="23.25" customHeight="1">
      <c r="A62" s="462" t="s">
        <v>1357</v>
      </c>
      <c r="B62" s="553" t="s">
        <v>1358</v>
      </c>
      <c r="C62" s="591"/>
      <c r="D62" s="591"/>
      <c r="E62" s="591"/>
    </row>
    <row r="63" spans="1:5" ht="23.25" customHeight="1">
      <c r="A63" s="462" t="s">
        <v>1359</v>
      </c>
      <c r="B63" s="553" t="s">
        <v>9</v>
      </c>
      <c r="C63" s="591"/>
      <c r="D63" s="591"/>
      <c r="E63" s="591"/>
    </row>
    <row r="64" spans="1:6" ht="23.25" customHeight="1" thickBot="1">
      <c r="A64" s="462" t="s">
        <v>1360</v>
      </c>
      <c r="B64" s="553" t="s">
        <v>1361</v>
      </c>
      <c r="C64" s="591"/>
      <c r="D64" s="591"/>
      <c r="E64" s="591"/>
      <c r="F64" s="21" t="s">
        <v>1368</v>
      </c>
    </row>
    <row r="65" spans="1:5" ht="17.25" customHeight="1" thickBot="1">
      <c r="A65" s="298" t="s">
        <v>1286</v>
      </c>
      <c r="B65" s="552" t="s">
        <v>948</v>
      </c>
      <c r="C65" s="591">
        <f>SUM(C61:C64)</f>
        <v>0</v>
      </c>
      <c r="D65" s="591">
        <f>SUM(D61:D64)</f>
        <v>0</v>
      </c>
      <c r="E65" s="591">
        <f>SUM(E61:E64)</f>
        <v>0</v>
      </c>
    </row>
    <row r="66" spans="1:5" ht="25.5" customHeight="1">
      <c r="A66" s="578" t="s">
        <v>1279</v>
      </c>
      <c r="B66" s="579" t="s">
        <v>1287</v>
      </c>
      <c r="C66" s="603">
        <f>SUM(C65+C60+C56+C55+C52+C51)</f>
        <v>6209</v>
      </c>
      <c r="D66" s="603">
        <f>SUM(D65+D60+D56+D55+D52+D51)</f>
        <v>7723</v>
      </c>
      <c r="E66" s="603">
        <f>SUM(E65+E60+E56+E55+E51)</f>
        <v>6921</v>
      </c>
    </row>
    <row r="67" spans="1:5" ht="18.75">
      <c r="A67" s="253" t="s">
        <v>1288</v>
      </c>
      <c r="B67" s="553" t="s">
        <v>952</v>
      </c>
      <c r="C67" s="553"/>
      <c r="D67" s="553"/>
      <c r="E67" s="553"/>
    </row>
    <row r="68" spans="1:5" ht="18.75">
      <c r="A68" s="253" t="s">
        <v>1289</v>
      </c>
      <c r="B68" s="553" t="s">
        <v>954</v>
      </c>
      <c r="C68" s="553"/>
      <c r="D68" s="553"/>
      <c r="E68" s="553"/>
    </row>
    <row r="69" spans="1:5" ht="24" customHeight="1">
      <c r="A69" s="575" t="s">
        <v>1291</v>
      </c>
      <c r="B69" s="579" t="s">
        <v>1290</v>
      </c>
      <c r="C69" s="579">
        <f>SUM(C67:C68)</f>
        <v>0</v>
      </c>
      <c r="D69" s="579">
        <f>SUM(D67:D68)</f>
        <v>0</v>
      </c>
      <c r="E69" s="579">
        <f>SUM(E67:E68)</f>
        <v>0</v>
      </c>
    </row>
    <row r="70" spans="1:7" ht="26.25" customHeight="1" thickBot="1">
      <c r="A70" s="561" t="s">
        <v>1294</v>
      </c>
      <c r="B70" s="552" t="s">
        <v>958</v>
      </c>
      <c r="C70" s="552">
        <v>1802</v>
      </c>
      <c r="D70" s="552">
        <v>998</v>
      </c>
      <c r="E70" s="552">
        <v>1485</v>
      </c>
      <c r="F70" s="597">
        <f>E43+E47+E66+E75-1092</f>
        <v>6029</v>
      </c>
      <c r="G70" s="21">
        <v>1092</v>
      </c>
    </row>
    <row r="71" spans="1:7" ht="27" customHeight="1" thickBot="1">
      <c r="A71" s="268" t="s">
        <v>1295</v>
      </c>
      <c r="B71" s="552" t="s">
        <v>960</v>
      </c>
      <c r="C71" s="552"/>
      <c r="D71" s="552"/>
      <c r="E71" s="552"/>
      <c r="F71" s="21">
        <f>F70*27%</f>
        <v>1627.8300000000002</v>
      </c>
      <c r="G71" s="21">
        <f>G70*5%</f>
        <v>54.6</v>
      </c>
    </row>
    <row r="72" spans="1:5" ht="19.5" thickBot="1">
      <c r="A72" s="210" t="s">
        <v>1296</v>
      </c>
      <c r="B72" s="552" t="s">
        <v>1293</v>
      </c>
      <c r="C72" s="552"/>
      <c r="D72" s="552"/>
      <c r="E72" s="552"/>
    </row>
    <row r="73" spans="1:5" ht="24.75" customHeight="1">
      <c r="A73" s="593" t="s">
        <v>1298</v>
      </c>
      <c r="B73" s="594" t="s">
        <v>1363</v>
      </c>
      <c r="C73" s="594"/>
      <c r="D73" s="552"/>
      <c r="E73" s="552"/>
    </row>
    <row r="74" spans="1:6" ht="24.75" customHeight="1">
      <c r="A74" s="592" t="s">
        <v>1364</v>
      </c>
      <c r="B74" s="563" t="s">
        <v>1365</v>
      </c>
      <c r="C74" s="563"/>
      <c r="D74" s="553"/>
      <c r="E74" s="553"/>
      <c r="F74" s="21" t="s">
        <v>1369</v>
      </c>
    </row>
    <row r="75" spans="1:5" ht="24.75" customHeight="1">
      <c r="A75" s="592" t="s">
        <v>1370</v>
      </c>
      <c r="B75" s="563" t="s">
        <v>1367</v>
      </c>
      <c r="C75" s="563"/>
      <c r="D75" s="553"/>
      <c r="E75" s="553"/>
    </row>
    <row r="76" spans="1:5" ht="18.75">
      <c r="A76" s="98" t="s">
        <v>1297</v>
      </c>
      <c r="B76" s="552" t="s">
        <v>970</v>
      </c>
      <c r="C76" s="552">
        <f>SUM(C74:C75)</f>
        <v>0</v>
      </c>
      <c r="D76" s="552">
        <f>SUM(D74:D75)</f>
        <v>0</v>
      </c>
      <c r="E76" s="552">
        <f>SUM(E74:E75)</f>
        <v>0</v>
      </c>
    </row>
    <row r="77" spans="1:5" ht="24.75" customHeight="1">
      <c r="A77" s="580" t="s">
        <v>1292</v>
      </c>
      <c r="B77" s="579" t="s">
        <v>1334</v>
      </c>
      <c r="C77" s="579">
        <f>C76+C73+C72+C71+C70</f>
        <v>1802</v>
      </c>
      <c r="D77" s="579">
        <f>D76+D73+D72+D71+D70</f>
        <v>998</v>
      </c>
      <c r="E77" s="579">
        <f>E76+E73+E72+E71+E70</f>
        <v>1485</v>
      </c>
    </row>
    <row r="78" spans="1:10" ht="24.75" customHeight="1">
      <c r="A78" s="587" t="s">
        <v>1299</v>
      </c>
      <c r="B78" s="585" t="s">
        <v>70</v>
      </c>
      <c r="C78" s="579">
        <f>SUM(C77+C69+C66+C47+C43)</f>
        <v>8476</v>
      </c>
      <c r="D78" s="579">
        <f>SUM(D77+D69+D66+D47+D43)</f>
        <v>9075</v>
      </c>
      <c r="E78" s="579">
        <f>SUM(E77+E69+E66+E47+E43)</f>
        <v>8606</v>
      </c>
      <c r="F78" s="560"/>
      <c r="G78" s="560"/>
      <c r="H78" s="560"/>
      <c r="I78" s="560"/>
      <c r="J78" s="560"/>
    </row>
    <row r="79" spans="1:10" ht="24.75" customHeight="1">
      <c r="A79" s="98" t="s">
        <v>1307</v>
      </c>
      <c r="B79" s="553" t="s">
        <v>1302</v>
      </c>
      <c r="C79" s="552"/>
      <c r="D79" s="552"/>
      <c r="E79" s="552"/>
      <c r="F79" s="560"/>
      <c r="G79" s="560"/>
      <c r="H79" s="560"/>
      <c r="I79" s="560"/>
      <c r="J79" s="560"/>
    </row>
    <row r="80" spans="1:10" ht="24.75" customHeight="1">
      <c r="A80" s="98" t="s">
        <v>1306</v>
      </c>
      <c r="B80" s="553" t="s">
        <v>1308</v>
      </c>
      <c r="C80" s="552"/>
      <c r="D80" s="552"/>
      <c r="E80" s="552"/>
      <c r="F80" s="560"/>
      <c r="G80" s="560"/>
      <c r="H80" s="560"/>
      <c r="I80" s="560"/>
      <c r="J80" s="560"/>
    </row>
    <row r="81" spans="1:10" ht="24.75" customHeight="1">
      <c r="A81" s="98"/>
      <c r="B81" s="97" t="s">
        <v>1304</v>
      </c>
      <c r="C81" s="552"/>
      <c r="D81" s="552"/>
      <c r="E81" s="552"/>
      <c r="F81" s="560"/>
      <c r="G81" s="560"/>
      <c r="H81" s="560"/>
      <c r="I81" s="560"/>
      <c r="J81" s="560"/>
    </row>
    <row r="82" spans="1:5" ht="18.75">
      <c r="A82" s="98"/>
      <c r="B82" s="97" t="s">
        <v>1303</v>
      </c>
      <c r="C82" s="377"/>
      <c r="D82" s="34"/>
      <c r="E82" s="34"/>
    </row>
    <row r="83" spans="1:5" ht="18.75">
      <c r="A83" s="98"/>
      <c r="B83" s="567" t="s">
        <v>1305</v>
      </c>
      <c r="C83" s="377"/>
      <c r="D83" s="34"/>
      <c r="E83" s="34"/>
    </row>
    <row r="84" spans="1:5" ht="25.5">
      <c r="A84" s="580" t="s">
        <v>1341</v>
      </c>
      <c r="B84" s="579" t="s">
        <v>1337</v>
      </c>
      <c r="C84" s="377">
        <f>SUM(C80:C83)</f>
        <v>0</v>
      </c>
      <c r="D84" s="377">
        <f>SUM(D80:D83)</f>
        <v>0</v>
      </c>
      <c r="E84" s="377">
        <f>SUM(E80:E83)</f>
        <v>0</v>
      </c>
    </row>
    <row r="85" spans="1:5" s="564" customFormat="1" ht="18.75">
      <c r="A85" s="587" t="s">
        <v>1336</v>
      </c>
      <c r="B85" s="587" t="s">
        <v>1340</v>
      </c>
      <c r="C85" s="574">
        <f>SUM(C79+C84)</f>
        <v>0</v>
      </c>
      <c r="D85" s="574">
        <f>SUM(D79+D84)</f>
        <v>0</v>
      </c>
      <c r="E85" s="574">
        <f>SUM(E79+E84)</f>
        <v>0</v>
      </c>
    </row>
    <row r="86" spans="1:5" ht="18.75">
      <c r="A86" s="97" t="s">
        <v>1309</v>
      </c>
      <c r="B86" s="553" t="s">
        <v>1113</v>
      </c>
      <c r="C86" s="553"/>
      <c r="D86" s="553"/>
      <c r="E86" s="553"/>
    </row>
    <row r="87" spans="1:5" s="382" customFormat="1" ht="15">
      <c r="A87" s="97" t="s">
        <v>1310</v>
      </c>
      <c r="B87" s="553" t="s">
        <v>1371</v>
      </c>
      <c r="C87" s="553"/>
      <c r="D87" s="553"/>
      <c r="E87" s="553"/>
    </row>
    <row r="88" spans="1:5" ht="18.75">
      <c r="A88" s="172" t="s">
        <v>1311</v>
      </c>
      <c r="B88" s="553" t="s">
        <v>1117</v>
      </c>
      <c r="C88" s="553"/>
      <c r="D88" s="553"/>
      <c r="E88" s="553"/>
    </row>
    <row r="89" spans="1:5" ht="24" customHeight="1">
      <c r="A89" s="172" t="s">
        <v>1312</v>
      </c>
      <c r="B89" s="553" t="s">
        <v>1118</v>
      </c>
      <c r="C89" s="553"/>
      <c r="D89" s="553"/>
      <c r="E89" s="553"/>
    </row>
    <row r="90" spans="1:5" ht="26.25" customHeight="1">
      <c r="A90" s="172" t="s">
        <v>1313</v>
      </c>
      <c r="B90" s="553" t="s">
        <v>1120</v>
      </c>
      <c r="C90" s="553"/>
      <c r="D90" s="553"/>
      <c r="E90" s="553"/>
    </row>
    <row r="91" spans="1:5" ht="25.5" customHeight="1">
      <c r="A91" s="172" t="s">
        <v>1314</v>
      </c>
      <c r="B91" s="553" t="s">
        <v>1126</v>
      </c>
      <c r="C91" s="553"/>
      <c r="D91" s="553"/>
      <c r="E91" s="553"/>
    </row>
    <row r="92" spans="1:5" ht="18.75">
      <c r="A92" s="584" t="s">
        <v>1315</v>
      </c>
      <c r="B92" s="585" t="s">
        <v>1339</v>
      </c>
      <c r="C92" s="552">
        <f>SUM(C86:C91)</f>
        <v>0</v>
      </c>
      <c r="D92" s="552">
        <f>SUM(D86:D91)</f>
        <v>0</v>
      </c>
      <c r="E92" s="552">
        <f>SUM(E86:E91)</f>
        <v>0</v>
      </c>
    </row>
    <row r="93" spans="1:5" ht="18.75">
      <c r="A93" s="172" t="s">
        <v>1316</v>
      </c>
      <c r="B93" s="553" t="s">
        <v>1130</v>
      </c>
      <c r="C93" s="553"/>
      <c r="D93" s="553"/>
      <c r="E93" s="553"/>
    </row>
    <row r="94" spans="1:5" ht="18.75">
      <c r="A94" s="172" t="s">
        <v>1317</v>
      </c>
      <c r="B94" s="553" t="s">
        <v>1132</v>
      </c>
      <c r="C94" s="553"/>
      <c r="D94" s="553"/>
      <c r="E94" s="553"/>
    </row>
    <row r="95" spans="1:5" ht="18.75">
      <c r="A95" s="172" t="s">
        <v>1318</v>
      </c>
      <c r="B95" s="553" t="s">
        <v>1134</v>
      </c>
      <c r="C95" s="553"/>
      <c r="D95" s="553"/>
      <c r="E95" s="553"/>
    </row>
    <row r="96" spans="1:5" ht="24" customHeight="1">
      <c r="A96" s="172" t="s">
        <v>1319</v>
      </c>
      <c r="B96" s="553" t="s">
        <v>1136</v>
      </c>
      <c r="C96" s="553"/>
      <c r="D96" s="553"/>
      <c r="E96" s="553"/>
    </row>
    <row r="97" spans="1:5" ht="18.75">
      <c r="A97" s="584" t="s">
        <v>1320</v>
      </c>
      <c r="B97" s="585" t="s">
        <v>1338</v>
      </c>
      <c r="C97" s="552">
        <f>SUM(C93:C96)</f>
        <v>0</v>
      </c>
      <c r="D97" s="552">
        <f>SUM(D93:D96)</f>
        <v>0</v>
      </c>
      <c r="E97" s="552">
        <f>SUM(E93:E96)</f>
        <v>0</v>
      </c>
    </row>
    <row r="98" spans="1:5" ht="25.5" customHeight="1">
      <c r="A98" s="172" t="s">
        <v>1323</v>
      </c>
      <c r="B98" s="555" t="s">
        <v>1325</v>
      </c>
      <c r="C98" s="555"/>
      <c r="D98" s="555"/>
      <c r="E98" s="555"/>
    </row>
    <row r="99" spans="1:5" ht="27" customHeight="1">
      <c r="A99" s="457" t="s">
        <v>1322</v>
      </c>
      <c r="B99" s="553" t="s">
        <v>1321</v>
      </c>
      <c r="C99" s="553"/>
      <c r="D99" s="553"/>
      <c r="E99" s="553"/>
    </row>
    <row r="100" spans="1:5" ht="18.75">
      <c r="A100" s="584" t="s">
        <v>1326</v>
      </c>
      <c r="B100" s="586" t="s">
        <v>1324</v>
      </c>
      <c r="C100" s="295">
        <f>SUM(C98:C99)</f>
        <v>0</v>
      </c>
      <c r="D100" s="295">
        <f>SUM(D98:D99)</f>
        <v>0</v>
      </c>
      <c r="E100" s="295">
        <f>SUM(E98:E99)</f>
        <v>0</v>
      </c>
    </row>
    <row r="101" spans="1:5" ht="18.75">
      <c r="A101" s="34"/>
      <c r="B101" s="36" t="s">
        <v>118</v>
      </c>
      <c r="C101" s="581">
        <f>SUM(C100+C97+C92+C85+C78+C29+C23)</f>
        <v>9733</v>
      </c>
      <c r="D101" s="581">
        <f>SUM(D100+D97+D92+D85+D78+D29+D23)</f>
        <v>9075</v>
      </c>
      <c r="E101" s="581">
        <f>SUM(E100+E97+E92+E85+E78+E29+E23)</f>
        <v>10634.555</v>
      </c>
    </row>
  </sheetData>
  <sheetProtection/>
  <mergeCells count="2">
    <mergeCell ref="A2:E2"/>
    <mergeCell ref="F58:I5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2:G29"/>
  <sheetViews>
    <sheetView view="pageBreakPreview" zoomScale="60" zoomScalePageLayoutView="0" workbookViewId="0" topLeftCell="A1">
      <selection activeCell="G11" sqref="G11"/>
    </sheetView>
  </sheetViews>
  <sheetFormatPr defaultColWidth="8.66015625" defaultRowHeight="18"/>
  <cols>
    <col min="1" max="1" width="8.91015625" style="398" customWidth="1"/>
    <col min="2" max="2" width="38.25" style="398" bestFit="1" customWidth="1"/>
    <col min="3" max="3" width="9" style="398" bestFit="1" customWidth="1"/>
    <col min="4" max="4" width="9" style="398" customWidth="1"/>
    <col min="5" max="16384" width="8.91015625" style="398" customWidth="1"/>
  </cols>
  <sheetData>
    <row r="2" spans="3:7" ht="12.75">
      <c r="C2" s="399"/>
      <c r="D2" s="399"/>
      <c r="E2" s="399"/>
      <c r="F2" s="399"/>
      <c r="G2" s="399"/>
    </row>
    <row r="3" spans="1:7" ht="12.75">
      <c r="A3" s="401">
        <v>370000</v>
      </c>
      <c r="B3" s="401" t="s">
        <v>558</v>
      </c>
      <c r="C3" s="399" t="s">
        <v>262</v>
      </c>
      <c r="D3" s="399" t="s">
        <v>281</v>
      </c>
      <c r="E3" s="402">
        <v>41695</v>
      </c>
      <c r="F3" s="399" t="s">
        <v>617</v>
      </c>
      <c r="G3" s="399" t="s">
        <v>616</v>
      </c>
    </row>
    <row r="4" spans="1:7" ht="30.75" customHeight="1" thickBot="1">
      <c r="A4" s="403"/>
      <c r="B4" s="404"/>
      <c r="C4" s="399"/>
      <c r="D4" s="399"/>
      <c r="E4" s="399"/>
      <c r="F4" s="399"/>
      <c r="G4" s="399"/>
    </row>
    <row r="5" spans="1:7" ht="13.5" thickTop="1">
      <c r="A5" s="399"/>
      <c r="B5" s="405" t="s">
        <v>110</v>
      </c>
      <c r="C5" s="400"/>
      <c r="D5" s="400"/>
      <c r="E5" s="399"/>
      <c r="F5" s="399"/>
      <c r="G5" s="399"/>
    </row>
    <row r="6" spans="1:7" ht="12.75">
      <c r="A6" s="399"/>
      <c r="B6" s="405"/>
      <c r="C6" s="400"/>
      <c r="D6" s="400"/>
      <c r="E6" s="399"/>
      <c r="F6" s="399"/>
      <c r="G6" s="399"/>
    </row>
    <row r="7" spans="1:7" ht="12.75">
      <c r="A7" s="399"/>
      <c r="B7" s="406"/>
      <c r="C7" s="400"/>
      <c r="D7" s="400"/>
      <c r="E7" s="399"/>
      <c r="F7" s="399"/>
      <c r="G7" s="399"/>
    </row>
    <row r="8" spans="1:7" ht="12.75">
      <c r="A8" s="399"/>
      <c r="B8" s="407"/>
      <c r="C8" s="400"/>
      <c r="D8" s="400"/>
      <c r="E8" s="399"/>
      <c r="F8" s="399"/>
      <c r="G8" s="399"/>
    </row>
    <row r="9" spans="1:7" ht="12.75">
      <c r="A9" s="399">
        <v>5531</v>
      </c>
      <c r="B9" s="407" t="s">
        <v>559</v>
      </c>
      <c r="C9" s="400">
        <v>5626</v>
      </c>
      <c r="D9" s="400">
        <v>5626</v>
      </c>
      <c r="E9" s="399">
        <v>5626</v>
      </c>
      <c r="F9" s="399">
        <v>8439</v>
      </c>
      <c r="G9" s="399">
        <v>5676</v>
      </c>
    </row>
    <row r="10" spans="1:7" ht="12.75">
      <c r="A10" s="399">
        <v>572191</v>
      </c>
      <c r="B10" s="407" t="s">
        <v>560</v>
      </c>
      <c r="C10" s="400">
        <v>25</v>
      </c>
      <c r="D10" s="400">
        <v>25</v>
      </c>
      <c r="E10" s="399">
        <v>2</v>
      </c>
      <c r="F10" s="399"/>
      <c r="G10" s="399">
        <v>2</v>
      </c>
    </row>
    <row r="11" spans="1:7" ht="12.75">
      <c r="A11" s="400"/>
      <c r="B11" s="405" t="s">
        <v>29</v>
      </c>
      <c r="C11" s="408">
        <f>SUM(C9:C10)</f>
        <v>5651</v>
      </c>
      <c r="D11" s="408">
        <f>SUM(D9:D10)</f>
        <v>5651</v>
      </c>
      <c r="E11" s="408">
        <f>SUM(E9:E10)</f>
        <v>5628</v>
      </c>
      <c r="F11" s="408">
        <f>SUM(F9:F10)</f>
        <v>8439</v>
      </c>
      <c r="G11" s="408">
        <f>SUM(G9:G10)</f>
        <v>5678</v>
      </c>
    </row>
    <row r="12" spans="1:7" ht="12.75">
      <c r="A12" s="399"/>
      <c r="B12" s="406"/>
      <c r="C12" s="400"/>
      <c r="D12" s="400"/>
      <c r="E12" s="399"/>
      <c r="F12" s="399"/>
      <c r="G12" s="399"/>
    </row>
    <row r="13" spans="1:7" ht="13.5" thickBot="1">
      <c r="A13" s="409"/>
      <c r="B13" s="409" t="s">
        <v>0</v>
      </c>
      <c r="C13" s="408">
        <f>SUM(C11)</f>
        <v>5651</v>
      </c>
      <c r="D13" s="408">
        <f>SUM(D11)</f>
        <v>5651</v>
      </c>
      <c r="E13" s="408">
        <f>SUM(E11)</f>
        <v>5628</v>
      </c>
      <c r="F13" s="408">
        <f>SUM(F11)</f>
        <v>8439</v>
      </c>
      <c r="G13" s="408">
        <f>SUM(G11)</f>
        <v>5678</v>
      </c>
    </row>
    <row r="14" ht="13.5" thickTop="1"/>
    <row r="18" spans="1:2" ht="12.75">
      <c r="A18" s="410"/>
      <c r="B18" s="410"/>
    </row>
    <row r="20" ht="39.75" customHeight="1">
      <c r="B20" s="411"/>
    </row>
    <row r="22" spans="1:2" ht="12.75">
      <c r="A22" s="401"/>
      <c r="B22" s="401"/>
    </row>
    <row r="27" spans="1:2" ht="12.75">
      <c r="A27" s="401"/>
      <c r="B27" s="401"/>
    </row>
    <row r="28" spans="1:2" ht="12.75">
      <c r="A28" s="401"/>
      <c r="B28" s="401"/>
    </row>
    <row r="29" spans="1:2" ht="12.75">
      <c r="A29" s="410"/>
      <c r="B29" s="410"/>
    </row>
  </sheetData>
  <sheetProtection/>
  <printOptions/>
  <pageMargins left="0.7" right="0.7" top="0.75" bottom="0.75" header="0.3" footer="0.3"/>
  <pageSetup horizontalDpi="300" verticalDpi="300" orientation="portrait" paperSize="9" scale="74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00B050"/>
  </sheetPr>
  <dimension ref="A2:I18"/>
  <sheetViews>
    <sheetView view="pageBreakPreview" zoomScale="60" zoomScalePageLayoutView="0" workbookViewId="0" topLeftCell="A1">
      <selection activeCell="H4" sqref="H4"/>
    </sheetView>
  </sheetViews>
  <sheetFormatPr defaultColWidth="8.66015625" defaultRowHeight="18"/>
  <cols>
    <col min="1" max="1" width="8.66015625" style="170" customWidth="1"/>
    <col min="2" max="2" width="32.41015625" style="30" customWidth="1"/>
    <col min="3" max="3" width="8.25" style="30" customWidth="1"/>
    <col min="4" max="4" width="6.58203125" style="30" customWidth="1"/>
    <col min="5" max="5" width="7.75" style="30" customWidth="1"/>
    <col min="6" max="6" width="6.08203125" style="30" customWidth="1"/>
    <col min="7" max="7" width="8.91015625" style="30" customWidth="1"/>
    <col min="8" max="8" width="15.58203125" style="30" customWidth="1"/>
    <col min="9" max="16384" width="8.91015625" style="30" customWidth="1"/>
  </cols>
  <sheetData>
    <row r="2" spans="1:4" s="173" customFormat="1" ht="18">
      <c r="A2" s="174">
        <v>932911</v>
      </c>
      <c r="B2" s="29" t="s">
        <v>506</v>
      </c>
      <c r="C2" s="241"/>
      <c r="D2" s="241"/>
    </row>
    <row r="3" spans="3:7" ht="15">
      <c r="C3" s="30" t="s">
        <v>262</v>
      </c>
      <c r="D3" s="30" t="s">
        <v>281</v>
      </c>
      <c r="E3" s="46" t="s">
        <v>614</v>
      </c>
      <c r="F3" s="30" t="s">
        <v>615</v>
      </c>
      <c r="G3" s="30" t="s">
        <v>616</v>
      </c>
    </row>
    <row r="4" spans="1:9" ht="45">
      <c r="A4" s="171">
        <v>54913</v>
      </c>
      <c r="B4" s="97" t="s">
        <v>97</v>
      </c>
      <c r="C4" s="97">
        <v>100</v>
      </c>
      <c r="D4" s="97">
        <v>100</v>
      </c>
      <c r="E4" s="30">
        <v>50</v>
      </c>
      <c r="F4" s="30">
        <v>82</v>
      </c>
      <c r="G4" s="30">
        <v>270</v>
      </c>
      <c r="H4" s="543" t="s">
        <v>730</v>
      </c>
      <c r="I4" s="542"/>
    </row>
    <row r="5" spans="1:7" ht="15">
      <c r="A5" s="171"/>
      <c r="B5" s="98" t="s">
        <v>505</v>
      </c>
      <c r="C5" s="98">
        <f>SUM(C4)</f>
        <v>100</v>
      </c>
      <c r="D5" s="98">
        <f>SUM(D4)</f>
        <v>100</v>
      </c>
      <c r="E5" s="98">
        <f>SUM(E4)</f>
        <v>50</v>
      </c>
      <c r="F5" s="98">
        <f>SUM(F4)</f>
        <v>82</v>
      </c>
      <c r="G5" s="30">
        <f>SUM(G4)</f>
        <v>270</v>
      </c>
    </row>
    <row r="6" spans="1:4" ht="15">
      <c r="A6" s="171"/>
      <c r="B6" s="97"/>
      <c r="C6" s="97"/>
      <c r="D6" s="97"/>
    </row>
    <row r="7" spans="1:7" ht="15">
      <c r="A7" s="171">
        <v>55215</v>
      </c>
      <c r="B7" s="97" t="s">
        <v>504</v>
      </c>
      <c r="C7" s="97">
        <v>15</v>
      </c>
      <c r="D7" s="97">
        <v>15</v>
      </c>
      <c r="E7" s="30">
        <v>15</v>
      </c>
      <c r="F7" s="30">
        <v>3</v>
      </c>
      <c r="G7" s="30">
        <v>15</v>
      </c>
    </row>
    <row r="8" spans="1:7" s="239" customFormat="1" ht="15">
      <c r="A8" s="240">
        <v>55217</v>
      </c>
      <c r="B8" s="192" t="s">
        <v>503</v>
      </c>
      <c r="C8" s="192">
        <v>70</v>
      </c>
      <c r="D8" s="192">
        <v>70</v>
      </c>
      <c r="E8" s="239">
        <v>85</v>
      </c>
      <c r="F8" s="239">
        <v>58</v>
      </c>
      <c r="G8" s="239">
        <v>85</v>
      </c>
    </row>
    <row r="9" spans="1:6" ht="15">
      <c r="A9" s="171">
        <v>5531</v>
      </c>
      <c r="B9" s="97" t="s">
        <v>502</v>
      </c>
      <c r="C9" s="97">
        <v>25</v>
      </c>
      <c r="D9" s="97">
        <v>25</v>
      </c>
      <c r="F9" s="30">
        <v>25</v>
      </c>
    </row>
    <row r="10" spans="1:7" ht="15">
      <c r="A10" s="171"/>
      <c r="B10" s="98" t="s">
        <v>64</v>
      </c>
      <c r="C10" s="98">
        <f>SUM(C7:C9)</f>
        <v>110</v>
      </c>
      <c r="D10" s="98">
        <f>SUM(D7:D9)</f>
        <v>110</v>
      </c>
      <c r="E10" s="98">
        <f>SUM(E7:E9)</f>
        <v>100</v>
      </c>
      <c r="F10" s="98">
        <f>SUM(F7:F9)</f>
        <v>86</v>
      </c>
      <c r="G10" s="30">
        <v>100</v>
      </c>
    </row>
    <row r="11" spans="1:4" ht="15">
      <c r="A11" s="171"/>
      <c r="B11" s="97"/>
      <c r="C11" s="97"/>
      <c r="D11" s="97"/>
    </row>
    <row r="12" spans="1:7" ht="15">
      <c r="A12" s="171">
        <v>56111</v>
      </c>
      <c r="B12" s="97" t="s">
        <v>332</v>
      </c>
      <c r="C12" s="97">
        <v>57</v>
      </c>
      <c r="D12" s="97">
        <f>(D10+D5)*27%</f>
        <v>56.7</v>
      </c>
      <c r="E12" s="30">
        <f>(E5+E10)*27%</f>
        <v>40.5</v>
      </c>
      <c r="F12" s="30">
        <v>39</v>
      </c>
      <c r="G12" s="30">
        <v>95</v>
      </c>
    </row>
    <row r="13" spans="1:7" ht="15">
      <c r="A13" s="171"/>
      <c r="B13" s="98" t="s">
        <v>501</v>
      </c>
      <c r="C13" s="98">
        <f>SUM(C12)</f>
        <v>57</v>
      </c>
      <c r="D13" s="98">
        <f>SUM(D12)</f>
        <v>56.7</v>
      </c>
      <c r="E13" s="98">
        <f>SUM(E12)</f>
        <v>40.5</v>
      </c>
      <c r="F13" s="98">
        <f>SUM(F12)</f>
        <v>39</v>
      </c>
      <c r="G13" s="30">
        <v>95</v>
      </c>
    </row>
    <row r="14" spans="1:4" ht="15">
      <c r="A14" s="171"/>
      <c r="B14" s="97"/>
      <c r="C14" s="97"/>
      <c r="D14" s="97"/>
    </row>
    <row r="15" spans="1:7" ht="15">
      <c r="A15" s="171"/>
      <c r="B15" s="98" t="s">
        <v>29</v>
      </c>
      <c r="C15" s="98">
        <f>SUM(C13+C10+C5)</f>
        <v>267</v>
      </c>
      <c r="D15" s="98">
        <f>SUM(D13+D10+D5)</f>
        <v>266.7</v>
      </c>
      <c r="E15" s="98">
        <f>SUM(E13+E10+E5)</f>
        <v>190.5</v>
      </c>
      <c r="F15" s="98">
        <f>SUM(F13+F10+F5)</f>
        <v>207</v>
      </c>
      <c r="G15" s="30">
        <f>SUM(G5+G10+G13)</f>
        <v>465</v>
      </c>
    </row>
    <row r="16" spans="1:4" ht="15">
      <c r="A16" s="171"/>
      <c r="B16" s="97"/>
      <c r="C16" s="98"/>
      <c r="D16" s="98"/>
    </row>
    <row r="17" spans="1:7" ht="15">
      <c r="A17" s="171"/>
      <c r="B17" s="98" t="s">
        <v>0</v>
      </c>
      <c r="C17" s="98">
        <f>SUM(C15)</f>
        <v>267</v>
      </c>
      <c r="D17" s="98">
        <f>SUM(D15)</f>
        <v>266.7</v>
      </c>
      <c r="E17" s="98">
        <f>SUM(E15)</f>
        <v>190.5</v>
      </c>
      <c r="F17" s="98">
        <f>SUM(F15)</f>
        <v>207</v>
      </c>
      <c r="G17" s="30">
        <f>SUM(G15)</f>
        <v>465</v>
      </c>
    </row>
    <row r="18" spans="1:4" ht="15">
      <c r="A18" s="171"/>
      <c r="B18" s="97"/>
      <c r="D18" s="97"/>
    </row>
  </sheetData>
  <sheetProtection/>
  <printOptions/>
  <pageMargins left="0.7" right="0.7" top="0.75" bottom="0.75" header="0.3" footer="0.3"/>
  <pageSetup horizontalDpi="300" verticalDpi="300" orientation="portrait" paperSize="9" scale="57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C00000"/>
  </sheetPr>
  <dimension ref="A2:J101"/>
  <sheetViews>
    <sheetView zoomScalePageLayoutView="0" workbookViewId="0" topLeftCell="A88">
      <selection activeCell="E71" sqref="E71"/>
    </sheetView>
  </sheetViews>
  <sheetFormatPr defaultColWidth="8.41015625" defaultRowHeight="18"/>
  <cols>
    <col min="1" max="1" width="8.41015625" style="21" customWidth="1"/>
    <col min="2" max="2" width="29.41015625" style="21" customWidth="1"/>
    <col min="3" max="3" width="8" style="382" customWidth="1"/>
    <col min="4" max="4" width="7.33203125" style="21" customWidth="1"/>
    <col min="5" max="5" width="7.75" style="21" customWidth="1"/>
    <col min="6" max="249" width="7.08203125" style="21" customWidth="1"/>
    <col min="250" max="16384" width="8.41015625" style="21" customWidth="1"/>
  </cols>
  <sheetData>
    <row r="2" spans="1:5" ht="18.75">
      <c r="A2" s="620" t="s">
        <v>1331</v>
      </c>
      <c r="B2" s="620"/>
      <c r="C2" s="620"/>
      <c r="D2" s="620"/>
      <c r="E2" s="620"/>
    </row>
    <row r="3" ht="19.5" thickBot="1">
      <c r="C3" s="243"/>
    </row>
    <row r="4" spans="1:5" ht="19.5" thickBot="1">
      <c r="A4" s="595">
        <v>932911</v>
      </c>
      <c r="B4" s="245" t="s">
        <v>1412</v>
      </c>
      <c r="C4" s="421" t="s">
        <v>616</v>
      </c>
      <c r="D4" s="41" t="s">
        <v>626</v>
      </c>
      <c r="E4" s="34">
        <v>2016</v>
      </c>
    </row>
    <row r="5" spans="1:5" ht="19.5" thickBot="1">
      <c r="A5" s="596" t="s">
        <v>1413</v>
      </c>
      <c r="B5" s="210"/>
      <c r="C5" s="295"/>
      <c r="D5" s="34"/>
      <c r="E5" s="34"/>
    </row>
    <row r="6" spans="1:5" ht="18.75">
      <c r="A6" s="249" t="s">
        <v>819</v>
      </c>
      <c r="B6" s="250" t="s">
        <v>1238</v>
      </c>
      <c r="C6" s="376"/>
      <c r="D6" s="565"/>
      <c r="E6" s="565"/>
    </row>
    <row r="7" spans="1:5" ht="18.75">
      <c r="A7" s="253" t="s">
        <v>822</v>
      </c>
      <c r="B7" s="254" t="s">
        <v>821</v>
      </c>
      <c r="C7" s="377"/>
      <c r="D7" s="34"/>
      <c r="E7" s="34"/>
    </row>
    <row r="8" spans="1:5" ht="18.75">
      <c r="A8" s="253" t="s">
        <v>823</v>
      </c>
      <c r="B8" s="254" t="s">
        <v>820</v>
      </c>
      <c r="C8" s="377"/>
      <c r="D8" s="34"/>
      <c r="E8" s="381"/>
    </row>
    <row r="9" spans="1:5" ht="18.75">
      <c r="A9" s="253" t="s">
        <v>825</v>
      </c>
      <c r="B9" s="254" t="s">
        <v>824</v>
      </c>
      <c r="C9" s="377"/>
      <c r="D9" s="34"/>
      <c r="E9" s="34"/>
    </row>
    <row r="10" spans="1:5" ht="18.75">
      <c r="A10" s="253" t="s">
        <v>826</v>
      </c>
      <c r="B10" s="260" t="s">
        <v>1239</v>
      </c>
      <c r="C10" s="377"/>
      <c r="D10" s="34"/>
      <c r="E10" s="34"/>
    </row>
    <row r="11" spans="1:5" ht="18.75">
      <c r="A11" s="253" t="s">
        <v>1233</v>
      </c>
      <c r="B11" s="260" t="s">
        <v>1240</v>
      </c>
      <c r="C11" s="378"/>
      <c r="D11" s="34"/>
      <c r="E11" s="34"/>
    </row>
    <row r="12" spans="1:5" ht="18.75">
      <c r="A12" s="253" t="s">
        <v>1241</v>
      </c>
      <c r="B12" s="262" t="s">
        <v>1234</v>
      </c>
      <c r="C12" s="377"/>
      <c r="D12" s="34"/>
      <c r="E12" s="34"/>
    </row>
    <row r="13" spans="1:5" ht="18.75">
      <c r="A13" s="253" t="s">
        <v>1242</v>
      </c>
      <c r="B13" s="262" t="s">
        <v>1235</v>
      </c>
      <c r="C13" s="377"/>
      <c r="D13" s="34"/>
      <c r="E13" s="34"/>
    </row>
    <row r="14" spans="1:5" ht="18.75">
      <c r="A14" s="253" t="s">
        <v>1243</v>
      </c>
      <c r="B14" s="254" t="s">
        <v>528</v>
      </c>
      <c r="C14" s="377"/>
      <c r="D14" s="34"/>
      <c r="E14" s="34"/>
    </row>
    <row r="15" spans="1:5" ht="18.75">
      <c r="A15" s="253" t="s">
        <v>1244</v>
      </c>
      <c r="B15" s="254" t="s">
        <v>1236</v>
      </c>
      <c r="C15" s="377"/>
      <c r="D15" s="34"/>
      <c r="E15" s="34"/>
    </row>
    <row r="16" spans="1:5" ht="19.5" thickBot="1">
      <c r="A16" s="264" t="s">
        <v>1245</v>
      </c>
      <c r="B16" s="265" t="s">
        <v>791</v>
      </c>
      <c r="C16" s="377"/>
      <c r="D16" s="34"/>
      <c r="E16" s="34"/>
    </row>
    <row r="17" spans="1:5" ht="19.5" thickBot="1">
      <c r="A17" s="568" t="s">
        <v>1327</v>
      </c>
      <c r="B17" s="569" t="s">
        <v>1249</v>
      </c>
      <c r="C17" s="379">
        <f>SUM(C6:C16)</f>
        <v>0</v>
      </c>
      <c r="D17" s="379">
        <f>SUM(D6:D16)</f>
        <v>0</v>
      </c>
      <c r="E17" s="379">
        <f>SUM(E6:E16)</f>
        <v>0</v>
      </c>
    </row>
    <row r="18" spans="1:5" ht="19.5" thickBot="1">
      <c r="A18" s="557" t="s">
        <v>1329</v>
      </c>
      <c r="B18" s="558" t="s">
        <v>1248</v>
      </c>
      <c r="C18" s="377"/>
      <c r="D18" s="34"/>
      <c r="E18" s="34"/>
    </row>
    <row r="19" spans="1:5" ht="19.5" thickBot="1">
      <c r="A19" s="557" t="s">
        <v>1328</v>
      </c>
      <c r="B19" s="558" t="s">
        <v>1246</v>
      </c>
      <c r="C19" s="377"/>
      <c r="D19" s="34"/>
      <c r="E19" s="34"/>
    </row>
    <row r="20" spans="1:5" ht="19.5" thickBot="1">
      <c r="A20" s="557" t="s">
        <v>1253</v>
      </c>
      <c r="B20" s="558" t="s">
        <v>19</v>
      </c>
      <c r="C20" s="377"/>
      <c r="D20" s="34"/>
      <c r="E20" s="34"/>
    </row>
    <row r="21" spans="1:5" ht="19.5" thickBot="1">
      <c r="A21" s="557" t="s">
        <v>1254</v>
      </c>
      <c r="B21" s="558" t="s">
        <v>889</v>
      </c>
      <c r="C21" s="377"/>
      <c r="D21" s="34"/>
      <c r="E21" s="34"/>
    </row>
    <row r="22" spans="1:5" ht="19.5" thickBot="1">
      <c r="A22" s="568" t="s">
        <v>1330</v>
      </c>
      <c r="B22" s="569" t="s">
        <v>1247</v>
      </c>
      <c r="C22" s="377">
        <f>SUM(C18:C21)</f>
        <v>0</v>
      </c>
      <c r="D22" s="377">
        <f>SUM(D18:D21)</f>
        <v>0</v>
      </c>
      <c r="E22" s="377">
        <f>SUM(E18:E21)</f>
        <v>0</v>
      </c>
    </row>
    <row r="23" spans="1:5" ht="27" customHeight="1" thickBot="1">
      <c r="A23" s="268" t="s">
        <v>1250</v>
      </c>
      <c r="B23" s="269" t="s">
        <v>1237</v>
      </c>
      <c r="C23" s="379">
        <f>SUM(C22,C17)</f>
        <v>0</v>
      </c>
      <c r="D23" s="379">
        <f>SUM(D22,D17)</f>
        <v>0</v>
      </c>
      <c r="E23" s="379">
        <f>SUM(E22,E17)</f>
        <v>0</v>
      </c>
    </row>
    <row r="24" spans="1:5" ht="19.5" thickBot="1">
      <c r="A24" s="270"/>
      <c r="B24" s="271"/>
      <c r="C24" s="377"/>
      <c r="D24" s="34"/>
      <c r="E24" s="34"/>
    </row>
    <row r="25" spans="1:5" ht="18.75">
      <c r="A25" s="272" t="s">
        <v>1255</v>
      </c>
      <c r="B25" s="97" t="s">
        <v>590</v>
      </c>
      <c r="C25" s="275"/>
      <c r="D25" s="44"/>
      <c r="E25" s="34"/>
    </row>
    <row r="26" spans="1:5" ht="18.75">
      <c r="A26" s="559" t="s">
        <v>1256</v>
      </c>
      <c r="B26" s="97" t="s">
        <v>1251</v>
      </c>
      <c r="C26" s="275"/>
      <c r="D26" s="44"/>
      <c r="E26" s="34"/>
    </row>
    <row r="27" spans="1:5" ht="18.75">
      <c r="A27" s="276" t="s">
        <v>1252</v>
      </c>
      <c r="B27" s="255" t="s">
        <v>4</v>
      </c>
      <c r="C27" s="378"/>
      <c r="D27" s="34"/>
      <c r="E27" s="34"/>
    </row>
    <row r="28" spans="1:5" ht="19.5" thickBot="1">
      <c r="A28" s="462" t="s">
        <v>1257</v>
      </c>
      <c r="B28" s="255" t="s">
        <v>635</v>
      </c>
      <c r="C28" s="378"/>
      <c r="D28" s="34"/>
      <c r="E28" s="34"/>
    </row>
    <row r="29" spans="1:5" ht="19.5" thickBot="1">
      <c r="A29" s="582" t="s">
        <v>1258</v>
      </c>
      <c r="B29" s="583" t="s">
        <v>69</v>
      </c>
      <c r="C29" s="378">
        <f>SUM(C25:C28)</f>
        <v>0</v>
      </c>
      <c r="D29" s="378">
        <f>SUM(D25:D28)</f>
        <v>0</v>
      </c>
      <c r="E29" s="378">
        <f>SUM(E25:E28)</f>
        <v>0</v>
      </c>
    </row>
    <row r="30" spans="1:5" ht="19.5" thickBot="1">
      <c r="A30" s="282"/>
      <c r="B30" s="283"/>
      <c r="C30" s="377"/>
      <c r="D30" s="34"/>
      <c r="E30" s="34"/>
    </row>
    <row r="31" spans="1:5" ht="18.75">
      <c r="A31" s="249" t="s">
        <v>1259</v>
      </c>
      <c r="B31" s="291" t="s">
        <v>533</v>
      </c>
      <c r="C31" s="377"/>
      <c r="D31" s="34"/>
      <c r="E31" s="34"/>
    </row>
    <row r="32" spans="1:5" ht="18.75">
      <c r="A32" s="253" t="s">
        <v>1260</v>
      </c>
      <c r="B32" s="254" t="s">
        <v>534</v>
      </c>
      <c r="C32" s="377"/>
      <c r="D32" s="41"/>
      <c r="E32" s="34"/>
    </row>
    <row r="33" spans="1:5" ht="18.75">
      <c r="A33" s="253" t="s">
        <v>1262</v>
      </c>
      <c r="B33" s="254" t="s">
        <v>1261</v>
      </c>
      <c r="C33" s="377"/>
      <c r="D33" s="41"/>
      <c r="E33" s="34"/>
    </row>
    <row r="34" spans="1:5" ht="18.75">
      <c r="A34" s="253" t="s">
        <v>1263</v>
      </c>
      <c r="B34" s="254" t="s">
        <v>124</v>
      </c>
      <c r="C34" s="377"/>
      <c r="D34" s="41"/>
      <c r="E34" s="34"/>
    </row>
    <row r="35" spans="1:5" ht="18.75">
      <c r="A35" s="253" t="s">
        <v>1264</v>
      </c>
      <c r="B35" s="254" t="s">
        <v>1265</v>
      </c>
      <c r="C35" s="570"/>
      <c r="D35" s="41"/>
      <c r="E35" s="34"/>
    </row>
    <row r="36" spans="1:5" ht="18.75">
      <c r="A36" s="253" t="s">
        <v>1335</v>
      </c>
      <c r="B36" s="562" t="s">
        <v>548</v>
      </c>
      <c r="C36" s="570">
        <f>SUM(C31:C35)</f>
        <v>0</v>
      </c>
      <c r="D36" s="570">
        <f>SUM(D31:D35)</f>
        <v>0</v>
      </c>
      <c r="E36" s="570">
        <f>SUM(E31:E35)</f>
        <v>0</v>
      </c>
    </row>
    <row r="37" spans="1:5" ht="18.75">
      <c r="A37" s="253" t="s">
        <v>1342</v>
      </c>
      <c r="B37" s="254" t="s">
        <v>1343</v>
      </c>
      <c r="C37" s="570"/>
      <c r="D37" s="570"/>
      <c r="E37" s="570"/>
    </row>
    <row r="38" spans="1:5" ht="18.75">
      <c r="A38" s="253" t="s">
        <v>1344</v>
      </c>
      <c r="B38" s="254" t="s">
        <v>1267</v>
      </c>
      <c r="C38" s="570"/>
      <c r="D38" s="34"/>
      <c r="E38" s="34"/>
    </row>
    <row r="39" spans="1:5" ht="18.75">
      <c r="A39" s="253" t="s">
        <v>1345</v>
      </c>
      <c r="B39" s="254" t="s">
        <v>88</v>
      </c>
      <c r="C39" s="570"/>
      <c r="D39" s="34"/>
      <c r="E39" s="34"/>
    </row>
    <row r="40" spans="1:5" ht="18.75">
      <c r="A40" s="253" t="s">
        <v>1346</v>
      </c>
      <c r="B40" s="254" t="s">
        <v>1268</v>
      </c>
      <c r="C40" s="377"/>
      <c r="D40" s="34"/>
      <c r="E40" s="34"/>
    </row>
    <row r="41" spans="1:6" ht="19.5" thickBot="1">
      <c r="A41" s="288" t="s">
        <v>1347</v>
      </c>
      <c r="B41" s="289" t="s">
        <v>1269</v>
      </c>
      <c r="C41" s="377">
        <v>270</v>
      </c>
      <c r="D41" s="34">
        <v>275</v>
      </c>
      <c r="E41" s="34">
        <v>330</v>
      </c>
      <c r="F41" s="21" t="s">
        <v>1460</v>
      </c>
    </row>
    <row r="42" spans="1:5" ht="17.25" customHeight="1" thickBot="1">
      <c r="A42" s="268" t="s">
        <v>1266</v>
      </c>
      <c r="B42" s="571" t="s">
        <v>1270</v>
      </c>
      <c r="C42" s="377">
        <f>SUM(C37:C41)</f>
        <v>270</v>
      </c>
      <c r="D42" s="377">
        <f>SUM(D38:D41)</f>
        <v>275</v>
      </c>
      <c r="E42" s="377">
        <f>SUM(E38:E41)</f>
        <v>330</v>
      </c>
    </row>
    <row r="43" spans="1:5" ht="22.5" customHeight="1" thickBot="1">
      <c r="A43" s="572" t="s">
        <v>1300</v>
      </c>
      <c r="B43" s="573" t="s">
        <v>595</v>
      </c>
      <c r="C43" s="574">
        <f>SUM(C42,C36)</f>
        <v>270</v>
      </c>
      <c r="D43" s="574">
        <f>SUM(D42,D36)</f>
        <v>275</v>
      </c>
      <c r="E43" s="574">
        <f>SUM(E42,E36)</f>
        <v>330</v>
      </c>
    </row>
    <row r="44" spans="1:5" ht="18.75">
      <c r="A44" s="249" t="s">
        <v>1271</v>
      </c>
      <c r="B44" s="291" t="s">
        <v>1348</v>
      </c>
      <c r="C44" s="377"/>
      <c r="D44" s="34"/>
      <c r="E44" s="34"/>
    </row>
    <row r="45" spans="1:5" ht="18.75">
      <c r="A45" s="494" t="s">
        <v>1350</v>
      </c>
      <c r="B45" s="590" t="s">
        <v>1351</v>
      </c>
      <c r="C45" s="377"/>
      <c r="D45" s="34"/>
      <c r="E45" s="34"/>
    </row>
    <row r="46" spans="1:5" ht="18.75">
      <c r="A46" s="253" t="s">
        <v>1272</v>
      </c>
      <c r="B46" s="254" t="s">
        <v>1349</v>
      </c>
      <c r="C46" s="295"/>
      <c r="D46" s="566"/>
      <c r="E46" s="34"/>
    </row>
    <row r="47" spans="1:5" ht="18.75">
      <c r="A47" s="575" t="s">
        <v>1301</v>
      </c>
      <c r="B47" s="576" t="s">
        <v>1366</v>
      </c>
      <c r="C47" s="577">
        <f>SUM(C44:C46)</f>
        <v>0</v>
      </c>
      <c r="D47" s="577">
        <f>SUM(D44:D46)</f>
        <v>0</v>
      </c>
      <c r="E47" s="577">
        <f>SUM(E44:E46)</f>
        <v>0</v>
      </c>
    </row>
    <row r="48" spans="1:5" ht="18.75">
      <c r="A48" s="253" t="s">
        <v>1275</v>
      </c>
      <c r="B48" s="254" t="s">
        <v>544</v>
      </c>
      <c r="C48" s="295">
        <v>15</v>
      </c>
      <c r="D48" s="566">
        <v>2</v>
      </c>
      <c r="E48" s="34">
        <v>10</v>
      </c>
    </row>
    <row r="49" spans="1:5" ht="18.75">
      <c r="A49" s="253" t="s">
        <v>1274</v>
      </c>
      <c r="B49" s="254" t="s">
        <v>543</v>
      </c>
      <c r="C49" s="295"/>
      <c r="D49" s="34"/>
      <c r="E49" s="34"/>
    </row>
    <row r="50" spans="1:5" ht="18.75">
      <c r="A50" s="253" t="s">
        <v>1276</v>
      </c>
      <c r="B50" s="254" t="s">
        <v>503</v>
      </c>
      <c r="C50" s="295">
        <v>85</v>
      </c>
      <c r="D50" s="34">
        <v>56</v>
      </c>
      <c r="E50" s="34">
        <v>80</v>
      </c>
    </row>
    <row r="51" spans="1:5" ht="18.75">
      <c r="A51" s="575" t="s">
        <v>1273</v>
      </c>
      <c r="B51" s="576" t="s">
        <v>1277</v>
      </c>
      <c r="C51" s="577">
        <f>SUM(C48:C50)</f>
        <v>100</v>
      </c>
      <c r="D51" s="577">
        <f>SUM(D48:D50)</f>
        <v>58</v>
      </c>
      <c r="E51" s="577">
        <f>SUM(E48:E50)</f>
        <v>90</v>
      </c>
    </row>
    <row r="52" spans="1:5" ht="18.75">
      <c r="A52" s="253" t="s">
        <v>1332</v>
      </c>
      <c r="B52" s="254" t="s">
        <v>1278</v>
      </c>
      <c r="C52" s="295"/>
      <c r="D52" s="34"/>
      <c r="E52" s="34"/>
    </row>
    <row r="53" spans="1:5" ht="18.75">
      <c r="A53" s="253" t="s">
        <v>1280</v>
      </c>
      <c r="B53" s="254" t="s">
        <v>26</v>
      </c>
      <c r="C53" s="295"/>
      <c r="D53" s="41"/>
      <c r="E53" s="34"/>
    </row>
    <row r="54" spans="1:5" ht="18.75">
      <c r="A54" s="253" t="s">
        <v>1281</v>
      </c>
      <c r="B54" s="254" t="s">
        <v>1352</v>
      </c>
      <c r="C54" s="377"/>
      <c r="D54" s="34"/>
      <c r="E54" s="34"/>
    </row>
    <row r="55" spans="1:5" ht="18.75">
      <c r="A55" s="575" t="s">
        <v>1283</v>
      </c>
      <c r="B55" s="576" t="s">
        <v>1282</v>
      </c>
      <c r="C55" s="574">
        <f>SUM(C53:C54)</f>
        <v>0</v>
      </c>
      <c r="D55" s="574">
        <f>SUM(D53:D54)</f>
        <v>0</v>
      </c>
      <c r="E55" s="574">
        <f>SUM(E53:E54)</f>
        <v>0</v>
      </c>
    </row>
    <row r="56" spans="1:5" ht="18.75">
      <c r="A56" s="575" t="s">
        <v>1284</v>
      </c>
      <c r="B56" s="588" t="s">
        <v>1333</v>
      </c>
      <c r="C56" s="589"/>
      <c r="D56" s="589"/>
      <c r="E56" s="589"/>
    </row>
    <row r="57" spans="1:5" ht="18.75">
      <c r="A57" s="288"/>
      <c r="B57" s="554" t="s">
        <v>943</v>
      </c>
      <c r="C57" s="554"/>
      <c r="D57" s="554"/>
      <c r="E57" s="554"/>
    </row>
    <row r="58" spans="1:5" ht="18.75">
      <c r="A58" s="288" t="s">
        <v>1353</v>
      </c>
      <c r="B58" s="554" t="s">
        <v>547</v>
      </c>
      <c r="C58" s="554"/>
      <c r="D58" s="554"/>
      <c r="E58" s="554"/>
    </row>
    <row r="59" spans="1:5" ht="18.75">
      <c r="A59" s="288" t="s">
        <v>1354</v>
      </c>
      <c r="B59" s="554" t="s">
        <v>1355</v>
      </c>
      <c r="C59" s="554"/>
      <c r="D59" s="554"/>
      <c r="E59" s="554"/>
    </row>
    <row r="60" spans="1:5" ht="27" customHeight="1">
      <c r="A60" s="561" t="s">
        <v>1285</v>
      </c>
      <c r="B60" s="552" t="s">
        <v>945</v>
      </c>
      <c r="C60" s="591">
        <f>SUM(C58:C59)</f>
        <v>0</v>
      </c>
      <c r="D60" s="591">
        <f>SUM(D58:D59)</f>
        <v>0</v>
      </c>
      <c r="E60" s="591">
        <f>SUM(E58:E59)</f>
        <v>0</v>
      </c>
    </row>
    <row r="61" spans="1:5" ht="23.25" customHeight="1">
      <c r="A61" s="462" t="s">
        <v>1356</v>
      </c>
      <c r="B61" s="553" t="s">
        <v>1362</v>
      </c>
      <c r="C61" s="591"/>
      <c r="D61" s="591"/>
      <c r="E61" s="591"/>
    </row>
    <row r="62" spans="1:5" ht="23.25" customHeight="1">
      <c r="A62" s="462" t="s">
        <v>1357</v>
      </c>
      <c r="B62" s="553" t="s">
        <v>1358</v>
      </c>
      <c r="C62" s="591"/>
      <c r="D62" s="591"/>
      <c r="E62" s="591"/>
    </row>
    <row r="63" spans="1:5" ht="23.25" customHeight="1">
      <c r="A63" s="462" t="s">
        <v>1359</v>
      </c>
      <c r="B63" s="553" t="s">
        <v>9</v>
      </c>
      <c r="C63" s="591"/>
      <c r="D63" s="591"/>
      <c r="E63" s="591"/>
    </row>
    <row r="64" spans="1:6" ht="23.25" customHeight="1" thickBot="1">
      <c r="A64" s="462" t="s">
        <v>1360</v>
      </c>
      <c r="B64" s="553" t="s">
        <v>1361</v>
      </c>
      <c r="C64" s="591"/>
      <c r="D64" s="591"/>
      <c r="E64" s="591"/>
      <c r="F64" s="21" t="s">
        <v>1368</v>
      </c>
    </row>
    <row r="65" spans="1:5" ht="17.25" customHeight="1" thickBot="1">
      <c r="A65" s="298" t="s">
        <v>1286</v>
      </c>
      <c r="B65" s="552" t="s">
        <v>948</v>
      </c>
      <c r="C65" s="591">
        <f>SUM(C61:C64)</f>
        <v>0</v>
      </c>
      <c r="D65" s="591">
        <f>SUM(D61:D64)</f>
        <v>0</v>
      </c>
      <c r="E65" s="591">
        <f>SUM(E61:E64)</f>
        <v>0</v>
      </c>
    </row>
    <row r="66" spans="1:5" ht="25.5" customHeight="1">
      <c r="A66" s="578" t="s">
        <v>1279</v>
      </c>
      <c r="B66" s="579" t="s">
        <v>1287</v>
      </c>
      <c r="C66" s="603">
        <f>SUM(C65+C60+C56+C55+C52+C51)</f>
        <v>100</v>
      </c>
      <c r="D66" s="603">
        <f>SUM(D65+D60+D56+D55+D52+D51)</f>
        <v>58</v>
      </c>
      <c r="E66" s="603">
        <f>SUM(E65+E60+E56+E55+E52+E51)</f>
        <v>90</v>
      </c>
    </row>
    <row r="67" spans="1:5" ht="18.75">
      <c r="A67" s="253" t="s">
        <v>1288</v>
      </c>
      <c r="B67" s="553" t="s">
        <v>952</v>
      </c>
      <c r="C67" s="553"/>
      <c r="D67" s="553"/>
      <c r="E67" s="553"/>
    </row>
    <row r="68" spans="1:5" ht="18.75">
      <c r="A68" s="253" t="s">
        <v>1289</v>
      </c>
      <c r="B68" s="553" t="s">
        <v>954</v>
      </c>
      <c r="C68" s="553"/>
      <c r="D68" s="553"/>
      <c r="E68" s="553"/>
    </row>
    <row r="69" spans="1:5" ht="24" customHeight="1">
      <c r="A69" s="575" t="s">
        <v>1291</v>
      </c>
      <c r="B69" s="579" t="s">
        <v>1290</v>
      </c>
      <c r="C69" s="579">
        <f>SUM(C67:C68)</f>
        <v>0</v>
      </c>
      <c r="D69" s="579">
        <f>SUM(D67:D68)</f>
        <v>0</v>
      </c>
      <c r="E69" s="579">
        <f>SUM(E67:E68)</f>
        <v>0</v>
      </c>
    </row>
    <row r="70" spans="1:7" ht="26.25" customHeight="1" thickBot="1">
      <c r="A70" s="561" t="s">
        <v>1294</v>
      </c>
      <c r="B70" s="552" t="s">
        <v>958</v>
      </c>
      <c r="C70" s="552">
        <v>95</v>
      </c>
      <c r="D70" s="552">
        <v>75</v>
      </c>
      <c r="E70" s="552">
        <v>114</v>
      </c>
      <c r="F70" s="597">
        <f>E43+E47+E51+E55+E56+E60</f>
        <v>420</v>
      </c>
      <c r="G70" s="21">
        <f>F70*27%</f>
        <v>113.4</v>
      </c>
    </row>
    <row r="71" spans="1:5" ht="27" customHeight="1" thickBot="1">
      <c r="A71" s="268" t="s">
        <v>1295</v>
      </c>
      <c r="B71" s="552" t="s">
        <v>960</v>
      </c>
      <c r="C71" s="552"/>
      <c r="D71" s="552"/>
      <c r="E71" s="552"/>
    </row>
    <row r="72" spans="1:5" ht="19.5" thickBot="1">
      <c r="A72" s="210" t="s">
        <v>1296</v>
      </c>
      <c r="B72" s="552" t="s">
        <v>1293</v>
      </c>
      <c r="C72" s="552"/>
      <c r="D72" s="552"/>
      <c r="E72" s="552"/>
    </row>
    <row r="73" spans="1:5" ht="24.75" customHeight="1">
      <c r="A73" s="593" t="s">
        <v>1298</v>
      </c>
      <c r="B73" s="594" t="s">
        <v>1363</v>
      </c>
      <c r="C73" s="594"/>
      <c r="D73" s="552"/>
      <c r="E73" s="552"/>
    </row>
    <row r="74" spans="1:6" ht="24.75" customHeight="1">
      <c r="A74" s="592" t="s">
        <v>1364</v>
      </c>
      <c r="B74" s="563" t="s">
        <v>1365</v>
      </c>
      <c r="C74" s="563"/>
      <c r="D74" s="553"/>
      <c r="E74" s="553"/>
      <c r="F74" s="21" t="s">
        <v>1369</v>
      </c>
    </row>
    <row r="75" spans="1:5" ht="24.75" customHeight="1">
      <c r="A75" s="592" t="s">
        <v>1370</v>
      </c>
      <c r="B75" s="563" t="s">
        <v>1367</v>
      </c>
      <c r="C75" s="563"/>
      <c r="D75" s="553"/>
      <c r="E75" s="553"/>
    </row>
    <row r="76" spans="1:5" ht="18.75">
      <c r="A76" s="98" t="s">
        <v>1297</v>
      </c>
      <c r="B76" s="552" t="s">
        <v>970</v>
      </c>
      <c r="C76" s="552">
        <f>SUM(C74:C75)</f>
        <v>0</v>
      </c>
      <c r="D76" s="552">
        <f>SUM(D74:D75)</f>
        <v>0</v>
      </c>
      <c r="E76" s="552">
        <f>SUM(E74:E75)</f>
        <v>0</v>
      </c>
    </row>
    <row r="77" spans="1:5" ht="24.75" customHeight="1">
      <c r="A77" s="580" t="s">
        <v>1292</v>
      </c>
      <c r="B77" s="579" t="s">
        <v>1334</v>
      </c>
      <c r="C77" s="579">
        <f>C76+C73+C72+C71+C70</f>
        <v>95</v>
      </c>
      <c r="D77" s="579">
        <f>D76+D73+D72+D71+D70</f>
        <v>75</v>
      </c>
      <c r="E77" s="579">
        <f>E76+E73+E72+E71+E70</f>
        <v>114</v>
      </c>
    </row>
    <row r="78" spans="1:10" ht="24.75" customHeight="1">
      <c r="A78" s="587" t="s">
        <v>1299</v>
      </c>
      <c r="B78" s="585" t="s">
        <v>70</v>
      </c>
      <c r="C78" s="579">
        <f>SUM(C77+C69+C66+C47+C43)</f>
        <v>465</v>
      </c>
      <c r="D78" s="579">
        <f>SUM(D77+D69+D66+D47+D43)</f>
        <v>408</v>
      </c>
      <c r="E78" s="579">
        <f>SUM(E77+E69+E66+E47+E43)</f>
        <v>534</v>
      </c>
      <c r="F78" s="560"/>
      <c r="G78" s="560"/>
      <c r="H78" s="560"/>
      <c r="I78" s="560"/>
      <c r="J78" s="560"/>
    </row>
    <row r="79" spans="1:10" ht="24.75" customHeight="1">
      <c r="A79" s="98" t="s">
        <v>1307</v>
      </c>
      <c r="B79" s="553" t="s">
        <v>1302</v>
      </c>
      <c r="C79" s="552"/>
      <c r="D79" s="552"/>
      <c r="E79" s="552"/>
      <c r="F79" s="560"/>
      <c r="G79" s="560"/>
      <c r="H79" s="560"/>
      <c r="I79" s="560"/>
      <c r="J79" s="560"/>
    </row>
    <row r="80" spans="1:10" ht="24.75" customHeight="1">
      <c r="A80" s="98" t="s">
        <v>1306</v>
      </c>
      <c r="B80" s="553" t="s">
        <v>1308</v>
      </c>
      <c r="C80" s="552"/>
      <c r="D80" s="552"/>
      <c r="E80" s="552"/>
      <c r="F80" s="560"/>
      <c r="G80" s="560"/>
      <c r="H80" s="560"/>
      <c r="I80" s="560"/>
      <c r="J80" s="560"/>
    </row>
    <row r="81" spans="1:10" ht="24.75" customHeight="1">
      <c r="A81" s="98"/>
      <c r="B81" s="97" t="s">
        <v>1304</v>
      </c>
      <c r="C81" s="552"/>
      <c r="D81" s="552"/>
      <c r="E81" s="552"/>
      <c r="F81" s="560"/>
      <c r="G81" s="560"/>
      <c r="H81" s="560"/>
      <c r="I81" s="560"/>
      <c r="J81" s="560"/>
    </row>
    <row r="82" spans="1:5" ht="18.75">
      <c r="A82" s="98"/>
      <c r="B82" s="97" t="s">
        <v>1303</v>
      </c>
      <c r="C82" s="377"/>
      <c r="D82" s="34"/>
      <c r="E82" s="34"/>
    </row>
    <row r="83" spans="1:5" ht="18.75">
      <c r="A83" s="98"/>
      <c r="B83" s="567" t="s">
        <v>1305</v>
      </c>
      <c r="C83" s="377"/>
      <c r="D83" s="34"/>
      <c r="E83" s="34"/>
    </row>
    <row r="84" spans="1:5" ht="25.5">
      <c r="A84" s="580" t="s">
        <v>1341</v>
      </c>
      <c r="B84" s="579" t="s">
        <v>1337</v>
      </c>
      <c r="C84" s="377">
        <f>SUM(C80:C83)</f>
        <v>0</v>
      </c>
      <c r="D84" s="377">
        <f>SUM(D80:D83)</f>
        <v>0</v>
      </c>
      <c r="E84" s="377">
        <f>SUM(E80:E83)</f>
        <v>0</v>
      </c>
    </row>
    <row r="85" spans="1:5" s="564" customFormat="1" ht="18.75">
      <c r="A85" s="587" t="s">
        <v>1336</v>
      </c>
      <c r="B85" s="587" t="s">
        <v>1340</v>
      </c>
      <c r="C85" s="574">
        <f>SUM(C79+C84)</f>
        <v>0</v>
      </c>
      <c r="D85" s="574">
        <f>SUM(D79+D84)</f>
        <v>0</v>
      </c>
      <c r="E85" s="574">
        <f>SUM(E79+E84)</f>
        <v>0</v>
      </c>
    </row>
    <row r="86" spans="1:5" ht="18.75">
      <c r="A86" s="97" t="s">
        <v>1309</v>
      </c>
      <c r="B86" s="553" t="s">
        <v>1113</v>
      </c>
      <c r="C86" s="553"/>
      <c r="D86" s="553"/>
      <c r="E86" s="553"/>
    </row>
    <row r="87" spans="1:5" s="382" customFormat="1" ht="15">
      <c r="A87" s="97" t="s">
        <v>1310</v>
      </c>
      <c r="B87" s="553" t="s">
        <v>1371</v>
      </c>
      <c r="C87" s="553"/>
      <c r="D87" s="553"/>
      <c r="E87" s="553"/>
    </row>
    <row r="88" spans="1:5" ht="18.75">
      <c r="A88" s="172" t="s">
        <v>1311</v>
      </c>
      <c r="B88" s="553" t="s">
        <v>1117</v>
      </c>
      <c r="C88" s="553"/>
      <c r="D88" s="553"/>
      <c r="E88" s="553"/>
    </row>
    <row r="89" spans="1:5" ht="24" customHeight="1">
      <c r="A89" s="172" t="s">
        <v>1312</v>
      </c>
      <c r="B89" s="553" t="s">
        <v>1118</v>
      </c>
      <c r="C89" s="553"/>
      <c r="D89" s="553"/>
      <c r="E89" s="553"/>
    </row>
    <row r="90" spans="1:5" ht="26.25" customHeight="1">
      <c r="A90" s="172" t="s">
        <v>1313</v>
      </c>
      <c r="B90" s="553" t="s">
        <v>1120</v>
      </c>
      <c r="C90" s="553"/>
      <c r="D90" s="553"/>
      <c r="E90" s="553"/>
    </row>
    <row r="91" spans="1:5" ht="25.5" customHeight="1">
      <c r="A91" s="172" t="s">
        <v>1314</v>
      </c>
      <c r="B91" s="553" t="s">
        <v>1126</v>
      </c>
      <c r="C91" s="553"/>
      <c r="D91" s="553"/>
      <c r="E91" s="553"/>
    </row>
    <row r="92" spans="1:5" ht="18.75">
      <c r="A92" s="584" t="s">
        <v>1315</v>
      </c>
      <c r="B92" s="585" t="s">
        <v>1339</v>
      </c>
      <c r="C92" s="552">
        <f>SUM(C86:C91)</f>
        <v>0</v>
      </c>
      <c r="D92" s="552">
        <f>SUM(D86:D91)</f>
        <v>0</v>
      </c>
      <c r="E92" s="552">
        <f>SUM(E86:E91)</f>
        <v>0</v>
      </c>
    </row>
    <row r="93" spans="1:5" ht="18.75">
      <c r="A93" s="172" t="s">
        <v>1316</v>
      </c>
      <c r="B93" s="553" t="s">
        <v>1130</v>
      </c>
      <c r="C93" s="553"/>
      <c r="D93" s="553"/>
      <c r="E93" s="553"/>
    </row>
    <row r="94" spans="1:5" ht="18.75">
      <c r="A94" s="172" t="s">
        <v>1317</v>
      </c>
      <c r="B94" s="553" t="s">
        <v>1132</v>
      </c>
      <c r="C94" s="553"/>
      <c r="D94" s="553"/>
      <c r="E94" s="553"/>
    </row>
    <row r="95" spans="1:5" ht="18.75">
      <c r="A95" s="172" t="s">
        <v>1318</v>
      </c>
      <c r="B95" s="553" t="s">
        <v>1134</v>
      </c>
      <c r="C95" s="553"/>
      <c r="D95" s="553"/>
      <c r="E95" s="553"/>
    </row>
    <row r="96" spans="1:5" ht="24" customHeight="1">
      <c r="A96" s="172" t="s">
        <v>1319</v>
      </c>
      <c r="B96" s="553" t="s">
        <v>1136</v>
      </c>
      <c r="C96" s="553"/>
      <c r="D96" s="553"/>
      <c r="E96" s="553"/>
    </row>
    <row r="97" spans="1:5" ht="18.75">
      <c r="A97" s="584" t="s">
        <v>1320</v>
      </c>
      <c r="B97" s="585" t="s">
        <v>1338</v>
      </c>
      <c r="C97" s="552">
        <f>SUM(C93:C96)</f>
        <v>0</v>
      </c>
      <c r="D97" s="552">
        <f>SUM(D93:D96)</f>
        <v>0</v>
      </c>
      <c r="E97" s="552">
        <f>SUM(E93:E96)</f>
        <v>0</v>
      </c>
    </row>
    <row r="98" spans="1:5" ht="25.5" customHeight="1">
      <c r="A98" s="172" t="s">
        <v>1323</v>
      </c>
      <c r="B98" s="555" t="s">
        <v>1325</v>
      </c>
      <c r="C98" s="555"/>
      <c r="D98" s="555"/>
      <c r="E98" s="555"/>
    </row>
    <row r="99" spans="1:5" ht="27" customHeight="1">
      <c r="A99" s="457" t="s">
        <v>1322</v>
      </c>
      <c r="B99" s="553" t="s">
        <v>1321</v>
      </c>
      <c r="C99" s="553"/>
      <c r="D99" s="553"/>
      <c r="E99" s="553"/>
    </row>
    <row r="100" spans="1:5" ht="18.75">
      <c r="A100" s="584" t="s">
        <v>1326</v>
      </c>
      <c r="B100" s="586" t="s">
        <v>1324</v>
      </c>
      <c r="C100" s="295">
        <f>SUM(C98:C99)</f>
        <v>0</v>
      </c>
      <c r="D100" s="295">
        <f>SUM(D98:D99)</f>
        <v>0</v>
      </c>
      <c r="E100" s="295">
        <f>SUM(E98:E99)</f>
        <v>0</v>
      </c>
    </row>
    <row r="101" spans="1:5" ht="18.75">
      <c r="A101" s="34"/>
      <c r="B101" s="36" t="s">
        <v>118</v>
      </c>
      <c r="C101" s="581">
        <f>SUM(C100+C97+C92+C85+C78+C29+C23)</f>
        <v>465</v>
      </c>
      <c r="D101" s="581">
        <f>SUM(D100+D97+D92+D85+D78+D29+D23)</f>
        <v>408</v>
      </c>
      <c r="E101" s="581">
        <f>SUM(E100+E97+E92+E85+E78+E29+E23)</f>
        <v>534</v>
      </c>
    </row>
  </sheetData>
  <sheetProtection/>
  <mergeCells count="1">
    <mergeCell ref="A2:E2"/>
  </mergeCell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00B050"/>
  </sheetPr>
  <dimension ref="A2:H22"/>
  <sheetViews>
    <sheetView view="pageBreakPreview" zoomScale="60" zoomScalePageLayoutView="0" workbookViewId="0" topLeftCell="A1">
      <selection activeCell="E22" sqref="E22:F22"/>
    </sheetView>
  </sheetViews>
  <sheetFormatPr defaultColWidth="8.66015625" defaultRowHeight="18"/>
  <cols>
    <col min="1" max="1" width="9" style="21" bestFit="1" customWidth="1"/>
    <col min="2" max="2" width="41.58203125" style="21" customWidth="1"/>
    <col min="3" max="3" width="7.75" style="21" customWidth="1"/>
    <col min="4" max="4" width="6.41015625" style="21" customWidth="1"/>
    <col min="5" max="5" width="8.33203125" style="21" customWidth="1"/>
    <col min="6" max="7" width="8.91015625" style="21" customWidth="1"/>
    <col min="8" max="8" width="18.75" style="21" customWidth="1"/>
    <col min="9" max="16384" width="8.91015625" style="21" customWidth="1"/>
  </cols>
  <sheetData>
    <row r="2" spans="1:4" ht="18.75">
      <c r="A2" s="3">
        <v>940000</v>
      </c>
      <c r="B2" s="36" t="s">
        <v>189</v>
      </c>
      <c r="C2" s="120"/>
      <c r="D2" s="81"/>
    </row>
    <row r="3" spans="1:4" ht="18.75">
      <c r="A3" s="23"/>
      <c r="B3" s="34" t="s">
        <v>267</v>
      </c>
      <c r="C3" s="34"/>
      <c r="D3" s="34"/>
    </row>
    <row r="4" spans="2:7" ht="18.75">
      <c r="B4" s="34"/>
      <c r="C4" s="34" t="s">
        <v>262</v>
      </c>
      <c r="D4" s="41" t="s">
        <v>281</v>
      </c>
      <c r="E4" s="326" t="s">
        <v>614</v>
      </c>
      <c r="F4" s="458" t="s">
        <v>626</v>
      </c>
      <c r="G4" s="458" t="s">
        <v>616</v>
      </c>
    </row>
    <row r="5" spans="1:7" ht="18.75">
      <c r="A5" s="125">
        <v>52</v>
      </c>
      <c r="B5" s="41" t="s">
        <v>564</v>
      </c>
      <c r="C5" s="36">
        <v>180</v>
      </c>
      <c r="D5" s="36">
        <v>180</v>
      </c>
      <c r="E5" s="34">
        <v>250</v>
      </c>
      <c r="F5" s="34"/>
      <c r="G5" s="34">
        <v>300</v>
      </c>
    </row>
    <row r="6" spans="1:7" ht="18.75">
      <c r="A6" s="125"/>
      <c r="B6" s="34"/>
      <c r="C6" s="36"/>
      <c r="D6" s="36"/>
      <c r="E6" s="34"/>
      <c r="F6" s="34"/>
      <c r="G6" s="34"/>
    </row>
    <row r="7" spans="1:7" ht="18.75">
      <c r="A7" s="352">
        <v>51</v>
      </c>
      <c r="B7" s="40" t="s">
        <v>76</v>
      </c>
      <c r="C7" s="43">
        <f>SUM(C5:C6)</f>
        <v>180</v>
      </c>
      <c r="D7" s="43">
        <f>SUM(D5:D6)</f>
        <v>180</v>
      </c>
      <c r="E7" s="43">
        <f>SUM(E5:E6)</f>
        <v>250</v>
      </c>
      <c r="F7" s="43">
        <f>SUM(F5:F6)</f>
        <v>0</v>
      </c>
      <c r="G7" s="43">
        <f>SUM(G5:G6)</f>
        <v>300</v>
      </c>
    </row>
    <row r="8" spans="1:7" ht="18.75">
      <c r="A8" s="34"/>
      <c r="B8" s="25"/>
      <c r="C8" s="36"/>
      <c r="D8" s="36"/>
      <c r="E8" s="34"/>
      <c r="F8" s="34"/>
      <c r="G8" s="34"/>
    </row>
    <row r="9" spans="1:8" ht="18.75">
      <c r="A9" s="34">
        <v>531125</v>
      </c>
      <c r="B9" s="34" t="s">
        <v>306</v>
      </c>
      <c r="C9" s="36">
        <v>49</v>
      </c>
      <c r="D9" s="50">
        <f>D5*27%</f>
        <v>48.6</v>
      </c>
      <c r="E9" s="118">
        <f>E5*27%</f>
        <v>67.5</v>
      </c>
      <c r="F9" s="34"/>
      <c r="G9" s="34">
        <f>H9*27%</f>
        <v>81</v>
      </c>
      <c r="H9" s="20">
        <f>G7</f>
        <v>300</v>
      </c>
    </row>
    <row r="10" spans="1:7" ht="18.75">
      <c r="A10" s="40">
        <v>53</v>
      </c>
      <c r="B10" s="40" t="s">
        <v>5</v>
      </c>
      <c r="C10" s="43">
        <f>SUM(C9:C9)</f>
        <v>49</v>
      </c>
      <c r="D10" s="43">
        <f>SUM(D9:D9)</f>
        <v>48.6</v>
      </c>
      <c r="E10" s="43">
        <f>SUM(E9:E9)</f>
        <v>67.5</v>
      </c>
      <c r="F10" s="43">
        <f>SUM(F9:F9)</f>
        <v>0</v>
      </c>
      <c r="G10" s="43">
        <f>SUM(G9:G9)</f>
        <v>81</v>
      </c>
    </row>
    <row r="11" spans="1:7" ht="18.75">
      <c r="A11" s="34"/>
      <c r="B11" s="34"/>
      <c r="C11" s="36"/>
      <c r="D11" s="36"/>
      <c r="E11" s="34"/>
      <c r="F11" s="34"/>
      <c r="G11" s="34"/>
    </row>
    <row r="12" spans="1:7" ht="18.75">
      <c r="A12" s="34">
        <v>5431</v>
      </c>
      <c r="B12" s="34" t="s">
        <v>136</v>
      </c>
      <c r="C12" s="36">
        <v>50</v>
      </c>
      <c r="D12" s="36">
        <v>50</v>
      </c>
      <c r="E12" s="34">
        <v>50</v>
      </c>
      <c r="F12" s="34">
        <v>8</v>
      </c>
      <c r="G12" s="34">
        <v>10</v>
      </c>
    </row>
    <row r="13" spans="1:8" ht="33.75" customHeight="1">
      <c r="A13" s="34">
        <v>54711</v>
      </c>
      <c r="B13" s="34" t="s">
        <v>132</v>
      </c>
      <c r="C13" s="36">
        <v>100</v>
      </c>
      <c r="D13" s="36">
        <v>68</v>
      </c>
      <c r="E13" s="34">
        <v>50</v>
      </c>
      <c r="F13" s="34">
        <v>91</v>
      </c>
      <c r="G13" s="94">
        <v>300</v>
      </c>
      <c r="H13" s="520" t="s">
        <v>818</v>
      </c>
    </row>
    <row r="14" spans="1:7" ht="18.75">
      <c r="A14" s="40">
        <v>54</v>
      </c>
      <c r="B14" s="40" t="s">
        <v>7</v>
      </c>
      <c r="C14" s="43">
        <f>SUM(C12:C13)</f>
        <v>150</v>
      </c>
      <c r="D14" s="43">
        <f>SUM(D12:D13)</f>
        <v>118</v>
      </c>
      <c r="E14" s="43">
        <f>SUM(E12:E13)</f>
        <v>100</v>
      </c>
      <c r="F14" s="43">
        <f>SUM(F12:F13)</f>
        <v>99</v>
      </c>
      <c r="G14" s="43">
        <f>SUM(G12:G13)</f>
        <v>310</v>
      </c>
    </row>
    <row r="15" spans="1:7" ht="18.75">
      <c r="A15" s="40"/>
      <c r="B15" s="40"/>
      <c r="C15" s="43"/>
      <c r="D15" s="43"/>
      <c r="E15" s="34"/>
      <c r="F15" s="34"/>
      <c r="G15" s="34"/>
    </row>
    <row r="16" spans="1:8" ht="30" customHeight="1">
      <c r="A16" s="34">
        <v>56111</v>
      </c>
      <c r="B16" s="34" t="s">
        <v>103</v>
      </c>
      <c r="C16" s="36">
        <v>30</v>
      </c>
      <c r="D16" s="50">
        <f>D14*27%</f>
        <v>31.860000000000003</v>
      </c>
      <c r="E16" s="34">
        <f>E14*27%</f>
        <v>27</v>
      </c>
      <c r="F16" s="34">
        <v>25</v>
      </c>
      <c r="G16" s="118">
        <f>H16*27%</f>
        <v>83.7</v>
      </c>
      <c r="H16" s="20">
        <f>G14</f>
        <v>310</v>
      </c>
    </row>
    <row r="17" spans="1:7" ht="18.75">
      <c r="A17" s="40">
        <v>56</v>
      </c>
      <c r="B17" s="40" t="s">
        <v>56</v>
      </c>
      <c r="C17" s="43">
        <f>SUM(C16:C16)</f>
        <v>30</v>
      </c>
      <c r="D17" s="43">
        <f>SUM(D16:D16)</f>
        <v>31.860000000000003</v>
      </c>
      <c r="E17" s="43">
        <f>SUM(E16:E16)</f>
        <v>27</v>
      </c>
      <c r="F17" s="43">
        <f>SUM(F16:F16)</f>
        <v>25</v>
      </c>
      <c r="G17" s="43">
        <f>SUM(G16:G16)</f>
        <v>83.7</v>
      </c>
    </row>
    <row r="18" spans="1:7" ht="18.75">
      <c r="A18" s="40"/>
      <c r="B18" s="40" t="s">
        <v>29</v>
      </c>
      <c r="C18" s="43">
        <f>SUM(C17,C14)</f>
        <v>180</v>
      </c>
      <c r="D18" s="43">
        <f>SUM(D17,D14)</f>
        <v>149.86</v>
      </c>
      <c r="E18" s="43">
        <f>SUM(E17,E14)</f>
        <v>127</v>
      </c>
      <c r="F18" s="43">
        <f>SUM(F17,F14)</f>
        <v>124</v>
      </c>
      <c r="G18" s="43">
        <f>SUM(G17,G14)</f>
        <v>393.7</v>
      </c>
    </row>
    <row r="19" spans="1:7" ht="18.75">
      <c r="A19" s="34"/>
      <c r="B19" s="34"/>
      <c r="C19" s="34"/>
      <c r="D19" s="34"/>
      <c r="E19" s="34"/>
      <c r="F19" s="34"/>
      <c r="G19" s="34"/>
    </row>
    <row r="20" spans="1:7" ht="19.5" thickBot="1">
      <c r="A20" s="1"/>
      <c r="B20" s="1" t="s">
        <v>0</v>
      </c>
      <c r="C20" s="39">
        <f>SUM(,C18,C10,C7)</f>
        <v>409</v>
      </c>
      <c r="D20" s="39">
        <f>SUM(,D18,D10,D7)</f>
        <v>378.46000000000004</v>
      </c>
      <c r="E20" s="43">
        <f>SUM(,E18,E10,E7)</f>
        <v>444.5</v>
      </c>
      <c r="F20" s="43">
        <f>SUM(,F18,F10,F7)</f>
        <v>124</v>
      </c>
      <c r="G20" s="43">
        <f>SUM(,G18,G10,G7)</f>
        <v>774.7</v>
      </c>
    </row>
    <row r="21" ht="19.5" thickTop="1"/>
    <row r="22" ht="18.75">
      <c r="B22" s="212" t="s">
        <v>787</v>
      </c>
    </row>
  </sheetData>
  <sheetProtection/>
  <printOptions/>
  <pageMargins left="0.7" right="0.7" top="0.75" bottom="0.75" header="0.3" footer="0.3"/>
  <pageSetup horizontalDpi="300" verticalDpi="300" orientation="portrait" paperSize="9" scale="63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C00000"/>
  </sheetPr>
  <dimension ref="A2:J101"/>
  <sheetViews>
    <sheetView view="pageBreakPreview" zoomScale="60" zoomScalePageLayoutView="0" workbookViewId="0" topLeftCell="A82">
      <selection activeCell="G77" sqref="G77"/>
    </sheetView>
  </sheetViews>
  <sheetFormatPr defaultColWidth="8.41015625" defaultRowHeight="18"/>
  <cols>
    <col min="1" max="1" width="8.41015625" style="21" customWidth="1"/>
    <col min="2" max="2" width="26.66015625" style="21" customWidth="1"/>
    <col min="3" max="3" width="6.33203125" style="382" customWidth="1"/>
    <col min="4" max="4" width="5.91015625" style="21" customWidth="1"/>
    <col min="5" max="5" width="5.58203125" style="21" customWidth="1"/>
    <col min="6" max="6" width="6.25" style="21" customWidth="1"/>
    <col min="7" max="7" width="7.08203125" style="21" customWidth="1"/>
    <col min="8" max="8" width="10.58203125" style="21" customWidth="1"/>
    <col min="9" max="249" width="7.08203125" style="21" customWidth="1"/>
    <col min="250" max="16384" width="8.41015625" style="21" customWidth="1"/>
  </cols>
  <sheetData>
    <row r="2" spans="1:5" ht="18.75">
      <c r="A2" s="620" t="s">
        <v>1331</v>
      </c>
      <c r="B2" s="620"/>
      <c r="C2" s="620"/>
      <c r="D2" s="620"/>
      <c r="E2" s="620"/>
    </row>
    <row r="3" ht="19.5" thickBot="1">
      <c r="C3" s="243"/>
    </row>
    <row r="4" spans="1:5" ht="19.5" thickBot="1">
      <c r="A4" s="595">
        <v>940000</v>
      </c>
      <c r="B4" s="245" t="s">
        <v>1414</v>
      </c>
      <c r="C4" s="421" t="s">
        <v>616</v>
      </c>
      <c r="D4" s="41" t="s">
        <v>626</v>
      </c>
      <c r="E4" s="34">
        <v>2016</v>
      </c>
    </row>
    <row r="5" spans="1:5" ht="19.5" thickBot="1">
      <c r="A5" s="596" t="s">
        <v>1415</v>
      </c>
      <c r="B5" s="210"/>
      <c r="C5" s="295"/>
      <c r="D5" s="34"/>
      <c r="E5" s="34"/>
    </row>
    <row r="6" spans="1:5" ht="18.75">
      <c r="A6" s="249" t="s">
        <v>819</v>
      </c>
      <c r="B6" s="250" t="s">
        <v>1238</v>
      </c>
      <c r="C6" s="376"/>
      <c r="D6" s="565"/>
      <c r="E6" s="565"/>
    </row>
    <row r="7" spans="1:5" ht="18.75">
      <c r="A7" s="253" t="s">
        <v>822</v>
      </c>
      <c r="B7" s="254" t="s">
        <v>821</v>
      </c>
      <c r="C7" s="377"/>
      <c r="D7" s="34"/>
      <c r="E7" s="34"/>
    </row>
    <row r="8" spans="1:5" ht="18.75">
      <c r="A8" s="253" t="s">
        <v>823</v>
      </c>
      <c r="B8" s="254" t="s">
        <v>820</v>
      </c>
      <c r="C8" s="377"/>
      <c r="D8" s="34"/>
      <c r="E8" s="381"/>
    </row>
    <row r="9" spans="1:5" ht="18.75">
      <c r="A9" s="253" t="s">
        <v>825</v>
      </c>
      <c r="B9" s="254" t="s">
        <v>824</v>
      </c>
      <c r="C9" s="377"/>
      <c r="D9" s="34"/>
      <c r="E9" s="34"/>
    </row>
    <row r="10" spans="1:5" ht="18.75">
      <c r="A10" s="253" t="s">
        <v>826</v>
      </c>
      <c r="B10" s="260" t="s">
        <v>1239</v>
      </c>
      <c r="C10" s="377"/>
      <c r="D10" s="34"/>
      <c r="E10" s="34"/>
    </row>
    <row r="11" spans="1:5" ht="18.75">
      <c r="A11" s="253" t="s">
        <v>1233</v>
      </c>
      <c r="B11" s="260" t="s">
        <v>1240</v>
      </c>
      <c r="C11" s="378"/>
      <c r="D11" s="34"/>
      <c r="E11" s="34"/>
    </row>
    <row r="12" spans="1:5" ht="18.75">
      <c r="A12" s="253" t="s">
        <v>1241</v>
      </c>
      <c r="B12" s="262" t="s">
        <v>1234</v>
      </c>
      <c r="C12" s="377"/>
      <c r="D12" s="34"/>
      <c r="E12" s="34"/>
    </row>
    <row r="13" spans="1:5" ht="18.75">
      <c r="A13" s="253" t="s">
        <v>1242</v>
      </c>
      <c r="B13" s="262" t="s">
        <v>1235</v>
      </c>
      <c r="C13" s="377"/>
      <c r="D13" s="34"/>
      <c r="E13" s="34"/>
    </row>
    <row r="14" spans="1:5" ht="18.75">
      <c r="A14" s="253" t="s">
        <v>1243</v>
      </c>
      <c r="B14" s="254" t="s">
        <v>528</v>
      </c>
      <c r="C14" s="377"/>
      <c r="D14" s="34"/>
      <c r="E14" s="34"/>
    </row>
    <row r="15" spans="1:5" ht="18.75">
      <c r="A15" s="253" t="s">
        <v>1244</v>
      </c>
      <c r="B15" s="254" t="s">
        <v>1236</v>
      </c>
      <c r="C15" s="377"/>
      <c r="D15" s="34"/>
      <c r="E15" s="34"/>
    </row>
    <row r="16" spans="1:5" ht="19.5" thickBot="1">
      <c r="A16" s="264" t="s">
        <v>1245</v>
      </c>
      <c r="B16" s="265" t="s">
        <v>791</v>
      </c>
      <c r="C16" s="377"/>
      <c r="D16" s="34"/>
      <c r="E16" s="34"/>
    </row>
    <row r="17" spans="1:5" ht="19.5" thickBot="1">
      <c r="A17" s="568" t="s">
        <v>1327</v>
      </c>
      <c r="B17" s="569" t="s">
        <v>1249</v>
      </c>
      <c r="C17" s="379">
        <f>SUM(C6:C16)</f>
        <v>0</v>
      </c>
      <c r="D17" s="379">
        <f>SUM(D6:D16)</f>
        <v>0</v>
      </c>
      <c r="E17" s="379">
        <f>SUM(E6:E16)</f>
        <v>0</v>
      </c>
    </row>
    <row r="18" spans="1:5" ht="19.5" thickBot="1">
      <c r="A18" s="557" t="s">
        <v>1329</v>
      </c>
      <c r="B18" s="558" t="s">
        <v>1248</v>
      </c>
      <c r="C18" s="377"/>
      <c r="D18" s="34"/>
      <c r="E18" s="34"/>
    </row>
    <row r="19" spans="1:5" ht="19.5" thickBot="1">
      <c r="A19" s="557" t="s">
        <v>1328</v>
      </c>
      <c r="B19" s="558" t="s">
        <v>1246</v>
      </c>
      <c r="C19" s="377"/>
      <c r="D19" s="34"/>
      <c r="E19" s="34"/>
    </row>
    <row r="20" spans="1:5" ht="19.5" thickBot="1">
      <c r="A20" s="557" t="s">
        <v>1253</v>
      </c>
      <c r="B20" s="558" t="s">
        <v>19</v>
      </c>
      <c r="C20" s="377"/>
      <c r="D20" s="34"/>
      <c r="E20" s="34"/>
    </row>
    <row r="21" spans="1:9" ht="19.5" thickBot="1">
      <c r="A21" s="557" t="s">
        <v>1254</v>
      </c>
      <c r="B21" s="558" t="s">
        <v>889</v>
      </c>
      <c r="C21" s="377">
        <v>300</v>
      </c>
      <c r="D21" s="34">
        <v>490</v>
      </c>
      <c r="E21" s="34">
        <v>400</v>
      </c>
      <c r="G21" s="21" t="s">
        <v>1541</v>
      </c>
      <c r="H21" s="21" t="s">
        <v>1540</v>
      </c>
      <c r="I21" s="21">
        <v>250</v>
      </c>
    </row>
    <row r="22" spans="1:9" ht="19.5" thickBot="1">
      <c r="A22" s="568" t="s">
        <v>1330</v>
      </c>
      <c r="B22" s="569" t="s">
        <v>1247</v>
      </c>
      <c r="C22" s="377">
        <f>SUM(C18:C21)</f>
        <v>300</v>
      </c>
      <c r="D22" s="377">
        <f>SUM(D18:D21)</f>
        <v>490</v>
      </c>
      <c r="E22" s="377">
        <f>SUM(E18:E21)</f>
        <v>400</v>
      </c>
      <c r="G22" s="21" t="s">
        <v>1542</v>
      </c>
      <c r="H22" s="21" t="s">
        <v>1543</v>
      </c>
      <c r="I22" s="21">
        <v>150</v>
      </c>
    </row>
    <row r="23" spans="1:5" ht="27" customHeight="1" thickBot="1">
      <c r="A23" s="268" t="s">
        <v>1250</v>
      </c>
      <c r="B23" s="269" t="s">
        <v>1237</v>
      </c>
      <c r="C23" s="379">
        <f>SUM(C22,C17)</f>
        <v>300</v>
      </c>
      <c r="D23" s="379">
        <f>SUM(D22,D17)</f>
        <v>490</v>
      </c>
      <c r="E23" s="379">
        <f>SUM(E22,E17)</f>
        <v>400</v>
      </c>
    </row>
    <row r="24" spans="1:5" ht="19.5" thickBot="1">
      <c r="A24" s="270"/>
      <c r="B24" s="271"/>
      <c r="C24" s="377"/>
      <c r="D24" s="34"/>
      <c r="E24" s="34"/>
    </row>
    <row r="25" spans="1:7" ht="18.75">
      <c r="A25" s="272" t="s">
        <v>1255</v>
      </c>
      <c r="B25" s="97" t="s">
        <v>590</v>
      </c>
      <c r="C25" s="275">
        <v>81</v>
      </c>
      <c r="D25" s="44">
        <v>119</v>
      </c>
      <c r="E25" s="34">
        <v>108</v>
      </c>
      <c r="F25" s="20">
        <f>E23</f>
        <v>400</v>
      </c>
      <c r="G25" s="21">
        <f>F25*27%</f>
        <v>108</v>
      </c>
    </row>
    <row r="26" spans="1:5" ht="18.75">
      <c r="A26" s="559" t="s">
        <v>1256</v>
      </c>
      <c r="B26" s="97" t="s">
        <v>1251</v>
      </c>
      <c r="C26" s="275"/>
      <c r="D26" s="44"/>
      <c r="E26" s="34"/>
    </row>
    <row r="27" spans="1:5" ht="18.75">
      <c r="A27" s="276" t="s">
        <v>1252</v>
      </c>
      <c r="B27" s="255" t="s">
        <v>4</v>
      </c>
      <c r="C27" s="378"/>
      <c r="D27" s="34"/>
      <c r="E27" s="34"/>
    </row>
    <row r="28" spans="1:5" ht="19.5" thickBot="1">
      <c r="A28" s="462" t="s">
        <v>1257</v>
      </c>
      <c r="B28" s="255" t="s">
        <v>635</v>
      </c>
      <c r="C28" s="378"/>
      <c r="D28" s="34"/>
      <c r="E28" s="34"/>
    </row>
    <row r="29" spans="1:5" ht="19.5" thickBot="1">
      <c r="A29" s="582" t="s">
        <v>1258</v>
      </c>
      <c r="B29" s="583" t="s">
        <v>69</v>
      </c>
      <c r="C29" s="378">
        <f>SUM(C25:C28)</f>
        <v>81</v>
      </c>
      <c r="D29" s="378">
        <f>SUM(D25:D28)</f>
        <v>119</v>
      </c>
      <c r="E29" s="378">
        <f>SUM(E25:E28)</f>
        <v>108</v>
      </c>
    </row>
    <row r="30" spans="1:5" ht="19.5" thickBot="1">
      <c r="A30" s="282"/>
      <c r="B30" s="283"/>
      <c r="C30" s="377"/>
      <c r="D30" s="34"/>
      <c r="E30" s="34"/>
    </row>
    <row r="31" spans="1:5" ht="18.75">
      <c r="A31" s="249" t="s">
        <v>1259</v>
      </c>
      <c r="B31" s="291" t="s">
        <v>533</v>
      </c>
      <c r="C31" s="377"/>
      <c r="D31" s="34"/>
      <c r="E31" s="34"/>
    </row>
    <row r="32" spans="1:5" ht="18.75">
      <c r="A32" s="253" t="s">
        <v>1260</v>
      </c>
      <c r="B32" s="254" t="s">
        <v>534</v>
      </c>
      <c r="C32" s="377"/>
      <c r="D32" s="41"/>
      <c r="E32" s="34"/>
    </row>
    <row r="33" spans="1:5" ht="18.75">
      <c r="A33" s="253" t="s">
        <v>1262</v>
      </c>
      <c r="B33" s="254" t="s">
        <v>1261</v>
      </c>
      <c r="C33" s="377"/>
      <c r="D33" s="41"/>
      <c r="E33" s="34"/>
    </row>
    <row r="34" spans="1:5" ht="18.75">
      <c r="A34" s="253" t="s">
        <v>1263</v>
      </c>
      <c r="B34" s="254" t="s">
        <v>124</v>
      </c>
      <c r="C34" s="377"/>
      <c r="D34" s="41"/>
      <c r="E34" s="34"/>
    </row>
    <row r="35" spans="1:9" ht="18.75">
      <c r="A35" s="253" t="s">
        <v>1264</v>
      </c>
      <c r="B35" s="254" t="s">
        <v>1265</v>
      </c>
      <c r="C35" s="570">
        <v>310</v>
      </c>
      <c r="D35" s="41">
        <v>125</v>
      </c>
      <c r="E35" s="34">
        <v>230</v>
      </c>
      <c r="G35" s="21" t="s">
        <v>1544</v>
      </c>
      <c r="I35" s="21">
        <v>100</v>
      </c>
    </row>
    <row r="36" spans="1:9" ht="18.75">
      <c r="A36" s="253" t="s">
        <v>1335</v>
      </c>
      <c r="B36" s="562" t="s">
        <v>548</v>
      </c>
      <c r="C36" s="570">
        <f>SUM(C31:C35)</f>
        <v>310</v>
      </c>
      <c r="D36" s="570">
        <f>SUM(D31:D35)</f>
        <v>125</v>
      </c>
      <c r="E36" s="570">
        <f>SUM(E31:E35)</f>
        <v>230</v>
      </c>
      <c r="G36" s="21" t="s">
        <v>1545</v>
      </c>
      <c r="I36" s="21">
        <v>20</v>
      </c>
    </row>
    <row r="37" spans="1:5" ht="18.75">
      <c r="A37" s="253" t="s">
        <v>1342</v>
      </c>
      <c r="B37" s="254" t="s">
        <v>1343</v>
      </c>
      <c r="C37" s="570"/>
      <c r="D37" s="570"/>
      <c r="E37" s="570"/>
    </row>
    <row r="38" spans="1:9" ht="18.75">
      <c r="A38" s="253" t="s">
        <v>1344</v>
      </c>
      <c r="B38" s="254" t="s">
        <v>1267</v>
      </c>
      <c r="C38" s="570"/>
      <c r="D38" s="34"/>
      <c r="E38" s="34"/>
      <c r="G38" s="21" t="s">
        <v>1546</v>
      </c>
      <c r="I38" s="21">
        <v>68</v>
      </c>
    </row>
    <row r="39" spans="1:9" ht="18.75">
      <c r="A39" s="253" t="s">
        <v>1345</v>
      </c>
      <c r="B39" s="254" t="s">
        <v>88</v>
      </c>
      <c r="C39" s="570"/>
      <c r="D39" s="34"/>
      <c r="E39" s="34"/>
      <c r="G39" s="21" t="s">
        <v>1547</v>
      </c>
      <c r="I39" s="21">
        <v>122</v>
      </c>
    </row>
    <row r="40" spans="1:9" ht="18.75">
      <c r="A40" s="253" t="s">
        <v>1346</v>
      </c>
      <c r="B40" s="254" t="s">
        <v>1268</v>
      </c>
      <c r="C40" s="377"/>
      <c r="D40" s="34"/>
      <c r="E40" s="34"/>
      <c r="G40" s="21" t="s">
        <v>1548</v>
      </c>
      <c r="I40" s="21">
        <v>24</v>
      </c>
    </row>
    <row r="41" spans="1:9" ht="19.5" thickBot="1">
      <c r="A41" s="288" t="s">
        <v>1347</v>
      </c>
      <c r="B41" s="289" t="s">
        <v>1269</v>
      </c>
      <c r="C41" s="377"/>
      <c r="D41" s="34"/>
      <c r="E41" s="34"/>
      <c r="I41" s="21">
        <f>SUM(I35:I39)</f>
        <v>310</v>
      </c>
    </row>
    <row r="42" spans="1:5" ht="17.25" customHeight="1" thickBot="1">
      <c r="A42" s="268" t="s">
        <v>1266</v>
      </c>
      <c r="B42" s="571" t="s">
        <v>1270</v>
      </c>
      <c r="C42" s="377">
        <f>SUM(C37:C41)</f>
        <v>0</v>
      </c>
      <c r="D42" s="377">
        <f>SUM(D38:D41)</f>
        <v>0</v>
      </c>
      <c r="E42" s="377">
        <f>SUM(E38:E41)</f>
        <v>0</v>
      </c>
    </row>
    <row r="43" spans="1:5" ht="22.5" customHeight="1" thickBot="1">
      <c r="A43" s="572" t="s">
        <v>1300</v>
      </c>
      <c r="B43" s="573" t="s">
        <v>595</v>
      </c>
      <c r="C43" s="574">
        <f>SUM(C42,C36)</f>
        <v>310</v>
      </c>
      <c r="D43" s="574">
        <f>SUM(D42,D36)</f>
        <v>125</v>
      </c>
      <c r="E43" s="574">
        <f>SUM(E42,E36)</f>
        <v>230</v>
      </c>
    </row>
    <row r="44" spans="1:5" ht="18.75">
      <c r="A44" s="249" t="s">
        <v>1271</v>
      </c>
      <c r="B44" s="291" t="s">
        <v>1348</v>
      </c>
      <c r="C44" s="377"/>
      <c r="D44" s="34"/>
      <c r="E44" s="34"/>
    </row>
    <row r="45" spans="1:5" ht="18.75">
      <c r="A45" s="494" t="s">
        <v>1350</v>
      </c>
      <c r="B45" s="590" t="s">
        <v>1351</v>
      </c>
      <c r="C45" s="377"/>
      <c r="D45" s="34"/>
      <c r="E45" s="34"/>
    </row>
    <row r="46" spans="1:5" ht="18.75">
      <c r="A46" s="253" t="s">
        <v>1272</v>
      </c>
      <c r="B46" s="254" t="s">
        <v>1349</v>
      </c>
      <c r="C46" s="295"/>
      <c r="D46" s="566"/>
      <c r="E46" s="34"/>
    </row>
    <row r="47" spans="1:5" ht="18.75">
      <c r="A47" s="575" t="s">
        <v>1301</v>
      </c>
      <c r="B47" s="576" t="s">
        <v>1366</v>
      </c>
      <c r="C47" s="577">
        <f>SUM(C44:C46)</f>
        <v>0</v>
      </c>
      <c r="D47" s="577">
        <f>SUM(D44:D46)</f>
        <v>0</v>
      </c>
      <c r="E47" s="577">
        <f>SUM(E44:E46)</f>
        <v>0</v>
      </c>
    </row>
    <row r="48" spans="1:5" ht="18.75">
      <c r="A48" s="253" t="s">
        <v>1275</v>
      </c>
      <c r="B48" s="254" t="s">
        <v>544</v>
      </c>
      <c r="C48" s="295"/>
      <c r="D48" s="566"/>
      <c r="E48" s="34"/>
    </row>
    <row r="49" spans="1:5" ht="18.75">
      <c r="A49" s="253" t="s">
        <v>1274</v>
      </c>
      <c r="B49" s="254" t="s">
        <v>543</v>
      </c>
      <c r="C49" s="295"/>
      <c r="D49" s="34"/>
      <c r="E49" s="34"/>
    </row>
    <row r="50" spans="1:5" ht="18.75">
      <c r="A50" s="253" t="s">
        <v>1276</v>
      </c>
      <c r="B50" s="254" t="s">
        <v>503</v>
      </c>
      <c r="C50" s="295"/>
      <c r="D50" s="34"/>
      <c r="E50" s="34"/>
    </row>
    <row r="51" spans="1:5" ht="18.75">
      <c r="A51" s="575" t="s">
        <v>1273</v>
      </c>
      <c r="B51" s="576" t="s">
        <v>1277</v>
      </c>
      <c r="C51" s="577">
        <f>SUM(C48:C50)</f>
        <v>0</v>
      </c>
      <c r="D51" s="577">
        <f>SUM(D48:D50)</f>
        <v>0</v>
      </c>
      <c r="E51" s="577">
        <f>SUM(E48:E50)</f>
        <v>0</v>
      </c>
    </row>
    <row r="52" spans="1:5" ht="18.75">
      <c r="A52" s="253" t="s">
        <v>1332</v>
      </c>
      <c r="B52" s="254" t="s">
        <v>1278</v>
      </c>
      <c r="C52" s="295"/>
      <c r="D52" s="34"/>
      <c r="E52" s="34"/>
    </row>
    <row r="53" spans="1:5" ht="18.75">
      <c r="A53" s="253" t="s">
        <v>1280</v>
      </c>
      <c r="B53" s="254" t="s">
        <v>26</v>
      </c>
      <c r="C53" s="295"/>
      <c r="D53" s="41"/>
      <c r="E53" s="34"/>
    </row>
    <row r="54" spans="1:5" ht="18.75">
      <c r="A54" s="253" t="s">
        <v>1281</v>
      </c>
      <c r="B54" s="254" t="s">
        <v>1352</v>
      </c>
      <c r="C54" s="377"/>
      <c r="D54" s="34"/>
      <c r="E54" s="34"/>
    </row>
    <row r="55" spans="1:5" ht="18.75">
      <c r="A55" s="575" t="s">
        <v>1283</v>
      </c>
      <c r="B55" s="576" t="s">
        <v>1282</v>
      </c>
      <c r="C55" s="574">
        <f>SUM(C53:C54)</f>
        <v>0</v>
      </c>
      <c r="D55" s="574">
        <f>SUM(D53:D54)</f>
        <v>0</v>
      </c>
      <c r="E55" s="574">
        <f>SUM(E53:E54)</f>
        <v>0</v>
      </c>
    </row>
    <row r="56" spans="1:5" ht="18.75">
      <c r="A56" s="575" t="s">
        <v>1284</v>
      </c>
      <c r="B56" s="588" t="s">
        <v>1333</v>
      </c>
      <c r="C56" s="589"/>
      <c r="D56" s="589"/>
      <c r="E56" s="589"/>
    </row>
    <row r="57" spans="1:5" ht="18.75">
      <c r="A57" s="288"/>
      <c r="B57" s="554" t="s">
        <v>943</v>
      </c>
      <c r="C57" s="554"/>
      <c r="D57" s="554"/>
      <c r="E57" s="554"/>
    </row>
    <row r="58" spans="1:5" ht="18.75">
      <c r="A58" s="288" t="s">
        <v>1353</v>
      </c>
      <c r="B58" s="554" t="s">
        <v>547</v>
      </c>
      <c r="C58" s="554"/>
      <c r="D58" s="554"/>
      <c r="E58" s="554"/>
    </row>
    <row r="59" spans="1:5" ht="18.75">
      <c r="A59" s="288" t="s">
        <v>1354</v>
      </c>
      <c r="B59" s="554" t="s">
        <v>1355</v>
      </c>
      <c r="C59" s="554"/>
      <c r="D59" s="554"/>
      <c r="E59" s="554"/>
    </row>
    <row r="60" spans="1:5" ht="27" customHeight="1">
      <c r="A60" s="561" t="s">
        <v>1285</v>
      </c>
      <c r="B60" s="552" t="s">
        <v>945</v>
      </c>
      <c r="C60" s="591">
        <f>SUM(C58:C59)</f>
        <v>0</v>
      </c>
      <c r="D60" s="591">
        <f>SUM(D58:D59)</f>
        <v>0</v>
      </c>
      <c r="E60" s="591">
        <f>SUM(E58:E59)</f>
        <v>0</v>
      </c>
    </row>
    <row r="61" spans="1:5" ht="23.25" customHeight="1">
      <c r="A61" s="462" t="s">
        <v>1356</v>
      </c>
      <c r="B61" s="553" t="s">
        <v>1362</v>
      </c>
      <c r="C61" s="591"/>
      <c r="D61" s="591"/>
      <c r="E61" s="591"/>
    </row>
    <row r="62" spans="1:5" ht="23.25" customHeight="1">
      <c r="A62" s="462" t="s">
        <v>1357</v>
      </c>
      <c r="B62" s="553" t="s">
        <v>1358</v>
      </c>
      <c r="C62" s="591"/>
      <c r="D62" s="591"/>
      <c r="E62" s="591"/>
    </row>
    <row r="63" spans="1:5" ht="23.25" customHeight="1">
      <c r="A63" s="462" t="s">
        <v>1359</v>
      </c>
      <c r="B63" s="553" t="s">
        <v>9</v>
      </c>
      <c r="C63" s="591"/>
      <c r="D63" s="591"/>
      <c r="E63" s="591"/>
    </row>
    <row r="64" spans="1:8" ht="32.25" customHeight="1" thickBot="1">
      <c r="A64" s="462" t="s">
        <v>1360</v>
      </c>
      <c r="B64" s="553" t="s">
        <v>1361</v>
      </c>
      <c r="C64" s="591"/>
      <c r="D64" s="591"/>
      <c r="E64" s="591"/>
      <c r="F64" s="744" t="s">
        <v>1368</v>
      </c>
      <c r="G64" s="745"/>
      <c r="H64" s="745"/>
    </row>
    <row r="65" spans="1:5" ht="17.25" customHeight="1" thickBot="1">
      <c r="A65" s="298" t="s">
        <v>1286</v>
      </c>
      <c r="B65" s="552" t="s">
        <v>948</v>
      </c>
      <c r="C65" s="591">
        <f>SUM(C61:C64)</f>
        <v>0</v>
      </c>
      <c r="D65" s="591">
        <f>SUM(D61:D64)</f>
        <v>0</v>
      </c>
      <c r="E65" s="591">
        <f>SUM(E61:E64)</f>
        <v>0</v>
      </c>
    </row>
    <row r="66" spans="1:5" ht="25.5" customHeight="1">
      <c r="A66" s="578" t="s">
        <v>1279</v>
      </c>
      <c r="B66" s="579" t="s">
        <v>1287</v>
      </c>
      <c r="C66" s="579">
        <f>SUM(C65+C60+C56+C55+C52)</f>
        <v>0</v>
      </c>
      <c r="D66" s="579">
        <f>SUM(D65+D60+D56+D55+D52)</f>
        <v>0</v>
      </c>
      <c r="E66" s="579">
        <f>SUM(E65+E60+E56+E55+E52)</f>
        <v>0</v>
      </c>
    </row>
    <row r="67" spans="1:5" ht="18.75">
      <c r="A67" s="253" t="s">
        <v>1288</v>
      </c>
      <c r="B67" s="553" t="s">
        <v>952</v>
      </c>
      <c r="C67" s="553"/>
      <c r="D67" s="553"/>
      <c r="E67" s="553"/>
    </row>
    <row r="68" spans="1:5" ht="18.75">
      <c r="A68" s="253" t="s">
        <v>1289</v>
      </c>
      <c r="B68" s="553" t="s">
        <v>954</v>
      </c>
      <c r="C68" s="553"/>
      <c r="D68" s="553"/>
      <c r="E68" s="553"/>
    </row>
    <row r="69" spans="1:5" ht="24" customHeight="1">
      <c r="A69" s="575" t="s">
        <v>1291</v>
      </c>
      <c r="B69" s="579" t="s">
        <v>1290</v>
      </c>
      <c r="C69" s="579">
        <f>SUM(C67:C68)</f>
        <v>0</v>
      </c>
      <c r="D69" s="579">
        <f>SUM(D67:D68)</f>
        <v>0</v>
      </c>
      <c r="E69" s="579">
        <f>SUM(E67:E68)</f>
        <v>0</v>
      </c>
    </row>
    <row r="70" spans="1:7" ht="26.25" customHeight="1" thickBot="1">
      <c r="A70" s="561" t="s">
        <v>1294</v>
      </c>
      <c r="B70" s="552" t="s">
        <v>958</v>
      </c>
      <c r="C70" s="552">
        <v>84</v>
      </c>
      <c r="D70" s="552">
        <v>24</v>
      </c>
      <c r="E70" s="552">
        <v>62</v>
      </c>
      <c r="F70" s="21">
        <f>E43</f>
        <v>230</v>
      </c>
      <c r="G70" s="21">
        <f>F70*27%</f>
        <v>62.1</v>
      </c>
    </row>
    <row r="71" spans="1:5" ht="27" customHeight="1" thickBot="1">
      <c r="A71" s="268" t="s">
        <v>1295</v>
      </c>
      <c r="B71" s="552" t="s">
        <v>960</v>
      </c>
      <c r="C71" s="552"/>
      <c r="D71" s="552"/>
      <c r="E71" s="552"/>
    </row>
    <row r="72" spans="1:5" ht="19.5" thickBot="1">
      <c r="A72" s="210" t="s">
        <v>1296</v>
      </c>
      <c r="B72" s="552" t="s">
        <v>1293</v>
      </c>
      <c r="C72" s="552"/>
      <c r="D72" s="552"/>
      <c r="E72" s="552"/>
    </row>
    <row r="73" spans="1:5" ht="24.75" customHeight="1">
      <c r="A73" s="593" t="s">
        <v>1298</v>
      </c>
      <c r="B73" s="594" t="s">
        <v>1363</v>
      </c>
      <c r="C73" s="594"/>
      <c r="D73" s="552"/>
      <c r="E73" s="552"/>
    </row>
    <row r="74" spans="1:8" ht="33.75" customHeight="1">
      <c r="A74" s="592" t="s">
        <v>1364</v>
      </c>
      <c r="B74" s="563" t="s">
        <v>1365</v>
      </c>
      <c r="C74" s="563"/>
      <c r="D74" s="553"/>
      <c r="E74" s="553"/>
      <c r="F74" s="744" t="s">
        <v>1369</v>
      </c>
      <c r="G74" s="745"/>
      <c r="H74" s="745"/>
    </row>
    <row r="75" spans="1:5" ht="24.75" customHeight="1">
      <c r="A75" s="592" t="s">
        <v>1370</v>
      </c>
      <c r="B75" s="563" t="s">
        <v>1367</v>
      </c>
      <c r="C75" s="563"/>
      <c r="D75" s="553"/>
      <c r="E75" s="553"/>
    </row>
    <row r="76" spans="1:5" ht="18.75">
      <c r="A76" s="98" t="s">
        <v>1297</v>
      </c>
      <c r="B76" s="552" t="s">
        <v>970</v>
      </c>
      <c r="C76" s="552">
        <f>SUM(C74:C75)</f>
        <v>0</v>
      </c>
      <c r="D76" s="552">
        <f>SUM(D74:D75)</f>
        <v>0</v>
      </c>
      <c r="E76" s="552">
        <f>SUM(E74:E75)</f>
        <v>0</v>
      </c>
    </row>
    <row r="77" spans="1:5" ht="24.75" customHeight="1">
      <c r="A77" s="580" t="s">
        <v>1292</v>
      </c>
      <c r="B77" s="579" t="s">
        <v>1334</v>
      </c>
      <c r="C77" s="579">
        <f>C76+C73+C72+C71+C70</f>
        <v>84</v>
      </c>
      <c r="D77" s="579">
        <f>D76+D73+D72+D71+D70</f>
        <v>24</v>
      </c>
      <c r="E77" s="579">
        <f>E76+E73+E72+E71+E70</f>
        <v>62</v>
      </c>
    </row>
    <row r="78" spans="1:10" ht="24.75" customHeight="1">
      <c r="A78" s="587" t="s">
        <v>1299</v>
      </c>
      <c r="B78" s="585" t="s">
        <v>70</v>
      </c>
      <c r="C78" s="579">
        <f>SUM(C77+C69+C66+C47+C43)</f>
        <v>394</v>
      </c>
      <c r="D78" s="579">
        <f>SUM(D77+D69+D66+D47+D43)</f>
        <v>149</v>
      </c>
      <c r="E78" s="579">
        <f>SUM(E77+E69+E66+E47+E43)</f>
        <v>292</v>
      </c>
      <c r="F78" s="560"/>
      <c r="G78" s="560"/>
      <c r="H78" s="560"/>
      <c r="I78" s="560"/>
      <c r="J78" s="560"/>
    </row>
    <row r="79" spans="1:10" ht="24.75" customHeight="1">
      <c r="A79" s="98" t="s">
        <v>1307</v>
      </c>
      <c r="B79" s="553" t="s">
        <v>1302</v>
      </c>
      <c r="C79" s="552"/>
      <c r="D79" s="552"/>
      <c r="E79" s="552"/>
      <c r="F79" s="560"/>
      <c r="G79" s="560"/>
      <c r="H79" s="560"/>
      <c r="I79" s="560"/>
      <c r="J79" s="560"/>
    </row>
    <row r="80" spans="1:10" ht="24.75" customHeight="1">
      <c r="A80" s="98" t="s">
        <v>1306</v>
      </c>
      <c r="B80" s="553" t="s">
        <v>1308</v>
      </c>
      <c r="C80" s="552"/>
      <c r="D80" s="552"/>
      <c r="E80" s="552"/>
      <c r="F80" s="560"/>
      <c r="G80" s="560"/>
      <c r="H80" s="560"/>
      <c r="I80" s="560"/>
      <c r="J80" s="560"/>
    </row>
    <row r="81" spans="1:10" ht="24.75" customHeight="1">
      <c r="A81" s="98"/>
      <c r="B81" s="97" t="s">
        <v>1304</v>
      </c>
      <c r="C81" s="552"/>
      <c r="D81" s="552"/>
      <c r="E81" s="552"/>
      <c r="F81" s="560"/>
      <c r="G81" s="560"/>
      <c r="H81" s="560"/>
      <c r="I81" s="560"/>
      <c r="J81" s="560"/>
    </row>
    <row r="82" spans="1:5" ht="18.75">
      <c r="A82" s="98"/>
      <c r="B82" s="97" t="s">
        <v>1303</v>
      </c>
      <c r="C82" s="377"/>
      <c r="D82" s="34"/>
      <c r="E82" s="34"/>
    </row>
    <row r="83" spans="1:5" ht="18.75">
      <c r="A83" s="98"/>
      <c r="B83" s="567" t="s">
        <v>1305</v>
      </c>
      <c r="C83" s="377"/>
      <c r="D83" s="34"/>
      <c r="E83" s="34"/>
    </row>
    <row r="84" spans="1:5" ht="25.5">
      <c r="A84" s="580" t="s">
        <v>1341</v>
      </c>
      <c r="B84" s="579" t="s">
        <v>1337</v>
      </c>
      <c r="C84" s="377">
        <f>SUM(C80:C83)</f>
        <v>0</v>
      </c>
      <c r="D84" s="377">
        <f>SUM(D80:D83)</f>
        <v>0</v>
      </c>
      <c r="E84" s="377">
        <f>SUM(E80:E83)</f>
        <v>0</v>
      </c>
    </row>
    <row r="85" spans="1:5" s="564" customFormat="1" ht="18.75">
      <c r="A85" s="587" t="s">
        <v>1336</v>
      </c>
      <c r="B85" s="587" t="s">
        <v>1340</v>
      </c>
      <c r="C85" s="574">
        <f>SUM(C79+C84)</f>
        <v>0</v>
      </c>
      <c r="D85" s="574">
        <f>SUM(D79+D84)</f>
        <v>0</v>
      </c>
      <c r="E85" s="574">
        <f>SUM(E79+E84)</f>
        <v>0</v>
      </c>
    </row>
    <row r="86" spans="1:5" ht="25.5">
      <c r="A86" s="97" t="s">
        <v>1309</v>
      </c>
      <c r="B86" s="553" t="s">
        <v>1113</v>
      </c>
      <c r="C86" s="553"/>
      <c r="D86" s="553"/>
      <c r="E86" s="553"/>
    </row>
    <row r="87" spans="1:5" s="382" customFormat="1" ht="15">
      <c r="A87" s="97" t="s">
        <v>1310</v>
      </c>
      <c r="B87" s="553" t="s">
        <v>1371</v>
      </c>
      <c r="C87" s="553"/>
      <c r="D87" s="553"/>
      <c r="E87" s="553"/>
    </row>
    <row r="88" spans="1:5" ht="18.75">
      <c r="A88" s="172" t="s">
        <v>1311</v>
      </c>
      <c r="B88" s="553" t="s">
        <v>1117</v>
      </c>
      <c r="C88" s="553"/>
      <c r="D88" s="553"/>
      <c r="E88" s="553"/>
    </row>
    <row r="89" spans="1:5" ht="24" customHeight="1">
      <c r="A89" s="172" t="s">
        <v>1312</v>
      </c>
      <c r="B89" s="553" t="s">
        <v>1118</v>
      </c>
      <c r="C89" s="553"/>
      <c r="D89" s="553"/>
      <c r="E89" s="553"/>
    </row>
    <row r="90" spans="1:5" ht="26.25" customHeight="1">
      <c r="A90" s="172" t="s">
        <v>1313</v>
      </c>
      <c r="B90" s="553" t="s">
        <v>1120</v>
      </c>
      <c r="C90" s="553"/>
      <c r="D90" s="553"/>
      <c r="E90" s="553"/>
    </row>
    <row r="91" spans="1:5" ht="25.5" customHeight="1">
      <c r="A91" s="172" t="s">
        <v>1314</v>
      </c>
      <c r="B91" s="553" t="s">
        <v>1126</v>
      </c>
      <c r="C91" s="553"/>
      <c r="D91" s="553"/>
      <c r="E91" s="553"/>
    </row>
    <row r="92" spans="1:5" ht="18.75">
      <c r="A92" s="584" t="s">
        <v>1315</v>
      </c>
      <c r="B92" s="585" t="s">
        <v>1339</v>
      </c>
      <c r="C92" s="552">
        <f>SUM(C86:C91)</f>
        <v>0</v>
      </c>
      <c r="D92" s="552">
        <f>SUM(D86:D91)</f>
        <v>0</v>
      </c>
      <c r="E92" s="552">
        <f>SUM(E86:E91)</f>
        <v>0</v>
      </c>
    </row>
    <row r="93" spans="1:5" ht="18.75">
      <c r="A93" s="172" t="s">
        <v>1316</v>
      </c>
      <c r="B93" s="553" t="s">
        <v>1130</v>
      </c>
      <c r="C93" s="553"/>
      <c r="D93" s="553"/>
      <c r="E93" s="553"/>
    </row>
    <row r="94" spans="1:5" ht="18.75">
      <c r="A94" s="172" t="s">
        <v>1317</v>
      </c>
      <c r="B94" s="553" t="s">
        <v>1132</v>
      </c>
      <c r="C94" s="553"/>
      <c r="D94" s="553"/>
      <c r="E94" s="553"/>
    </row>
    <row r="95" spans="1:5" ht="18.75">
      <c r="A95" s="172" t="s">
        <v>1318</v>
      </c>
      <c r="B95" s="553" t="s">
        <v>1134</v>
      </c>
      <c r="C95" s="553"/>
      <c r="D95" s="553"/>
      <c r="E95" s="553"/>
    </row>
    <row r="96" spans="1:5" ht="24" customHeight="1">
      <c r="A96" s="172" t="s">
        <v>1319</v>
      </c>
      <c r="B96" s="553" t="s">
        <v>1136</v>
      </c>
      <c r="C96" s="553"/>
      <c r="D96" s="553"/>
      <c r="E96" s="553"/>
    </row>
    <row r="97" spans="1:5" ht="18.75">
      <c r="A97" s="584" t="s">
        <v>1320</v>
      </c>
      <c r="B97" s="585" t="s">
        <v>1338</v>
      </c>
      <c r="C97" s="552">
        <f>SUM(C93:C96)</f>
        <v>0</v>
      </c>
      <c r="D97" s="552">
        <f>SUM(D93:D96)</f>
        <v>0</v>
      </c>
      <c r="E97" s="552">
        <f>SUM(E93:E96)</f>
        <v>0</v>
      </c>
    </row>
    <row r="98" spans="1:5" ht="25.5" customHeight="1">
      <c r="A98" s="172" t="s">
        <v>1323</v>
      </c>
      <c r="B98" s="555" t="s">
        <v>1325</v>
      </c>
      <c r="C98" s="555"/>
      <c r="D98" s="555"/>
      <c r="E98" s="555"/>
    </row>
    <row r="99" spans="1:5" ht="27" customHeight="1">
      <c r="A99" s="457" t="s">
        <v>1322</v>
      </c>
      <c r="B99" s="553" t="s">
        <v>1321</v>
      </c>
      <c r="C99" s="553"/>
      <c r="D99" s="553"/>
      <c r="E99" s="553"/>
    </row>
    <row r="100" spans="1:5" ht="18.75">
      <c r="A100" s="584" t="s">
        <v>1326</v>
      </c>
      <c r="B100" s="586" t="s">
        <v>1324</v>
      </c>
      <c r="C100" s="295">
        <f>SUM(C98:C99)</f>
        <v>0</v>
      </c>
      <c r="D100" s="295">
        <f>SUM(D98:D99)</f>
        <v>0</v>
      </c>
      <c r="E100" s="295">
        <f>SUM(E98:E99)</f>
        <v>0</v>
      </c>
    </row>
    <row r="101" spans="1:5" ht="18.75">
      <c r="A101" s="34"/>
      <c r="B101" s="36" t="s">
        <v>118</v>
      </c>
      <c r="C101" s="581">
        <f>SUM(C100+C97+C92+C85+C78+C29+C23)</f>
        <v>775</v>
      </c>
      <c r="D101" s="581">
        <f>SUM(D100+D97+D92+D85+D78+D29+D23)</f>
        <v>758</v>
      </c>
      <c r="E101" s="581">
        <f>SUM(E100+E97+E92+E85+E78+E29+E23)</f>
        <v>800</v>
      </c>
    </row>
  </sheetData>
  <sheetProtection/>
  <mergeCells count="3">
    <mergeCell ref="A2:E2"/>
    <mergeCell ref="F64:H64"/>
    <mergeCell ref="F74:H74"/>
  </mergeCells>
  <printOptions/>
  <pageMargins left="0.7" right="0.7" top="0.75" bottom="0.75" header="0.3" footer="0.3"/>
  <pageSetup horizontalDpi="200" verticalDpi="200" orientation="portrait" paperSize="9" scale="77" r:id="rId1"/>
  <rowBreaks count="2" manualBreakCount="2">
    <brk id="30" max="7" man="1"/>
    <brk id="78" max="7" man="1"/>
  </rowBreaks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00B050"/>
  </sheetPr>
  <dimension ref="A1:I38"/>
  <sheetViews>
    <sheetView view="pageBreakPreview" zoomScale="60" zoomScalePageLayoutView="0" workbookViewId="0" topLeftCell="A1">
      <selection activeCell="H22" sqref="H22:I22"/>
    </sheetView>
  </sheetViews>
  <sheetFormatPr defaultColWidth="8.66015625" defaultRowHeight="18"/>
  <cols>
    <col min="1" max="1" width="11" style="170" customWidth="1"/>
    <col min="2" max="2" width="31.58203125" style="30" customWidth="1"/>
    <col min="3" max="3" width="10.08203125" style="30" customWidth="1"/>
    <col min="4" max="4" width="8.25" style="30" bestFit="1" customWidth="1"/>
    <col min="5" max="5" width="11.08203125" style="25" customWidth="1"/>
    <col min="6" max="6" width="11.41015625" style="30" customWidth="1"/>
    <col min="7" max="16384" width="8.91015625" style="30" customWidth="1"/>
  </cols>
  <sheetData>
    <row r="1" ht="15">
      <c r="E1" s="30"/>
    </row>
    <row r="2" spans="1:7" ht="20.25">
      <c r="A2" s="482">
        <v>960302</v>
      </c>
      <c r="B2" s="483" t="s">
        <v>511</v>
      </c>
      <c r="C2" s="484" t="s">
        <v>265</v>
      </c>
      <c r="D2" s="485" t="s">
        <v>281</v>
      </c>
      <c r="E2" s="486" t="s">
        <v>614</v>
      </c>
      <c r="F2" s="484" t="s">
        <v>708</v>
      </c>
      <c r="G2" s="484" t="s">
        <v>709</v>
      </c>
    </row>
    <row r="3" spans="1:7" ht="20.25">
      <c r="A3" s="482"/>
      <c r="B3" s="483"/>
      <c r="C3" s="484"/>
      <c r="D3" s="485"/>
      <c r="E3" s="486"/>
      <c r="F3" s="484"/>
      <c r="G3" s="484"/>
    </row>
    <row r="4" spans="1:7" ht="20.25">
      <c r="A4" s="482"/>
      <c r="B4" s="483" t="s">
        <v>773</v>
      </c>
      <c r="C4" s="484"/>
      <c r="D4" s="485"/>
      <c r="E4" s="487">
        <v>1000</v>
      </c>
      <c r="F4" s="484"/>
      <c r="G4" s="484">
        <v>394</v>
      </c>
    </row>
    <row r="5" spans="1:7" ht="20.25">
      <c r="A5" s="482"/>
      <c r="B5" s="483" t="s">
        <v>604</v>
      </c>
      <c r="C5" s="484"/>
      <c r="D5" s="485"/>
      <c r="E5" s="487">
        <f>E4*27%</f>
        <v>270</v>
      </c>
      <c r="F5" s="484"/>
      <c r="G5" s="484">
        <v>106</v>
      </c>
    </row>
    <row r="6" spans="1:7" ht="20.25">
      <c r="A6" s="482"/>
      <c r="B6" s="483" t="s">
        <v>169</v>
      </c>
      <c r="C6" s="484"/>
      <c r="D6" s="485"/>
      <c r="E6" s="487">
        <f>SUM(E4:E5)</f>
        <v>1270</v>
      </c>
      <c r="F6" s="484"/>
      <c r="G6" s="484">
        <f>SUM(G4:G5)</f>
        <v>500</v>
      </c>
    </row>
    <row r="7" spans="1:7" ht="20.25">
      <c r="A7" s="488"/>
      <c r="B7" s="484"/>
      <c r="C7" s="484"/>
      <c r="D7" s="484"/>
      <c r="E7" s="484"/>
      <c r="F7" s="484"/>
      <c r="G7" s="484"/>
    </row>
    <row r="8" spans="1:7" ht="20.25">
      <c r="A8" s="488">
        <v>52211</v>
      </c>
      <c r="B8" s="484" t="s">
        <v>510</v>
      </c>
      <c r="C8" s="484">
        <v>78</v>
      </c>
      <c r="D8" s="484">
        <v>200</v>
      </c>
      <c r="E8" s="484">
        <v>140</v>
      </c>
      <c r="F8" s="484"/>
      <c r="G8" s="484">
        <v>140</v>
      </c>
    </row>
    <row r="9" spans="1:7" ht="20.25">
      <c r="A9" s="488"/>
      <c r="B9" s="483" t="s">
        <v>149</v>
      </c>
      <c r="C9" s="483">
        <f>SUM(C8:C8)</f>
        <v>78</v>
      </c>
      <c r="D9" s="483">
        <f>SUM(D8:D8)</f>
        <v>200</v>
      </c>
      <c r="E9" s="483">
        <f>SUM(E8:E8)</f>
        <v>140</v>
      </c>
      <c r="F9" s="484"/>
      <c r="G9" s="483">
        <f>SUM(G8:G8)</f>
        <v>140</v>
      </c>
    </row>
    <row r="10" spans="1:7" ht="20.25">
      <c r="A10" s="488"/>
      <c r="B10" s="483"/>
      <c r="C10" s="483"/>
      <c r="D10" s="484"/>
      <c r="E10" s="483"/>
      <c r="F10" s="484"/>
      <c r="G10" s="484"/>
    </row>
    <row r="11" spans="1:7" ht="20.25">
      <c r="A11" s="488">
        <v>53125</v>
      </c>
      <c r="B11" s="484" t="s">
        <v>509</v>
      </c>
      <c r="C11" s="484"/>
      <c r="D11" s="484">
        <f>D9*27%</f>
        <v>54</v>
      </c>
      <c r="E11" s="484">
        <f>E8*27%</f>
        <v>37.800000000000004</v>
      </c>
      <c r="F11" s="484"/>
      <c r="G11" s="484">
        <v>38</v>
      </c>
    </row>
    <row r="12" spans="1:7" ht="20.25">
      <c r="A12" s="488">
        <v>5531</v>
      </c>
      <c r="B12" s="484" t="s">
        <v>508</v>
      </c>
      <c r="C12" s="484"/>
      <c r="D12" s="484">
        <v>10</v>
      </c>
      <c r="E12" s="484"/>
      <c r="F12" s="484"/>
      <c r="G12" s="484"/>
    </row>
    <row r="13" spans="1:7" ht="20.25">
      <c r="A13" s="488"/>
      <c r="B13" s="483" t="s">
        <v>339</v>
      </c>
      <c r="C13" s="483">
        <f>SUM(C11:C12)</f>
        <v>0</v>
      </c>
      <c r="D13" s="483">
        <f>SUM(D11:D12)</f>
        <v>64</v>
      </c>
      <c r="E13" s="483">
        <f>SUM(E11:E12)</f>
        <v>37.800000000000004</v>
      </c>
      <c r="F13" s="484"/>
      <c r="G13" s="483">
        <f>SUM(G11:G12)</f>
        <v>38</v>
      </c>
    </row>
    <row r="14" spans="1:7" ht="20.25">
      <c r="A14" s="488"/>
      <c r="B14" s="483"/>
      <c r="C14" s="483"/>
      <c r="D14" s="483"/>
      <c r="E14" s="483"/>
      <c r="F14" s="484"/>
      <c r="G14" s="483"/>
    </row>
    <row r="15" spans="1:7" ht="20.25">
      <c r="A15" s="488"/>
      <c r="B15" s="484" t="s">
        <v>128</v>
      </c>
      <c r="C15" s="484"/>
      <c r="D15" s="484">
        <v>20</v>
      </c>
      <c r="E15" s="484"/>
      <c r="F15" s="484"/>
      <c r="G15" s="484">
        <v>20</v>
      </c>
    </row>
    <row r="16" spans="1:7" ht="20.25">
      <c r="A16" s="488">
        <v>54913</v>
      </c>
      <c r="B16" s="484" t="s">
        <v>32</v>
      </c>
      <c r="C16" s="484">
        <v>60</v>
      </c>
      <c r="D16" s="484">
        <v>20</v>
      </c>
      <c r="E16" s="484">
        <v>10</v>
      </c>
      <c r="F16" s="484"/>
      <c r="G16" s="484">
        <v>30</v>
      </c>
    </row>
    <row r="17" spans="1:7" ht="20.25">
      <c r="A17" s="488"/>
      <c r="B17" s="483" t="s">
        <v>507</v>
      </c>
      <c r="C17" s="483">
        <f>SUM(C16:C16)</f>
        <v>60</v>
      </c>
      <c r="D17" s="483">
        <f>SUM(D15:D16)</f>
        <v>40</v>
      </c>
      <c r="E17" s="483">
        <f>SUM(E15:E16)</f>
        <v>10</v>
      </c>
      <c r="F17" s="483">
        <f>SUM(F15:F16)</f>
        <v>0</v>
      </c>
      <c r="G17" s="483">
        <f>SUM(G15:G16)</f>
        <v>50</v>
      </c>
    </row>
    <row r="18" spans="1:7" ht="20.25">
      <c r="A18" s="488"/>
      <c r="B18" s="484"/>
      <c r="C18" s="484"/>
      <c r="D18" s="484"/>
      <c r="E18" s="484"/>
      <c r="F18" s="484"/>
      <c r="G18" s="484"/>
    </row>
    <row r="19" spans="1:7" ht="20.25">
      <c r="A19" s="488">
        <v>55215</v>
      </c>
      <c r="B19" s="484" t="s">
        <v>496</v>
      </c>
      <c r="C19" s="484">
        <v>10</v>
      </c>
      <c r="D19" s="484">
        <v>15</v>
      </c>
      <c r="E19" s="484">
        <v>15</v>
      </c>
      <c r="F19" s="484">
        <v>7</v>
      </c>
      <c r="G19" s="484">
        <v>15</v>
      </c>
    </row>
    <row r="20" spans="1:7" ht="20.25">
      <c r="A20" s="488">
        <v>55217</v>
      </c>
      <c r="B20" s="484" t="s">
        <v>495</v>
      </c>
      <c r="C20" s="484">
        <v>20</v>
      </c>
      <c r="D20" s="484">
        <v>15</v>
      </c>
      <c r="E20" s="484">
        <v>15</v>
      </c>
      <c r="F20" s="484">
        <v>6</v>
      </c>
      <c r="G20" s="484">
        <v>15</v>
      </c>
    </row>
    <row r="21" spans="1:7" ht="20.25">
      <c r="A21" s="488">
        <v>552181</v>
      </c>
      <c r="B21" s="484" t="s">
        <v>498</v>
      </c>
      <c r="C21" s="484">
        <v>30</v>
      </c>
      <c r="D21" s="484">
        <v>30</v>
      </c>
      <c r="E21" s="484"/>
      <c r="F21" s="484"/>
      <c r="G21" s="484">
        <v>30</v>
      </c>
    </row>
    <row r="22" spans="1:9" ht="20.25">
      <c r="A22" s="488">
        <v>5531</v>
      </c>
      <c r="B22" s="484" t="s">
        <v>731</v>
      </c>
      <c r="C22" s="484"/>
      <c r="D22" s="484"/>
      <c r="E22" s="484">
        <v>100</v>
      </c>
      <c r="F22" s="484">
        <v>27</v>
      </c>
      <c r="G22" s="484">
        <v>300</v>
      </c>
      <c r="H22" s="746" t="s">
        <v>732</v>
      </c>
      <c r="I22" s="747"/>
    </row>
    <row r="23" spans="1:7" s="29" customFormat="1" ht="20.25">
      <c r="A23" s="482"/>
      <c r="B23" s="483" t="s">
        <v>16</v>
      </c>
      <c r="C23" s="483">
        <f>SUM(C19:C21)</f>
        <v>60</v>
      </c>
      <c r="D23" s="483">
        <f>SUM(D19:D21)</f>
        <v>60</v>
      </c>
      <c r="E23" s="483">
        <f>SUM(E19:E22)</f>
        <v>130</v>
      </c>
      <c r="F23" s="483">
        <f>SUM(F19:F22)</f>
        <v>40</v>
      </c>
      <c r="G23" s="483">
        <f>SUM(G19:G22)</f>
        <v>360</v>
      </c>
    </row>
    <row r="24" spans="1:7" ht="20.25">
      <c r="A24" s="488"/>
      <c r="B24" s="484"/>
      <c r="C24" s="484"/>
      <c r="D24" s="484"/>
      <c r="E24" s="484"/>
      <c r="F24" s="484"/>
      <c r="G24" s="484"/>
    </row>
    <row r="25" spans="1:9" ht="20.25">
      <c r="A25" s="488">
        <v>56111</v>
      </c>
      <c r="B25" s="484" t="s">
        <v>494</v>
      </c>
      <c r="C25" s="484">
        <v>32</v>
      </c>
      <c r="D25" s="484">
        <f>(D17+D23)*27%</f>
        <v>27</v>
      </c>
      <c r="E25" s="484">
        <f>(E17+E23)*27%</f>
        <v>37.800000000000004</v>
      </c>
      <c r="F25" s="484">
        <v>8</v>
      </c>
      <c r="G25" s="484">
        <f>I25*27%</f>
        <v>110.7</v>
      </c>
      <c r="I25" s="30">
        <f>G17+G23</f>
        <v>410</v>
      </c>
    </row>
    <row r="26" spans="1:7" ht="20.25">
      <c r="A26" s="488"/>
      <c r="B26" s="483" t="s">
        <v>493</v>
      </c>
      <c r="C26" s="483">
        <f>SUM(C25)</f>
        <v>32</v>
      </c>
      <c r="D26" s="483">
        <f>SUM(D25)</f>
        <v>27</v>
      </c>
      <c r="E26" s="483">
        <f>SUM(E25)</f>
        <v>37.800000000000004</v>
      </c>
      <c r="F26" s="483">
        <f>SUM(F25)</f>
        <v>8</v>
      </c>
      <c r="G26" s="483">
        <f>SUM(G25)</f>
        <v>110.7</v>
      </c>
    </row>
    <row r="27" spans="1:7" ht="20.25">
      <c r="A27" s="488"/>
      <c r="B27" s="484"/>
      <c r="C27" s="484"/>
      <c r="D27" s="484"/>
      <c r="E27" s="484"/>
      <c r="F27" s="484"/>
      <c r="G27" s="484"/>
    </row>
    <row r="28" spans="1:7" ht="20.25">
      <c r="A28" s="488"/>
      <c r="B28" s="483" t="s">
        <v>29</v>
      </c>
      <c r="C28" s="483">
        <f>SUM(C26,C23,C17)</f>
        <v>152</v>
      </c>
      <c r="D28" s="483">
        <f>SUM(D26,D23,D17)</f>
        <v>127</v>
      </c>
      <c r="E28" s="483">
        <f>SUM(E26,E23,E17)</f>
        <v>177.8</v>
      </c>
      <c r="F28" s="483">
        <f>F26+F23+F17</f>
        <v>48</v>
      </c>
      <c r="G28" s="483">
        <f>G26+G23+G17</f>
        <v>520.7</v>
      </c>
    </row>
    <row r="29" spans="1:7" ht="20.25">
      <c r="A29" s="488"/>
      <c r="B29" s="483"/>
      <c r="C29" s="483"/>
      <c r="D29" s="484"/>
      <c r="E29" s="483"/>
      <c r="F29" s="484"/>
      <c r="G29" s="484"/>
    </row>
    <row r="30" spans="1:7" ht="20.25">
      <c r="A30" s="488"/>
      <c r="B30" s="483" t="s">
        <v>774</v>
      </c>
      <c r="C30" s="483">
        <f>SUM(C9+C13+C28)</f>
        <v>230</v>
      </c>
      <c r="D30" s="483">
        <f>SUM(D9+D13+D28)</f>
        <v>391</v>
      </c>
      <c r="E30" s="483">
        <f>SUM(E9+E13+E28+E6)</f>
        <v>1625.6</v>
      </c>
      <c r="F30" s="483">
        <f>F28+F13+F9</f>
        <v>48</v>
      </c>
      <c r="G30" s="483">
        <f>G28+G13+G9</f>
        <v>698.7</v>
      </c>
    </row>
    <row r="31" spans="1:7" ht="20.25">
      <c r="A31" s="488"/>
      <c r="B31" s="483"/>
      <c r="C31" s="483"/>
      <c r="D31" s="484"/>
      <c r="E31" s="483"/>
      <c r="F31" s="484"/>
      <c r="G31" s="484"/>
    </row>
    <row r="32" spans="1:7" ht="20.25">
      <c r="A32" s="488"/>
      <c r="B32" s="483" t="s">
        <v>0</v>
      </c>
      <c r="C32" s="483"/>
      <c r="D32" s="484"/>
      <c r="E32" s="483"/>
      <c r="F32" s="483">
        <f>F30+F6</f>
        <v>48</v>
      </c>
      <c r="G32" s="483">
        <f>G30+G6</f>
        <v>1198.7</v>
      </c>
    </row>
    <row r="33" spans="1:7" ht="20.25">
      <c r="A33" s="488"/>
      <c r="B33" s="483"/>
      <c r="C33" s="483"/>
      <c r="D33" s="484"/>
      <c r="E33" s="483"/>
      <c r="F33" s="484"/>
      <c r="G33" s="484"/>
    </row>
    <row r="34" spans="1:7" ht="20.25">
      <c r="A34" s="488">
        <v>91219</v>
      </c>
      <c r="B34" s="483" t="s">
        <v>228</v>
      </c>
      <c r="C34" s="483">
        <v>350</v>
      </c>
      <c r="D34" s="489">
        <v>200</v>
      </c>
      <c r="E34" s="484">
        <v>150</v>
      </c>
      <c r="F34" s="484">
        <v>200</v>
      </c>
      <c r="G34" s="484">
        <v>200</v>
      </c>
    </row>
    <row r="35" spans="1:7" ht="20.25">
      <c r="A35" s="488"/>
      <c r="B35" s="484"/>
      <c r="C35" s="484"/>
      <c r="D35" s="484"/>
      <c r="E35" s="484"/>
      <c r="F35" s="484"/>
      <c r="G35" s="484"/>
    </row>
    <row r="36" spans="1:7" ht="20.25">
      <c r="A36" s="488"/>
      <c r="B36" s="483" t="s">
        <v>492</v>
      </c>
      <c r="C36" s="483">
        <f>SUM(C34)</f>
        <v>350</v>
      </c>
      <c r="D36" s="483">
        <f>SUM(D34)</f>
        <v>200</v>
      </c>
      <c r="E36" s="483">
        <f>SUM(E34)</f>
        <v>150</v>
      </c>
      <c r="F36" s="484">
        <f>SUM(F34:F35)</f>
        <v>200</v>
      </c>
      <c r="G36" s="484">
        <f>SUM(G34:G35)</f>
        <v>200</v>
      </c>
    </row>
    <row r="37" spans="1:7" ht="20.25">
      <c r="A37" s="488"/>
      <c r="B37" s="484"/>
      <c r="C37" s="484"/>
      <c r="D37" s="484"/>
      <c r="E37" s="484"/>
      <c r="F37" s="484"/>
      <c r="G37" s="484"/>
    </row>
    <row r="38" ht="15">
      <c r="E38" s="30"/>
    </row>
  </sheetData>
  <sheetProtection/>
  <mergeCells count="1">
    <mergeCell ref="H22:I22"/>
  </mergeCells>
  <printOptions/>
  <pageMargins left="0.7" right="0.7" top="0.75" bottom="0.75" header="0.3" footer="0.3"/>
  <pageSetup horizontalDpi="300" verticalDpi="300" orientation="portrait" paperSize="9" scale="52" r:id="rId1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C00000"/>
  </sheetPr>
  <dimension ref="A2:J101"/>
  <sheetViews>
    <sheetView zoomScalePageLayoutView="0" workbookViewId="0" topLeftCell="A1">
      <selection activeCell="D21" sqref="D21"/>
    </sheetView>
  </sheetViews>
  <sheetFormatPr defaultColWidth="8.41015625" defaultRowHeight="18"/>
  <cols>
    <col min="1" max="1" width="8.41015625" style="21" customWidth="1"/>
    <col min="2" max="2" width="29.41015625" style="21" customWidth="1"/>
    <col min="3" max="3" width="8" style="382" customWidth="1"/>
    <col min="4" max="4" width="7.33203125" style="21" customWidth="1"/>
    <col min="5" max="5" width="7.75" style="21" customWidth="1"/>
    <col min="6" max="249" width="7.08203125" style="21" customWidth="1"/>
    <col min="250" max="16384" width="8.41015625" style="21" customWidth="1"/>
  </cols>
  <sheetData>
    <row r="2" spans="1:5" ht="18.75">
      <c r="A2" s="620" t="s">
        <v>1331</v>
      </c>
      <c r="B2" s="620"/>
      <c r="C2" s="620"/>
      <c r="D2" s="620"/>
      <c r="E2" s="620"/>
    </row>
    <row r="3" ht="19.5" thickBot="1">
      <c r="C3" s="243"/>
    </row>
    <row r="4" spans="1:5" ht="19.5" thickBot="1">
      <c r="A4" s="595">
        <v>960302</v>
      </c>
      <c r="B4" s="245" t="s">
        <v>279</v>
      </c>
      <c r="C4" s="421" t="s">
        <v>616</v>
      </c>
      <c r="D4" s="41" t="s">
        <v>626</v>
      </c>
      <c r="E4" s="34">
        <v>2016</v>
      </c>
    </row>
    <row r="5" spans="1:5" ht="19.5" thickBot="1">
      <c r="A5" s="596" t="s">
        <v>1416</v>
      </c>
      <c r="B5" s="210"/>
      <c r="C5" s="295"/>
      <c r="D5" s="34"/>
      <c r="E5" s="34"/>
    </row>
    <row r="6" spans="1:5" ht="18.75">
      <c r="A6" s="249" t="s">
        <v>819</v>
      </c>
      <c r="B6" s="250" t="s">
        <v>1238</v>
      </c>
      <c r="C6" s="376"/>
      <c r="D6" s="565"/>
      <c r="E6" s="565"/>
    </row>
    <row r="7" spans="1:5" ht="18.75">
      <c r="A7" s="253" t="s">
        <v>822</v>
      </c>
      <c r="B7" s="254" t="s">
        <v>821</v>
      </c>
      <c r="C7" s="377"/>
      <c r="D7" s="34"/>
      <c r="E7" s="34"/>
    </row>
    <row r="8" spans="1:5" ht="18.75">
      <c r="A8" s="253" t="s">
        <v>823</v>
      </c>
      <c r="B8" s="254" t="s">
        <v>820</v>
      </c>
      <c r="C8" s="377"/>
      <c r="D8" s="34"/>
      <c r="E8" s="381"/>
    </row>
    <row r="9" spans="1:5" ht="18.75">
      <c r="A9" s="253" t="s">
        <v>825</v>
      </c>
      <c r="B9" s="254" t="s">
        <v>824</v>
      </c>
      <c r="C9" s="377"/>
      <c r="D9" s="34"/>
      <c r="E9" s="34"/>
    </row>
    <row r="10" spans="1:5" ht="18.75">
      <c r="A10" s="253" t="s">
        <v>826</v>
      </c>
      <c r="B10" s="260" t="s">
        <v>1239</v>
      </c>
      <c r="C10" s="377"/>
      <c r="D10" s="34"/>
      <c r="E10" s="34"/>
    </row>
    <row r="11" spans="1:5" ht="18.75">
      <c r="A11" s="253" t="s">
        <v>1233</v>
      </c>
      <c r="B11" s="260" t="s">
        <v>1240</v>
      </c>
      <c r="C11" s="378"/>
      <c r="D11" s="34"/>
      <c r="E11" s="34"/>
    </row>
    <row r="12" spans="1:5" ht="18.75">
      <c r="A12" s="253" t="s">
        <v>1241</v>
      </c>
      <c r="B12" s="262" t="s">
        <v>1234</v>
      </c>
      <c r="C12" s="377"/>
      <c r="D12" s="34"/>
      <c r="E12" s="34"/>
    </row>
    <row r="13" spans="1:5" ht="18.75">
      <c r="A13" s="253" t="s">
        <v>1242</v>
      </c>
      <c r="B13" s="262" t="s">
        <v>1235</v>
      </c>
      <c r="C13" s="377"/>
      <c r="D13" s="34"/>
      <c r="E13" s="34"/>
    </row>
    <row r="14" spans="1:5" ht="18.75">
      <c r="A14" s="253" t="s">
        <v>1243</v>
      </c>
      <c r="B14" s="254" t="s">
        <v>528</v>
      </c>
      <c r="C14" s="377"/>
      <c r="D14" s="34"/>
      <c r="E14" s="34"/>
    </row>
    <row r="15" spans="1:5" ht="18.75">
      <c r="A15" s="253" t="s">
        <v>1244</v>
      </c>
      <c r="B15" s="254" t="s">
        <v>1236</v>
      </c>
      <c r="C15" s="377"/>
      <c r="D15" s="34"/>
      <c r="E15" s="34"/>
    </row>
    <row r="16" spans="1:5" ht="19.5" thickBot="1">
      <c r="A16" s="264" t="s">
        <v>1245</v>
      </c>
      <c r="B16" s="265" t="s">
        <v>791</v>
      </c>
      <c r="C16" s="377"/>
      <c r="D16" s="34"/>
      <c r="E16" s="34"/>
    </row>
    <row r="17" spans="1:5" ht="19.5" thickBot="1">
      <c r="A17" s="568" t="s">
        <v>1327</v>
      </c>
      <c r="B17" s="569" t="s">
        <v>1249</v>
      </c>
      <c r="C17" s="379">
        <f>SUM(C6:C16)</f>
        <v>0</v>
      </c>
      <c r="D17" s="379">
        <f>SUM(D6:D16)</f>
        <v>0</v>
      </c>
      <c r="E17" s="379">
        <f>SUM(E6:E16)</f>
        <v>0</v>
      </c>
    </row>
    <row r="18" spans="1:5" ht="19.5" thickBot="1">
      <c r="A18" s="557" t="s">
        <v>1329</v>
      </c>
      <c r="B18" s="558" t="s">
        <v>1248</v>
      </c>
      <c r="C18" s="377"/>
      <c r="D18" s="34"/>
      <c r="E18" s="34"/>
    </row>
    <row r="19" spans="1:7" ht="19.5" thickBot="1">
      <c r="A19" s="557" t="s">
        <v>1328</v>
      </c>
      <c r="B19" s="558" t="s">
        <v>1246</v>
      </c>
      <c r="C19" s="377"/>
      <c r="D19" s="34"/>
      <c r="E19" s="34"/>
      <c r="G19" t="s">
        <v>1428</v>
      </c>
    </row>
    <row r="20" spans="1:5" ht="19.5" thickBot="1">
      <c r="A20" s="557" t="s">
        <v>1253</v>
      </c>
      <c r="B20" s="558" t="s">
        <v>19</v>
      </c>
      <c r="C20" s="377"/>
      <c r="D20" s="34"/>
      <c r="E20" s="34"/>
    </row>
    <row r="21" spans="1:5" ht="19.5" thickBot="1">
      <c r="A21" s="557" t="s">
        <v>1254</v>
      </c>
      <c r="B21" s="558" t="s">
        <v>889</v>
      </c>
      <c r="C21" s="377"/>
      <c r="D21" s="34"/>
      <c r="E21" s="34">
        <v>70</v>
      </c>
    </row>
    <row r="22" spans="1:5" ht="19.5" thickBot="1">
      <c r="A22" s="568" t="s">
        <v>1330</v>
      </c>
      <c r="B22" s="569" t="s">
        <v>1247</v>
      </c>
      <c r="C22" s="377">
        <v>140</v>
      </c>
      <c r="D22" s="377"/>
      <c r="E22" s="377">
        <f>SUM(E18:E21)</f>
        <v>70</v>
      </c>
    </row>
    <row r="23" spans="1:5" ht="27" customHeight="1" thickBot="1">
      <c r="A23" s="268" t="s">
        <v>1250</v>
      </c>
      <c r="B23" s="269" t="s">
        <v>1237</v>
      </c>
      <c r="C23" s="379">
        <f>SUM(C22,C17)</f>
        <v>140</v>
      </c>
      <c r="D23" s="379">
        <f>SUM(D22,D17)</f>
        <v>0</v>
      </c>
      <c r="E23" s="379">
        <f>SUM(E22,E17)</f>
        <v>70</v>
      </c>
    </row>
    <row r="24" spans="1:5" ht="19.5" thickBot="1">
      <c r="A24" s="270"/>
      <c r="B24" s="271"/>
      <c r="C24" s="377"/>
      <c r="D24" s="34"/>
      <c r="E24" s="34"/>
    </row>
    <row r="25" spans="1:6" ht="18.75">
      <c r="A25" s="272" t="s">
        <v>1255</v>
      </c>
      <c r="B25" s="97" t="s">
        <v>590</v>
      </c>
      <c r="C25" s="275">
        <v>38</v>
      </c>
      <c r="D25" s="44"/>
      <c r="E25" s="118">
        <f>F25*27%</f>
        <v>18.900000000000002</v>
      </c>
      <c r="F25" s="21">
        <f>E16+E10+E8+E7+E6+E9+E22</f>
        <v>70</v>
      </c>
    </row>
    <row r="26" spans="1:5" ht="18.75">
      <c r="A26" s="559" t="s">
        <v>1256</v>
      </c>
      <c r="B26" s="97" t="s">
        <v>1251</v>
      </c>
      <c r="C26" s="275"/>
      <c r="D26" s="44"/>
      <c r="E26" s="34"/>
    </row>
    <row r="27" spans="1:6" ht="18.75">
      <c r="A27" s="276" t="s">
        <v>1252</v>
      </c>
      <c r="B27" s="255" t="s">
        <v>4</v>
      </c>
      <c r="C27" s="378"/>
      <c r="D27" s="34"/>
      <c r="E27" s="118">
        <f>F27*16.67%</f>
        <v>0</v>
      </c>
      <c r="F27" s="21">
        <f>E12+E13</f>
        <v>0</v>
      </c>
    </row>
    <row r="28" spans="1:5" ht="19.5" thickBot="1">
      <c r="A28" s="462" t="s">
        <v>1257</v>
      </c>
      <c r="B28" s="255" t="s">
        <v>635</v>
      </c>
      <c r="C28" s="378"/>
      <c r="D28" s="34"/>
      <c r="E28" s="118">
        <f>F27*19.34%</f>
        <v>0</v>
      </c>
    </row>
    <row r="29" spans="1:5" ht="19.5" thickBot="1">
      <c r="A29" s="582" t="s">
        <v>1258</v>
      </c>
      <c r="B29" s="583" t="s">
        <v>69</v>
      </c>
      <c r="C29" s="378">
        <f>SUM(C25:C28)</f>
        <v>38</v>
      </c>
      <c r="D29" s="378">
        <f>SUM(D25:D28)</f>
        <v>0</v>
      </c>
      <c r="E29" s="378">
        <f>SUM(E25:E28)</f>
        <v>18.900000000000002</v>
      </c>
    </row>
    <row r="30" spans="1:5" ht="19.5" thickBot="1">
      <c r="A30" s="282"/>
      <c r="B30" s="283"/>
      <c r="C30" s="377"/>
      <c r="D30" s="34"/>
      <c r="E30" s="34"/>
    </row>
    <row r="31" spans="1:5" ht="18.75">
      <c r="A31" s="249" t="s">
        <v>1259</v>
      </c>
      <c r="B31" s="291" t="s">
        <v>533</v>
      </c>
      <c r="C31" s="377"/>
      <c r="D31" s="34"/>
      <c r="E31" s="34"/>
    </row>
    <row r="32" spans="1:5" ht="18.75">
      <c r="A32" s="253" t="s">
        <v>1260</v>
      </c>
      <c r="B32" s="254" t="s">
        <v>534</v>
      </c>
      <c r="C32" s="377"/>
      <c r="D32" s="41"/>
      <c r="E32" s="34"/>
    </row>
    <row r="33" spans="1:5" ht="18.75">
      <c r="A33" s="253" t="s">
        <v>1262</v>
      </c>
      <c r="B33" s="254" t="s">
        <v>1261</v>
      </c>
      <c r="C33" s="377"/>
      <c r="D33" s="41"/>
      <c r="E33" s="34"/>
    </row>
    <row r="34" spans="1:5" ht="18.75">
      <c r="A34" s="253" t="s">
        <v>1263</v>
      </c>
      <c r="B34" s="254" t="s">
        <v>124</v>
      </c>
      <c r="C34" s="377"/>
      <c r="D34" s="41"/>
      <c r="E34" s="34"/>
    </row>
    <row r="35" spans="1:5" ht="18.75">
      <c r="A35" s="253" t="s">
        <v>1264</v>
      </c>
      <c r="B35" s="254" t="s">
        <v>1265</v>
      </c>
      <c r="C35" s="570"/>
      <c r="D35" s="41"/>
      <c r="E35" s="34"/>
    </row>
    <row r="36" spans="1:5" ht="18.75">
      <c r="A36" s="253" t="s">
        <v>1335</v>
      </c>
      <c r="B36" s="562" t="s">
        <v>548</v>
      </c>
      <c r="C36" s="570">
        <f>SUM(C31:C35)</f>
        <v>0</v>
      </c>
      <c r="D36" s="570">
        <f>SUM(D31:D35)</f>
        <v>0</v>
      </c>
      <c r="E36" s="570">
        <f>SUM(E31:E35)</f>
        <v>0</v>
      </c>
    </row>
    <row r="37" spans="1:5" ht="18.75">
      <c r="A37" s="253" t="s">
        <v>1342</v>
      </c>
      <c r="B37" s="254" t="s">
        <v>1343</v>
      </c>
      <c r="C37" s="570"/>
      <c r="D37" s="570"/>
      <c r="E37" s="570"/>
    </row>
    <row r="38" spans="1:5" ht="18.75">
      <c r="A38" s="253" t="s">
        <v>1344</v>
      </c>
      <c r="B38" s="254" t="s">
        <v>1267</v>
      </c>
      <c r="C38" s="570"/>
      <c r="D38" s="34"/>
      <c r="E38" s="34"/>
    </row>
    <row r="39" spans="1:5" ht="18.75">
      <c r="A39" s="253" t="s">
        <v>1345</v>
      </c>
      <c r="B39" s="254" t="s">
        <v>88</v>
      </c>
      <c r="C39" s="570"/>
      <c r="D39" s="34"/>
      <c r="E39" s="34"/>
    </row>
    <row r="40" spans="1:5" ht="18.75">
      <c r="A40" s="253" t="s">
        <v>1346</v>
      </c>
      <c r="B40" s="254" t="s">
        <v>1268</v>
      </c>
      <c r="C40" s="377">
        <v>20</v>
      </c>
      <c r="D40" s="34"/>
      <c r="E40" s="34">
        <v>20</v>
      </c>
    </row>
    <row r="41" spans="1:5" ht="19.5" thickBot="1">
      <c r="A41" s="288" t="s">
        <v>1347</v>
      </c>
      <c r="B41" s="289" t="s">
        <v>1269</v>
      </c>
      <c r="C41" s="377">
        <v>30</v>
      </c>
      <c r="D41" s="34">
        <v>5</v>
      </c>
      <c r="E41" s="34">
        <v>30</v>
      </c>
    </row>
    <row r="42" spans="1:5" ht="17.25" customHeight="1" thickBot="1">
      <c r="A42" s="268" t="s">
        <v>1266</v>
      </c>
      <c r="B42" s="571" t="s">
        <v>1270</v>
      </c>
      <c r="C42" s="377">
        <f>SUM(C37:C41)</f>
        <v>50</v>
      </c>
      <c r="D42" s="377">
        <f>SUM(D38:D41)</f>
        <v>5</v>
      </c>
      <c r="E42" s="377">
        <f>SUM(E38:E41)</f>
        <v>50</v>
      </c>
    </row>
    <row r="43" spans="1:5" ht="22.5" customHeight="1" thickBot="1">
      <c r="A43" s="572" t="s">
        <v>1300</v>
      </c>
      <c r="B43" s="573" t="s">
        <v>595</v>
      </c>
      <c r="C43" s="574">
        <f>SUM(C42,C36)</f>
        <v>50</v>
      </c>
      <c r="D43" s="574">
        <f>SUM(D42,D36)</f>
        <v>5</v>
      </c>
      <c r="E43" s="574">
        <f>SUM(E42,E36)</f>
        <v>50</v>
      </c>
    </row>
    <row r="44" spans="1:5" ht="18.75">
      <c r="A44" s="249" t="s">
        <v>1271</v>
      </c>
      <c r="B44" s="291" t="s">
        <v>1348</v>
      </c>
      <c r="C44" s="377"/>
      <c r="D44" s="34"/>
      <c r="E44" s="34"/>
    </row>
    <row r="45" spans="1:5" ht="18.75">
      <c r="A45" s="494" t="s">
        <v>1350</v>
      </c>
      <c r="B45" s="590" t="s">
        <v>1351</v>
      </c>
      <c r="C45" s="377"/>
      <c r="D45" s="34"/>
      <c r="E45" s="34"/>
    </row>
    <row r="46" spans="1:5" ht="18.75">
      <c r="A46" s="253" t="s">
        <v>1272</v>
      </c>
      <c r="B46" s="254" t="s">
        <v>1349</v>
      </c>
      <c r="C46" s="295"/>
      <c r="D46" s="566"/>
      <c r="E46" s="34"/>
    </row>
    <row r="47" spans="1:5" ht="18.75">
      <c r="A47" s="575" t="s">
        <v>1301</v>
      </c>
      <c r="B47" s="576" t="s">
        <v>1366</v>
      </c>
      <c r="C47" s="577">
        <f>SUM(C44:C46)</f>
        <v>0</v>
      </c>
      <c r="D47" s="577">
        <f>SUM(D44:D46)</f>
        <v>0</v>
      </c>
      <c r="E47" s="577">
        <f>SUM(E44:E46)</f>
        <v>0</v>
      </c>
    </row>
    <row r="48" spans="1:5" ht="18.75">
      <c r="A48" s="253" t="s">
        <v>1275</v>
      </c>
      <c r="B48" s="254" t="s">
        <v>544</v>
      </c>
      <c r="C48" s="295">
        <v>15</v>
      </c>
      <c r="D48" s="566">
        <v>5</v>
      </c>
      <c r="E48" s="34">
        <v>10</v>
      </c>
    </row>
    <row r="49" spans="1:5" ht="18.75">
      <c r="A49" s="253" t="s">
        <v>1274</v>
      </c>
      <c r="B49" s="254" t="s">
        <v>543</v>
      </c>
      <c r="C49" s="295"/>
      <c r="D49" s="34"/>
      <c r="E49" s="34"/>
    </row>
    <row r="50" spans="1:5" ht="18.75">
      <c r="A50" s="253" t="s">
        <v>1276</v>
      </c>
      <c r="B50" s="254" t="s">
        <v>503</v>
      </c>
      <c r="C50" s="295">
        <v>15</v>
      </c>
      <c r="D50" s="34">
        <v>4</v>
      </c>
      <c r="E50" s="34">
        <v>10</v>
      </c>
    </row>
    <row r="51" spans="1:5" ht="18.75">
      <c r="A51" s="575" t="s">
        <v>1273</v>
      </c>
      <c r="B51" s="576" t="s">
        <v>1277</v>
      </c>
      <c r="C51" s="577">
        <f>SUM(C48:C50)</f>
        <v>30</v>
      </c>
      <c r="D51" s="577">
        <f>SUM(D48:D50)</f>
        <v>9</v>
      </c>
      <c r="E51" s="577">
        <f>SUM(E48:E50)</f>
        <v>20</v>
      </c>
    </row>
    <row r="52" spans="1:5" ht="18.75">
      <c r="A52" s="253" t="s">
        <v>1332</v>
      </c>
      <c r="B52" s="254" t="s">
        <v>1278</v>
      </c>
      <c r="C52" s="295"/>
      <c r="D52" s="34"/>
      <c r="E52" s="34"/>
    </row>
    <row r="53" spans="1:5" ht="18.75">
      <c r="A53" s="253" t="s">
        <v>1280</v>
      </c>
      <c r="B53" s="254" t="s">
        <v>26</v>
      </c>
      <c r="C53" s="295">
        <v>30</v>
      </c>
      <c r="D53" s="41"/>
      <c r="E53" s="34">
        <v>30</v>
      </c>
    </row>
    <row r="54" spans="1:5" ht="18.75">
      <c r="A54" s="253" t="s">
        <v>1281</v>
      </c>
      <c r="B54" s="254" t="s">
        <v>1352</v>
      </c>
      <c r="C54" s="377"/>
      <c r="D54" s="34"/>
      <c r="E54" s="34"/>
    </row>
    <row r="55" spans="1:5" ht="18.75">
      <c r="A55" s="575" t="s">
        <v>1283</v>
      </c>
      <c r="B55" s="576" t="s">
        <v>1282</v>
      </c>
      <c r="C55" s="574">
        <f>SUM(C53:C54)</f>
        <v>30</v>
      </c>
      <c r="D55" s="574">
        <f>SUM(D53:D54)</f>
        <v>0</v>
      </c>
      <c r="E55" s="574">
        <f>SUM(E53:E54)</f>
        <v>30</v>
      </c>
    </row>
    <row r="56" spans="1:5" ht="18.75">
      <c r="A56" s="575" t="s">
        <v>1284</v>
      </c>
      <c r="B56" s="588" t="s">
        <v>1333</v>
      </c>
      <c r="C56" s="589"/>
      <c r="D56" s="589"/>
      <c r="E56" s="589"/>
    </row>
    <row r="57" spans="1:5" ht="18.75">
      <c r="A57" s="288"/>
      <c r="B57" s="554" t="s">
        <v>943</v>
      </c>
      <c r="C57" s="554"/>
      <c r="D57" s="554"/>
      <c r="E57" s="554"/>
    </row>
    <row r="58" spans="1:6" ht="18.75">
      <c r="A58" s="288" t="s">
        <v>1353</v>
      </c>
      <c r="B58" s="554" t="s">
        <v>547</v>
      </c>
      <c r="C58" s="554">
        <v>300</v>
      </c>
      <c r="D58" s="554">
        <v>10</v>
      </c>
      <c r="E58" s="554">
        <v>300</v>
      </c>
      <c r="F58" s="21" t="s">
        <v>1538</v>
      </c>
    </row>
    <row r="59" spans="1:5" ht="18.75">
      <c r="A59" s="288" t="s">
        <v>1354</v>
      </c>
      <c r="B59" s="554" t="s">
        <v>1355</v>
      </c>
      <c r="C59" s="554"/>
      <c r="D59" s="554"/>
      <c r="E59" s="554"/>
    </row>
    <row r="60" spans="1:5" ht="27" customHeight="1">
      <c r="A60" s="561" t="s">
        <v>1285</v>
      </c>
      <c r="B60" s="552" t="s">
        <v>945</v>
      </c>
      <c r="C60" s="591">
        <f>SUM(C58:C59)</f>
        <v>300</v>
      </c>
      <c r="D60" s="591">
        <f>SUM(D58:D59)</f>
        <v>10</v>
      </c>
      <c r="E60" s="591">
        <f>SUM(E58:E59)</f>
        <v>300</v>
      </c>
    </row>
    <row r="61" spans="1:5" ht="23.25" customHeight="1">
      <c r="A61" s="462" t="s">
        <v>1356</v>
      </c>
      <c r="B61" s="553" t="s">
        <v>1362</v>
      </c>
      <c r="C61" s="591"/>
      <c r="D61" s="591"/>
      <c r="E61" s="591"/>
    </row>
    <row r="62" spans="1:5" ht="23.25" customHeight="1">
      <c r="A62" s="462" t="s">
        <v>1357</v>
      </c>
      <c r="B62" s="553" t="s">
        <v>1358</v>
      </c>
      <c r="C62" s="591"/>
      <c r="D62" s="591"/>
      <c r="E62" s="591"/>
    </row>
    <row r="63" spans="1:5" ht="23.25" customHeight="1">
      <c r="A63" s="462" t="s">
        <v>1359</v>
      </c>
      <c r="B63" s="553" t="s">
        <v>9</v>
      </c>
      <c r="C63" s="591"/>
      <c r="D63" s="591"/>
      <c r="E63" s="591"/>
    </row>
    <row r="64" spans="1:6" ht="23.25" customHeight="1" thickBot="1">
      <c r="A64" s="462" t="s">
        <v>1360</v>
      </c>
      <c r="B64" s="553" t="s">
        <v>1361</v>
      </c>
      <c r="C64" s="591"/>
      <c r="D64" s="591"/>
      <c r="E64" s="591"/>
      <c r="F64" s="21" t="s">
        <v>1368</v>
      </c>
    </row>
    <row r="65" spans="1:5" ht="17.25" customHeight="1" thickBot="1">
      <c r="A65" s="298" t="s">
        <v>1286</v>
      </c>
      <c r="B65" s="552" t="s">
        <v>948</v>
      </c>
      <c r="C65" s="591">
        <f>SUM(C61:C64)</f>
        <v>0</v>
      </c>
      <c r="D65" s="591">
        <f>SUM(D61:D64)</f>
        <v>0</v>
      </c>
      <c r="E65" s="591">
        <f>SUM(E61:E64)</f>
        <v>0</v>
      </c>
    </row>
    <row r="66" spans="1:5" ht="25.5" customHeight="1">
      <c r="A66" s="578" t="s">
        <v>1279</v>
      </c>
      <c r="B66" s="579" t="s">
        <v>1287</v>
      </c>
      <c r="C66" s="603">
        <f>SUM(C65+C60+C56+C55+C52+C51)</f>
        <v>360</v>
      </c>
      <c r="D66" s="603">
        <f>SUM(D65+D60+D56+D55+D52+D51)</f>
        <v>19</v>
      </c>
      <c r="E66" s="603">
        <f>SUM(E65+E60+E56+E55+E52+E51)</f>
        <v>350</v>
      </c>
    </row>
    <row r="67" spans="1:5" ht="18.75">
      <c r="A67" s="253" t="s">
        <v>1288</v>
      </c>
      <c r="B67" s="553" t="s">
        <v>952</v>
      </c>
      <c r="C67" s="553"/>
      <c r="D67" s="553"/>
      <c r="E67" s="553"/>
    </row>
    <row r="68" spans="1:5" ht="18.75">
      <c r="A68" s="253" t="s">
        <v>1289</v>
      </c>
      <c r="B68" s="553" t="s">
        <v>954</v>
      </c>
      <c r="C68" s="553"/>
      <c r="D68" s="553"/>
      <c r="E68" s="553"/>
    </row>
    <row r="69" spans="1:5" ht="24" customHeight="1">
      <c r="A69" s="575" t="s">
        <v>1291</v>
      </c>
      <c r="B69" s="579" t="s">
        <v>1290</v>
      </c>
      <c r="C69" s="579">
        <f>SUM(C67:C68)</f>
        <v>0</v>
      </c>
      <c r="D69" s="579">
        <f>SUM(D67:D68)</f>
        <v>0</v>
      </c>
      <c r="E69" s="579">
        <f>SUM(E67:E68)</f>
        <v>0</v>
      </c>
    </row>
    <row r="70" spans="1:7" ht="26.25" customHeight="1" thickBot="1">
      <c r="A70" s="561" t="s">
        <v>1294</v>
      </c>
      <c r="B70" s="552" t="s">
        <v>958</v>
      </c>
      <c r="C70" s="552">
        <v>111</v>
      </c>
      <c r="D70" s="552">
        <v>21</v>
      </c>
      <c r="E70" s="552">
        <v>108</v>
      </c>
      <c r="F70" s="597">
        <f>E43+E47+E51+E55+E60</f>
        <v>400</v>
      </c>
      <c r="G70" s="21">
        <f>F70*27%</f>
        <v>108</v>
      </c>
    </row>
    <row r="71" spans="1:5" ht="27" customHeight="1" thickBot="1">
      <c r="A71" s="268" t="s">
        <v>1295</v>
      </c>
      <c r="B71" s="552" t="s">
        <v>960</v>
      </c>
      <c r="C71" s="552"/>
      <c r="D71" s="552"/>
      <c r="E71" s="552"/>
    </row>
    <row r="72" spans="1:5" ht="19.5" thickBot="1">
      <c r="A72" s="210" t="s">
        <v>1296</v>
      </c>
      <c r="B72" s="552" t="s">
        <v>1293</v>
      </c>
      <c r="C72" s="552"/>
      <c r="D72" s="552"/>
      <c r="E72" s="552"/>
    </row>
    <row r="73" spans="1:5" ht="24.75" customHeight="1">
      <c r="A73" s="593" t="s">
        <v>1298</v>
      </c>
      <c r="B73" s="594" t="s">
        <v>1363</v>
      </c>
      <c r="C73" s="594"/>
      <c r="D73" s="552"/>
      <c r="E73" s="552"/>
    </row>
    <row r="74" spans="1:6" ht="24.75" customHeight="1">
      <c r="A74" s="592" t="s">
        <v>1364</v>
      </c>
      <c r="B74" s="563" t="s">
        <v>1365</v>
      </c>
      <c r="C74" s="563"/>
      <c r="D74" s="553"/>
      <c r="E74" s="553"/>
      <c r="F74" s="21" t="s">
        <v>1369</v>
      </c>
    </row>
    <row r="75" spans="1:5" ht="24.75" customHeight="1">
      <c r="A75" s="592" t="s">
        <v>1370</v>
      </c>
      <c r="B75" s="563" t="s">
        <v>1367</v>
      </c>
      <c r="C75" s="563"/>
      <c r="D75" s="553"/>
      <c r="E75" s="553"/>
    </row>
    <row r="76" spans="1:5" ht="18.75">
      <c r="A76" s="98" t="s">
        <v>1297</v>
      </c>
      <c r="B76" s="552" t="s">
        <v>970</v>
      </c>
      <c r="C76" s="552">
        <f>SUM(C74:C75)</f>
        <v>0</v>
      </c>
      <c r="D76" s="552">
        <f>SUM(D74:D75)</f>
        <v>0</v>
      </c>
      <c r="E76" s="552">
        <f>SUM(E74:E75)</f>
        <v>0</v>
      </c>
    </row>
    <row r="77" spans="1:5" ht="24.75" customHeight="1">
      <c r="A77" s="580" t="s">
        <v>1292</v>
      </c>
      <c r="B77" s="579" t="s">
        <v>1334</v>
      </c>
      <c r="C77" s="579">
        <f>C76+C73+C72+C71+C70</f>
        <v>111</v>
      </c>
      <c r="D77" s="579">
        <f>D76+D73+D72+D71+D70</f>
        <v>21</v>
      </c>
      <c r="E77" s="579">
        <f>E76+E73+E72+E71+E70</f>
        <v>108</v>
      </c>
    </row>
    <row r="78" spans="1:10" ht="24.75" customHeight="1">
      <c r="A78" s="587" t="s">
        <v>1299</v>
      </c>
      <c r="B78" s="585" t="s">
        <v>70</v>
      </c>
      <c r="C78" s="579">
        <f>SUM(C77+C69+C66+C47+C43)</f>
        <v>521</v>
      </c>
      <c r="D78" s="579">
        <f>SUM(D77+D69+D66+D47+D43)</f>
        <v>45</v>
      </c>
      <c r="E78" s="579">
        <f>SUM(E77+E69+E66+E47+E43)</f>
        <v>508</v>
      </c>
      <c r="F78" s="560"/>
      <c r="G78" s="560"/>
      <c r="H78" s="560"/>
      <c r="I78" s="560"/>
      <c r="J78" s="560"/>
    </row>
    <row r="79" spans="1:10" ht="24.75" customHeight="1">
      <c r="A79" s="98" t="s">
        <v>1307</v>
      </c>
      <c r="B79" s="553" t="s">
        <v>1302</v>
      </c>
      <c r="C79" s="552"/>
      <c r="D79" s="552"/>
      <c r="E79" s="552"/>
      <c r="F79" s="560"/>
      <c r="G79" s="560"/>
      <c r="H79" s="560"/>
      <c r="I79" s="560"/>
      <c r="J79" s="560"/>
    </row>
    <row r="80" spans="1:10" ht="24.75" customHeight="1">
      <c r="A80" s="98" t="s">
        <v>1306</v>
      </c>
      <c r="B80" s="553" t="s">
        <v>1308</v>
      </c>
      <c r="C80" s="552"/>
      <c r="D80" s="552"/>
      <c r="E80" s="552"/>
      <c r="F80" s="560"/>
      <c r="G80" s="560"/>
      <c r="H80" s="560"/>
      <c r="I80" s="560"/>
      <c r="J80" s="560"/>
    </row>
    <row r="81" spans="1:10" ht="24.75" customHeight="1">
      <c r="A81" s="98"/>
      <c r="B81" s="97" t="s">
        <v>1304</v>
      </c>
      <c r="C81" s="552"/>
      <c r="D81" s="552"/>
      <c r="E81" s="552"/>
      <c r="F81" s="560"/>
      <c r="G81" s="560"/>
      <c r="H81" s="560"/>
      <c r="I81" s="560"/>
      <c r="J81" s="560"/>
    </row>
    <row r="82" spans="1:5" ht="18.75">
      <c r="A82" s="98"/>
      <c r="B82" s="97" t="s">
        <v>1303</v>
      </c>
      <c r="C82" s="377"/>
      <c r="D82" s="34"/>
      <c r="E82" s="34"/>
    </row>
    <row r="83" spans="1:5" ht="18.75">
      <c r="A83" s="98"/>
      <c r="B83" s="567" t="s">
        <v>1305</v>
      </c>
      <c r="C83" s="377"/>
      <c r="D83" s="34"/>
      <c r="E83" s="34"/>
    </row>
    <row r="84" spans="1:5" ht="25.5">
      <c r="A84" s="580" t="s">
        <v>1341</v>
      </c>
      <c r="B84" s="579" t="s">
        <v>1337</v>
      </c>
      <c r="C84" s="377">
        <f>SUM(C80:C83)</f>
        <v>0</v>
      </c>
      <c r="D84" s="377">
        <f>SUM(D80:D83)</f>
        <v>0</v>
      </c>
      <c r="E84" s="377">
        <f>SUM(E80:E83)</f>
        <v>0</v>
      </c>
    </row>
    <row r="85" spans="1:5" s="564" customFormat="1" ht="18.75">
      <c r="A85" s="587" t="s">
        <v>1336</v>
      </c>
      <c r="B85" s="587" t="s">
        <v>1340</v>
      </c>
      <c r="C85" s="574">
        <f>SUM(C79+C84)</f>
        <v>0</v>
      </c>
      <c r="D85" s="574">
        <f>SUM(D79+D84)</f>
        <v>0</v>
      </c>
      <c r="E85" s="574">
        <f>SUM(E79+E84)</f>
        <v>0</v>
      </c>
    </row>
    <row r="86" spans="1:5" ht="18.75">
      <c r="A86" s="97" t="s">
        <v>1309</v>
      </c>
      <c r="B86" s="553" t="s">
        <v>1113</v>
      </c>
      <c r="C86" s="553"/>
      <c r="D86" s="553"/>
      <c r="E86" s="553"/>
    </row>
    <row r="87" spans="1:5" s="382" customFormat="1" ht="15">
      <c r="A87" s="97" t="s">
        <v>1310</v>
      </c>
      <c r="B87" s="553" t="s">
        <v>1371</v>
      </c>
      <c r="C87" s="553"/>
      <c r="D87" s="553"/>
      <c r="E87" s="553"/>
    </row>
    <row r="88" spans="1:5" ht="18.75">
      <c r="A88" s="172" t="s">
        <v>1311</v>
      </c>
      <c r="B88" s="553" t="s">
        <v>1117</v>
      </c>
      <c r="C88" s="553"/>
      <c r="D88" s="553"/>
      <c r="E88" s="553"/>
    </row>
    <row r="89" spans="1:5" ht="24" customHeight="1">
      <c r="A89" s="172" t="s">
        <v>1312</v>
      </c>
      <c r="B89" s="553" t="s">
        <v>1118</v>
      </c>
      <c r="C89" s="553"/>
      <c r="D89" s="553"/>
      <c r="E89" s="553"/>
    </row>
    <row r="90" spans="1:5" ht="26.25" customHeight="1">
      <c r="A90" s="172" t="s">
        <v>1313</v>
      </c>
      <c r="B90" s="553" t="s">
        <v>1120</v>
      </c>
      <c r="C90" s="553"/>
      <c r="D90" s="553"/>
      <c r="E90" s="553"/>
    </row>
    <row r="91" spans="1:5" ht="25.5" customHeight="1">
      <c r="A91" s="172" t="s">
        <v>1314</v>
      </c>
      <c r="B91" s="553" t="s">
        <v>1126</v>
      </c>
      <c r="C91" s="553"/>
      <c r="D91" s="553"/>
      <c r="E91" s="553"/>
    </row>
    <row r="92" spans="1:5" ht="18.75">
      <c r="A92" s="584" t="s">
        <v>1315</v>
      </c>
      <c r="B92" s="585" t="s">
        <v>1339</v>
      </c>
      <c r="C92" s="552">
        <f>SUM(C86:C91)</f>
        <v>0</v>
      </c>
      <c r="D92" s="552">
        <f>SUM(D86:D91)</f>
        <v>0</v>
      </c>
      <c r="E92" s="552">
        <f>SUM(E86:E91)</f>
        <v>0</v>
      </c>
    </row>
    <row r="93" spans="1:6" ht="18.75">
      <c r="A93" s="172" t="s">
        <v>1316</v>
      </c>
      <c r="B93" s="553" t="s">
        <v>1130</v>
      </c>
      <c r="C93" s="553"/>
      <c r="D93" s="553"/>
      <c r="E93" s="553">
        <v>607</v>
      </c>
      <c r="F93" s="21" t="s">
        <v>1571</v>
      </c>
    </row>
    <row r="94" spans="1:5" ht="18.75">
      <c r="A94" s="172" t="s">
        <v>1317</v>
      </c>
      <c r="B94" s="553" t="s">
        <v>1132</v>
      </c>
      <c r="C94" s="553"/>
      <c r="D94" s="553"/>
      <c r="E94" s="553"/>
    </row>
    <row r="95" spans="1:5" ht="18.75">
      <c r="A95" s="172" t="s">
        <v>1318</v>
      </c>
      <c r="B95" s="553" t="s">
        <v>1134</v>
      </c>
      <c r="C95" s="553"/>
      <c r="D95" s="553"/>
      <c r="E95" s="553"/>
    </row>
    <row r="96" spans="1:5" ht="24" customHeight="1">
      <c r="A96" s="172" t="s">
        <v>1319</v>
      </c>
      <c r="B96" s="553" t="s">
        <v>1136</v>
      </c>
      <c r="C96" s="553"/>
      <c r="D96" s="553"/>
      <c r="E96" s="553">
        <v>164</v>
      </c>
    </row>
    <row r="97" spans="1:5" ht="18.75">
      <c r="A97" s="584" t="s">
        <v>1320</v>
      </c>
      <c r="B97" s="585" t="s">
        <v>1338</v>
      </c>
      <c r="C97" s="552">
        <f>SUM(C93:C96)</f>
        <v>0</v>
      </c>
      <c r="D97" s="552">
        <f>SUM(D93:D96)</f>
        <v>0</v>
      </c>
      <c r="E97" s="552">
        <f>SUM(E93:E96)</f>
        <v>771</v>
      </c>
    </row>
    <row r="98" spans="1:5" ht="25.5" customHeight="1">
      <c r="A98" s="172" t="s">
        <v>1323</v>
      </c>
      <c r="B98" s="555" t="s">
        <v>1325</v>
      </c>
      <c r="C98" s="555"/>
      <c r="D98" s="555"/>
      <c r="E98" s="555"/>
    </row>
    <row r="99" spans="1:5" ht="27" customHeight="1">
      <c r="A99" s="457" t="s">
        <v>1322</v>
      </c>
      <c r="B99" s="553" t="s">
        <v>1321</v>
      </c>
      <c r="C99" s="553"/>
      <c r="D99" s="553"/>
      <c r="E99" s="553"/>
    </row>
    <row r="100" spans="1:5" ht="18.75">
      <c r="A100" s="584" t="s">
        <v>1326</v>
      </c>
      <c r="B100" s="586" t="s">
        <v>1324</v>
      </c>
      <c r="C100" s="295">
        <f>SUM(C98:C99)</f>
        <v>0</v>
      </c>
      <c r="D100" s="295">
        <f>SUM(D98:D99)</f>
        <v>0</v>
      </c>
      <c r="E100" s="295">
        <f>SUM(E98:E99)</f>
        <v>0</v>
      </c>
    </row>
    <row r="101" spans="1:5" ht="18.75">
      <c r="A101" s="34"/>
      <c r="B101" s="36" t="s">
        <v>118</v>
      </c>
      <c r="C101" s="581">
        <f>SUM(C100+C97+C92+C85+C78+C29+C23)</f>
        <v>699</v>
      </c>
      <c r="D101" s="581">
        <f>SUM(D100+D97+D92+D85+D78+D29+D23)</f>
        <v>45</v>
      </c>
      <c r="E101" s="581">
        <f>SUM(E100+E97+E92+E85+E78+E29+E23)</f>
        <v>1367.9</v>
      </c>
    </row>
  </sheetData>
  <sheetProtection/>
  <mergeCells count="1">
    <mergeCell ref="A2:E2"/>
  </mergeCells>
  <printOptions/>
  <pageMargins left="0.7" right="0.7" top="0.75" bottom="0.75" header="0.3" footer="0.3"/>
  <pageSetup orientation="portrait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3">
      <selection activeCell="G44" sqref="G44"/>
    </sheetView>
  </sheetViews>
  <sheetFormatPr defaultColWidth="8.66015625" defaultRowHeight="18"/>
  <cols>
    <col min="1" max="1" width="23.41015625" style="83" customWidth="1"/>
    <col min="2" max="2" width="10.41015625" style="83" customWidth="1"/>
    <col min="3" max="3" width="6.58203125" style="83" customWidth="1"/>
    <col min="4" max="16384" width="8.91015625" style="83" customWidth="1"/>
  </cols>
  <sheetData>
    <row r="1" spans="1:6" ht="15.75">
      <c r="A1" s="47" t="s">
        <v>1563</v>
      </c>
      <c r="B1" s="35"/>
      <c r="C1" s="35"/>
      <c r="D1" s="35"/>
      <c r="E1" s="35"/>
      <c r="F1" s="35"/>
    </row>
    <row r="2" spans="1:6" ht="15.75">
      <c r="A2" s="35" t="s">
        <v>57</v>
      </c>
      <c r="B2" s="35"/>
      <c r="C2" s="35"/>
      <c r="D2" s="35"/>
      <c r="E2" s="35"/>
      <c r="F2" s="35"/>
    </row>
    <row r="3" spans="1:6" ht="15.75">
      <c r="A3" s="35" t="s">
        <v>1434</v>
      </c>
      <c r="B3" s="35"/>
      <c r="C3" s="35" t="s">
        <v>1444</v>
      </c>
      <c r="D3" s="35"/>
      <c r="E3" s="35"/>
      <c r="F3" s="35"/>
    </row>
    <row r="4" spans="1:6" ht="15.75">
      <c r="A4" s="35" t="s">
        <v>1435</v>
      </c>
      <c r="B4" s="35" t="s">
        <v>1436</v>
      </c>
      <c r="C4" s="35">
        <v>146</v>
      </c>
      <c r="D4" s="35"/>
      <c r="E4" s="35"/>
      <c r="F4" s="35"/>
    </row>
    <row r="5" spans="1:6" ht="15.75">
      <c r="A5" s="35"/>
      <c r="B5" s="35" t="s">
        <v>1437</v>
      </c>
      <c r="C5" s="35">
        <v>255</v>
      </c>
      <c r="D5" s="35"/>
      <c r="E5" s="35"/>
      <c r="F5" s="35"/>
    </row>
    <row r="6" spans="1:6" ht="15.75">
      <c r="A6" s="35" t="s">
        <v>1438</v>
      </c>
      <c r="B6" s="35" t="s">
        <v>1439</v>
      </c>
      <c r="C6" s="35">
        <v>130</v>
      </c>
      <c r="D6" s="35"/>
      <c r="E6" s="35"/>
      <c r="F6" s="35"/>
    </row>
    <row r="7" spans="1:6" ht="15.75">
      <c r="A7" s="35"/>
      <c r="B7" s="35" t="s">
        <v>1440</v>
      </c>
      <c r="C7" s="35">
        <v>101</v>
      </c>
      <c r="D7" s="35"/>
      <c r="E7" s="35"/>
      <c r="F7" s="35"/>
    </row>
    <row r="8" spans="1:6" ht="15.75">
      <c r="A8" s="35" t="s">
        <v>1441</v>
      </c>
      <c r="B8" s="35" t="s">
        <v>1442</v>
      </c>
      <c r="C8" s="35">
        <v>130</v>
      </c>
      <c r="D8" s="35"/>
      <c r="E8" s="35"/>
      <c r="F8" s="35"/>
    </row>
    <row r="9" spans="1:6" ht="15.75">
      <c r="A9" s="35" t="s">
        <v>1443</v>
      </c>
      <c r="B9" s="35" t="s">
        <v>1437</v>
      </c>
      <c r="C9" s="35">
        <v>255</v>
      </c>
      <c r="D9" s="35"/>
      <c r="E9" s="35"/>
      <c r="F9" s="35"/>
    </row>
    <row r="10" spans="1:6" ht="15.75">
      <c r="A10" s="35"/>
      <c r="B10" s="35"/>
      <c r="C10" s="35">
        <f>SUM(C4:C9)</f>
        <v>1017</v>
      </c>
      <c r="D10" s="35"/>
      <c r="E10" s="35"/>
      <c r="F10" s="35"/>
    </row>
    <row r="11" spans="1:6" ht="15.75">
      <c r="A11" s="35" t="s">
        <v>1555</v>
      </c>
      <c r="B11" s="35"/>
      <c r="C11" s="35"/>
      <c r="D11" s="35"/>
      <c r="E11" s="35"/>
      <c r="F11" s="35"/>
    </row>
    <row r="12" spans="1:6" ht="15.75">
      <c r="A12" s="35" t="s">
        <v>1556</v>
      </c>
      <c r="B12" s="35"/>
      <c r="C12" s="35"/>
      <c r="D12" s="35"/>
      <c r="E12" s="35"/>
      <c r="F12" s="35"/>
    </row>
    <row r="13" spans="1:6" ht="15.75">
      <c r="A13" s="35" t="s">
        <v>1557</v>
      </c>
      <c r="B13" s="35"/>
      <c r="C13" s="35"/>
      <c r="D13" s="35"/>
      <c r="E13" s="35"/>
      <c r="F13" s="35"/>
    </row>
    <row r="14" spans="1:6" ht="15.75">
      <c r="A14" s="35" t="s">
        <v>1573</v>
      </c>
      <c r="B14" s="35"/>
      <c r="C14" s="35"/>
      <c r="D14" s="35"/>
      <c r="E14" s="35"/>
      <c r="F14" s="35"/>
    </row>
    <row r="15" spans="1:6" ht="15.75">
      <c r="A15" s="35" t="s">
        <v>1558</v>
      </c>
      <c r="B15" s="35"/>
      <c r="C15" s="35"/>
      <c r="D15" s="35"/>
      <c r="E15" s="35"/>
      <c r="F15" s="35"/>
    </row>
    <row r="16" spans="1:6" ht="15.75">
      <c r="A16" s="35" t="s">
        <v>1570</v>
      </c>
      <c r="B16" s="35"/>
      <c r="C16" s="35"/>
      <c r="D16" s="35"/>
      <c r="E16" s="35"/>
      <c r="F16" s="35"/>
    </row>
    <row r="17" spans="1:6" ht="15.75">
      <c r="A17" s="35" t="s">
        <v>1564</v>
      </c>
      <c r="B17" s="35"/>
      <c r="C17" s="35"/>
      <c r="D17" s="35"/>
      <c r="E17" s="35"/>
      <c r="F17" s="35"/>
    </row>
    <row r="18" spans="1:6" ht="15.75">
      <c r="A18" s="35" t="s">
        <v>1450</v>
      </c>
      <c r="B18" s="35"/>
      <c r="C18" s="35">
        <v>300</v>
      </c>
      <c r="D18" s="35"/>
      <c r="E18" s="35"/>
      <c r="F18" s="35"/>
    </row>
    <row r="19" spans="1:6" ht="15.75">
      <c r="A19" s="35" t="s">
        <v>1572</v>
      </c>
      <c r="B19" s="35"/>
      <c r="C19" s="35">
        <v>130</v>
      </c>
      <c r="D19" s="35"/>
      <c r="E19" s="35"/>
      <c r="F19" s="35"/>
    </row>
    <row r="20" spans="1:6" ht="15.75">
      <c r="A20" s="619" t="s">
        <v>1565</v>
      </c>
      <c r="B20" s="619" t="s">
        <v>1552</v>
      </c>
      <c r="C20" s="619">
        <v>2286</v>
      </c>
      <c r="D20" s="35"/>
      <c r="E20" s="35"/>
      <c r="F20" s="35"/>
    </row>
    <row r="21" spans="1:6" ht="15.75">
      <c r="A21" s="619" t="s">
        <v>1553</v>
      </c>
      <c r="B21" s="619"/>
      <c r="C21" s="619">
        <v>2731</v>
      </c>
      <c r="D21" s="35"/>
      <c r="E21" s="35" t="s">
        <v>1554</v>
      </c>
      <c r="F21" s="35"/>
    </row>
    <row r="22" spans="1:6" ht="15.75">
      <c r="A22" s="619" t="s">
        <v>1578</v>
      </c>
      <c r="B22" s="619"/>
      <c r="C22" s="619">
        <v>2884</v>
      </c>
      <c r="D22" s="35"/>
      <c r="E22" s="35"/>
      <c r="F22" s="35"/>
    </row>
    <row r="23" spans="1:6" ht="15.75">
      <c r="A23" s="35"/>
      <c r="B23" s="35"/>
      <c r="C23" s="35"/>
      <c r="D23" s="35"/>
      <c r="E23" s="35"/>
      <c r="F23" s="35"/>
    </row>
    <row r="24" spans="1:6" ht="15.75">
      <c r="A24" s="47" t="s">
        <v>294</v>
      </c>
      <c r="B24" s="35"/>
      <c r="C24" s="35"/>
      <c r="D24" s="35"/>
      <c r="E24" s="35"/>
      <c r="F24" s="35"/>
    </row>
    <row r="25" spans="1:6" ht="15.75">
      <c r="A25" s="35" t="s">
        <v>1451</v>
      </c>
      <c r="B25" s="35"/>
      <c r="C25" s="35"/>
      <c r="D25" s="35"/>
      <c r="E25" s="35"/>
      <c r="F25" s="35"/>
    </row>
    <row r="26" spans="1:6" ht="15.75">
      <c r="A26" s="35" t="s">
        <v>1452</v>
      </c>
      <c r="B26" s="35"/>
      <c r="C26" s="35">
        <v>230</v>
      </c>
      <c r="D26" s="35"/>
      <c r="E26" s="35"/>
      <c r="F26" s="35"/>
    </row>
    <row r="27" spans="1:6" ht="15.75">
      <c r="A27" s="35" t="s">
        <v>1574</v>
      </c>
      <c r="B27" s="35"/>
      <c r="C27" s="35"/>
      <c r="D27" s="35"/>
      <c r="E27" s="35"/>
      <c r="F27" s="35"/>
    </row>
    <row r="28" spans="1:6" ht="15.75">
      <c r="A28" s="35" t="s">
        <v>1577</v>
      </c>
      <c r="B28" s="35"/>
      <c r="C28" s="35"/>
      <c r="D28" s="35"/>
      <c r="E28" s="35"/>
      <c r="F28" s="35"/>
    </row>
    <row r="29" spans="1:6" ht="15.75">
      <c r="A29" s="619" t="s">
        <v>1582</v>
      </c>
      <c r="B29" s="619"/>
      <c r="C29" s="619">
        <v>771</v>
      </c>
      <c r="D29" s="35"/>
      <c r="E29" s="35"/>
      <c r="F29" s="35"/>
    </row>
    <row r="30" spans="1:6" ht="15.75">
      <c r="A30" s="619" t="s">
        <v>1567</v>
      </c>
      <c r="B30" s="619"/>
      <c r="C30" s="619">
        <v>400</v>
      </c>
      <c r="D30" s="35"/>
      <c r="E30" s="35"/>
      <c r="F30" s="35"/>
    </row>
    <row r="31" spans="1:6" ht="15.75">
      <c r="A31" s="35" t="s">
        <v>1453</v>
      </c>
      <c r="B31" s="35"/>
      <c r="C31" s="35"/>
      <c r="D31" s="35"/>
      <c r="E31" s="35"/>
      <c r="F31" s="35"/>
    </row>
    <row r="32" spans="1:6" ht="15.75">
      <c r="A32" s="35" t="s">
        <v>1576</v>
      </c>
      <c r="B32" s="35"/>
      <c r="C32" s="35">
        <v>60</v>
      </c>
      <c r="D32" s="35"/>
      <c r="E32" s="35"/>
      <c r="F32" s="35"/>
    </row>
    <row r="33" spans="1:6" ht="15.75">
      <c r="A33" s="35"/>
      <c r="B33" s="35"/>
      <c r="C33" s="35"/>
      <c r="D33" s="35"/>
      <c r="E33" s="35"/>
      <c r="F33" s="35"/>
    </row>
    <row r="34" spans="1:6" ht="15.75">
      <c r="A34" s="35"/>
      <c r="B34" s="35"/>
      <c r="C34" s="35"/>
      <c r="D34" s="35"/>
      <c r="E34" s="35"/>
      <c r="F34" s="35"/>
    </row>
    <row r="35" spans="1:6" ht="15.75">
      <c r="A35" s="35" t="s">
        <v>1550</v>
      </c>
      <c r="B35" s="35"/>
      <c r="C35" s="35"/>
      <c r="D35" s="35"/>
      <c r="E35" s="35"/>
      <c r="F35" s="35"/>
    </row>
    <row r="36" spans="1:6" s="618" customFormat="1" ht="15.75">
      <c r="A36" s="619" t="s">
        <v>1551</v>
      </c>
      <c r="B36" s="619"/>
      <c r="C36" s="619">
        <v>901</v>
      </c>
      <c r="D36" s="619"/>
      <c r="E36" s="619"/>
      <c r="F36" s="619"/>
    </row>
    <row r="37" spans="1:6" ht="15.75">
      <c r="A37" s="35" t="s">
        <v>1575</v>
      </c>
      <c r="B37" s="35"/>
      <c r="C37" s="35"/>
      <c r="D37" s="35"/>
      <c r="E37" s="35"/>
      <c r="F37" s="35"/>
    </row>
    <row r="38" spans="1:6" ht="15.75">
      <c r="A38" s="35" t="s">
        <v>1561</v>
      </c>
      <c r="B38" s="35"/>
      <c r="C38" s="35"/>
      <c r="D38" s="35"/>
      <c r="E38" s="35"/>
      <c r="F38" s="35"/>
    </row>
    <row r="39" spans="1:6" ht="15.75">
      <c r="A39" s="35" t="s">
        <v>1562</v>
      </c>
      <c r="B39" s="35"/>
      <c r="C39" s="35"/>
      <c r="D39" s="35"/>
      <c r="E39" s="35"/>
      <c r="F39" s="35"/>
    </row>
    <row r="40" spans="1:6" ht="15.75">
      <c r="A40" s="35"/>
      <c r="B40" s="35"/>
      <c r="C40" s="35"/>
      <c r="D40" s="35"/>
      <c r="E40" s="35"/>
      <c r="F40" s="35"/>
    </row>
    <row r="41" spans="1:6" ht="15.75">
      <c r="A41" s="35" t="s">
        <v>1559</v>
      </c>
      <c r="B41" s="35"/>
      <c r="C41" s="35"/>
      <c r="D41" s="35"/>
      <c r="E41" s="35"/>
      <c r="F41" s="35"/>
    </row>
    <row r="42" spans="1:6" s="618" customFormat="1" ht="15.75">
      <c r="A42" s="619" t="s">
        <v>1560</v>
      </c>
      <c r="B42" s="619"/>
      <c r="C42" s="619">
        <v>800</v>
      </c>
      <c r="D42" s="619"/>
      <c r="E42" s="619"/>
      <c r="F42" s="619"/>
    </row>
    <row r="43" spans="1:6" ht="15.75">
      <c r="A43" s="35"/>
      <c r="B43" s="35"/>
      <c r="C43" s="35"/>
      <c r="D43" s="35"/>
      <c r="E43" s="35"/>
      <c r="F43" s="35"/>
    </row>
    <row r="44" spans="1:6" ht="15.75">
      <c r="A44" s="35"/>
      <c r="B44" s="35"/>
      <c r="C44" s="35"/>
      <c r="D44" s="35"/>
      <c r="E44" s="35"/>
      <c r="F44" s="3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2:J101"/>
  <sheetViews>
    <sheetView zoomScalePageLayoutView="0" workbookViewId="0" topLeftCell="A85">
      <selection activeCell="E91" sqref="E91"/>
    </sheetView>
  </sheetViews>
  <sheetFormatPr defaultColWidth="8.41015625" defaultRowHeight="18"/>
  <cols>
    <col min="1" max="1" width="8.41015625" style="21" customWidth="1"/>
    <col min="2" max="2" width="29.41015625" style="21" customWidth="1"/>
    <col min="3" max="3" width="8" style="382" customWidth="1"/>
    <col min="4" max="4" width="7.33203125" style="21" customWidth="1"/>
    <col min="5" max="5" width="7.75" style="21" customWidth="1"/>
    <col min="6" max="249" width="7.08203125" style="21" customWidth="1"/>
    <col min="250" max="16384" width="8.41015625" style="21" customWidth="1"/>
  </cols>
  <sheetData>
    <row r="2" spans="1:5" ht="18.75">
      <c r="A2" s="620" t="s">
        <v>1331</v>
      </c>
      <c r="B2" s="620"/>
      <c r="C2" s="620"/>
      <c r="D2" s="620"/>
      <c r="E2" s="620"/>
    </row>
    <row r="3" ht="19.5" thickBot="1">
      <c r="C3" s="243"/>
    </row>
    <row r="4" spans="1:5" ht="19.5" thickBot="1">
      <c r="A4" s="244">
        <v>370000</v>
      </c>
      <c r="B4" s="245" t="s">
        <v>1372</v>
      </c>
      <c r="C4" s="421" t="s">
        <v>616</v>
      </c>
      <c r="D4" s="41" t="s">
        <v>626</v>
      </c>
      <c r="E4" s="34">
        <v>2016</v>
      </c>
    </row>
    <row r="5" spans="1:5" ht="19.5" thickBot="1">
      <c r="A5" s="210" t="s">
        <v>1375</v>
      </c>
      <c r="B5" s="210"/>
      <c r="C5" s="295"/>
      <c r="D5" s="34"/>
      <c r="E5" s="34"/>
    </row>
    <row r="6" spans="1:5" ht="18.75">
      <c r="A6" s="249" t="s">
        <v>819</v>
      </c>
      <c r="B6" s="250" t="s">
        <v>1238</v>
      </c>
      <c r="C6" s="376"/>
      <c r="D6" s="565"/>
      <c r="E6" s="565"/>
    </row>
    <row r="7" spans="1:5" ht="18.75">
      <c r="A7" s="253" t="s">
        <v>822</v>
      </c>
      <c r="B7" s="254" t="s">
        <v>821</v>
      </c>
      <c r="C7" s="377"/>
      <c r="D7" s="34"/>
      <c r="E7" s="34"/>
    </row>
    <row r="8" spans="1:5" ht="18.75">
      <c r="A8" s="253" t="s">
        <v>823</v>
      </c>
      <c r="B8" s="254" t="s">
        <v>820</v>
      </c>
      <c r="C8" s="377"/>
      <c r="D8" s="34"/>
      <c r="E8" s="381"/>
    </row>
    <row r="9" spans="1:5" ht="18.75">
      <c r="A9" s="253" t="s">
        <v>825</v>
      </c>
      <c r="B9" s="254" t="s">
        <v>824</v>
      </c>
      <c r="C9" s="377"/>
      <c r="D9" s="34"/>
      <c r="E9" s="34"/>
    </row>
    <row r="10" spans="1:5" ht="18.75">
      <c r="A10" s="253" t="s">
        <v>826</v>
      </c>
      <c r="B10" s="260" t="s">
        <v>1239</v>
      </c>
      <c r="C10" s="377"/>
      <c r="D10" s="34"/>
      <c r="E10" s="34"/>
    </row>
    <row r="11" spans="1:5" ht="18.75">
      <c r="A11" s="253" t="s">
        <v>1233</v>
      </c>
      <c r="B11" s="260" t="s">
        <v>1240</v>
      </c>
      <c r="C11" s="378"/>
      <c r="D11" s="34"/>
      <c r="E11" s="34"/>
    </row>
    <row r="12" spans="1:5" ht="18.75">
      <c r="A12" s="253" t="s">
        <v>1241</v>
      </c>
      <c r="B12" s="262" t="s">
        <v>1234</v>
      </c>
      <c r="C12" s="377"/>
      <c r="D12" s="34"/>
      <c r="E12" s="34"/>
    </row>
    <row r="13" spans="1:5" ht="18.75">
      <c r="A13" s="253" t="s">
        <v>1242</v>
      </c>
      <c r="B13" s="262" t="s">
        <v>1235</v>
      </c>
      <c r="C13" s="377"/>
      <c r="D13" s="34"/>
      <c r="E13" s="34"/>
    </row>
    <row r="14" spans="1:5" ht="18.75">
      <c r="A14" s="253" t="s">
        <v>1243</v>
      </c>
      <c r="B14" s="254" t="s">
        <v>528</v>
      </c>
      <c r="C14" s="377"/>
      <c r="D14" s="34"/>
      <c r="E14" s="34"/>
    </row>
    <row r="15" spans="1:5" ht="18.75">
      <c r="A15" s="253" t="s">
        <v>1244</v>
      </c>
      <c r="B15" s="254" t="s">
        <v>1236</v>
      </c>
      <c r="C15" s="377"/>
      <c r="D15" s="34"/>
      <c r="E15" s="34"/>
    </row>
    <row r="16" spans="1:5" ht="19.5" thickBot="1">
      <c r="A16" s="264" t="s">
        <v>1245</v>
      </c>
      <c r="B16" s="265" t="s">
        <v>791</v>
      </c>
      <c r="C16" s="377"/>
      <c r="D16" s="34"/>
      <c r="E16" s="34"/>
    </row>
    <row r="17" spans="1:5" ht="19.5" thickBot="1">
      <c r="A17" s="568" t="s">
        <v>1327</v>
      </c>
      <c r="B17" s="569" t="s">
        <v>1249</v>
      </c>
      <c r="C17" s="379">
        <f>SUM(C6:C16)</f>
        <v>0</v>
      </c>
      <c r="D17" s="379">
        <f>SUM(D6:D16)</f>
        <v>0</v>
      </c>
      <c r="E17" s="379">
        <f>SUM(E6:E16)</f>
        <v>0</v>
      </c>
    </row>
    <row r="18" spans="1:5" ht="19.5" thickBot="1">
      <c r="A18" s="557" t="s">
        <v>1329</v>
      </c>
      <c r="B18" s="558" t="s">
        <v>1248</v>
      </c>
      <c r="C18" s="377"/>
      <c r="D18" s="34"/>
      <c r="E18" s="34"/>
    </row>
    <row r="19" spans="1:5" ht="19.5" thickBot="1">
      <c r="A19" s="557" t="s">
        <v>1328</v>
      </c>
      <c r="B19" s="558" t="s">
        <v>1246</v>
      </c>
      <c r="C19" s="377"/>
      <c r="D19" s="34"/>
      <c r="E19" s="34"/>
    </row>
    <row r="20" spans="1:5" ht="19.5" thickBot="1">
      <c r="A20" s="557" t="s">
        <v>1253</v>
      </c>
      <c r="B20" s="558" t="s">
        <v>19</v>
      </c>
      <c r="C20" s="377"/>
      <c r="D20" s="34"/>
      <c r="E20" s="34"/>
    </row>
    <row r="21" spans="1:5" ht="19.5" thickBot="1">
      <c r="A21" s="557" t="s">
        <v>1254</v>
      </c>
      <c r="B21" s="558" t="s">
        <v>889</v>
      </c>
      <c r="C21" s="377"/>
      <c r="D21" s="34"/>
      <c r="E21" s="34"/>
    </row>
    <row r="22" spans="1:5" ht="19.5" thickBot="1">
      <c r="A22" s="568" t="s">
        <v>1330</v>
      </c>
      <c r="B22" s="569" t="s">
        <v>1247</v>
      </c>
      <c r="C22" s="377">
        <f>SUM(C18:C21)</f>
        <v>0</v>
      </c>
      <c r="D22" s="377">
        <f>SUM(D18:D21)</f>
        <v>0</v>
      </c>
      <c r="E22" s="377">
        <f>SUM(E18:E21)</f>
        <v>0</v>
      </c>
    </row>
    <row r="23" spans="1:5" ht="27" customHeight="1" thickBot="1">
      <c r="A23" s="268" t="s">
        <v>1250</v>
      </c>
      <c r="B23" s="269" t="s">
        <v>1237</v>
      </c>
      <c r="C23" s="379">
        <f>SUM(C22,C17)</f>
        <v>0</v>
      </c>
      <c r="D23" s="379">
        <f>SUM(D22,D17)</f>
        <v>0</v>
      </c>
      <c r="E23" s="379">
        <f>SUM(E22,E17)</f>
        <v>0</v>
      </c>
    </row>
    <row r="24" spans="1:5" ht="19.5" thickBot="1">
      <c r="A24" s="270"/>
      <c r="B24" s="271"/>
      <c r="C24" s="377"/>
      <c r="D24" s="34"/>
      <c r="E24" s="34"/>
    </row>
    <row r="25" spans="1:5" ht="18.75">
      <c r="A25" s="272" t="s">
        <v>1255</v>
      </c>
      <c r="B25" s="97" t="s">
        <v>590</v>
      </c>
      <c r="C25" s="275"/>
      <c r="D25" s="44"/>
      <c r="E25" s="34"/>
    </row>
    <row r="26" spans="1:5" ht="18.75">
      <c r="A26" s="559" t="s">
        <v>1256</v>
      </c>
      <c r="B26" s="97" t="s">
        <v>1251</v>
      </c>
      <c r="C26" s="275"/>
      <c r="D26" s="44"/>
      <c r="E26" s="34"/>
    </row>
    <row r="27" spans="1:5" ht="18.75">
      <c r="A27" s="276" t="s">
        <v>1252</v>
      </c>
      <c r="B27" s="255" t="s">
        <v>4</v>
      </c>
      <c r="C27" s="378"/>
      <c r="D27" s="34"/>
      <c r="E27" s="34"/>
    </row>
    <row r="28" spans="1:5" ht="19.5" thickBot="1">
      <c r="A28" s="462" t="s">
        <v>1257</v>
      </c>
      <c r="B28" s="255" t="s">
        <v>635</v>
      </c>
      <c r="C28" s="378"/>
      <c r="D28" s="34"/>
      <c r="E28" s="34"/>
    </row>
    <row r="29" spans="1:5" ht="19.5" thickBot="1">
      <c r="A29" s="582" t="s">
        <v>1258</v>
      </c>
      <c r="B29" s="583" t="s">
        <v>69</v>
      </c>
      <c r="C29" s="378">
        <f>SUM(C25:C28)</f>
        <v>0</v>
      </c>
      <c r="D29" s="378">
        <f>SUM(D25:D28)</f>
        <v>0</v>
      </c>
      <c r="E29" s="378">
        <f>SUM(E25:E28)</f>
        <v>0</v>
      </c>
    </row>
    <row r="30" spans="1:5" ht="19.5" thickBot="1">
      <c r="A30" s="282"/>
      <c r="B30" s="283"/>
      <c r="C30" s="377"/>
      <c r="D30" s="34"/>
      <c r="E30" s="34"/>
    </row>
    <row r="31" spans="1:5" ht="18.75">
      <c r="A31" s="249" t="s">
        <v>1259</v>
      </c>
      <c r="B31" s="291" t="s">
        <v>533</v>
      </c>
      <c r="C31" s="377"/>
      <c r="D31" s="34"/>
      <c r="E31" s="34"/>
    </row>
    <row r="32" spans="1:5" ht="18.75">
      <c r="A32" s="253" t="s">
        <v>1260</v>
      </c>
      <c r="B32" s="254" t="s">
        <v>534</v>
      </c>
      <c r="C32" s="377"/>
      <c r="D32" s="41"/>
      <c r="E32" s="34"/>
    </row>
    <row r="33" spans="1:5" ht="18.75">
      <c r="A33" s="253" t="s">
        <v>1262</v>
      </c>
      <c r="B33" s="254" t="s">
        <v>1261</v>
      </c>
      <c r="C33" s="377"/>
      <c r="D33" s="41"/>
      <c r="E33" s="34"/>
    </row>
    <row r="34" spans="1:5" ht="18.75">
      <c r="A34" s="253" t="s">
        <v>1263</v>
      </c>
      <c r="B34" s="254" t="s">
        <v>124</v>
      </c>
      <c r="C34" s="377"/>
      <c r="D34" s="41"/>
      <c r="E34" s="34"/>
    </row>
    <row r="35" spans="1:5" ht="18.75">
      <c r="A35" s="253" t="s">
        <v>1264</v>
      </c>
      <c r="B35" s="254" t="s">
        <v>1265</v>
      </c>
      <c r="C35" s="570"/>
      <c r="D35" s="41"/>
      <c r="E35" s="34"/>
    </row>
    <row r="36" spans="1:5" ht="18.75">
      <c r="A36" s="253" t="s">
        <v>1335</v>
      </c>
      <c r="B36" s="562" t="s">
        <v>548</v>
      </c>
      <c r="C36" s="570">
        <f>SUM(C31:C35)</f>
        <v>0</v>
      </c>
      <c r="D36" s="570">
        <f>SUM(D31:D35)</f>
        <v>0</v>
      </c>
      <c r="E36" s="570">
        <f>SUM(E31:E35)</f>
        <v>0</v>
      </c>
    </row>
    <row r="37" spans="1:5" ht="18.75">
      <c r="A37" s="253" t="s">
        <v>1342</v>
      </c>
      <c r="B37" s="254" t="s">
        <v>1343</v>
      </c>
      <c r="C37" s="570"/>
      <c r="D37" s="570"/>
      <c r="E37" s="570"/>
    </row>
    <row r="38" spans="1:5" ht="18.75">
      <c r="A38" s="253" t="s">
        <v>1344</v>
      </c>
      <c r="B38" s="254" t="s">
        <v>1267</v>
      </c>
      <c r="C38" s="570"/>
      <c r="D38" s="34"/>
      <c r="E38" s="34"/>
    </row>
    <row r="39" spans="1:5" ht="18.75">
      <c r="A39" s="253" t="s">
        <v>1345</v>
      </c>
      <c r="B39" s="254" t="s">
        <v>88</v>
      </c>
      <c r="C39" s="570"/>
      <c r="D39" s="34"/>
      <c r="E39" s="34"/>
    </row>
    <row r="40" spans="1:5" ht="18.75">
      <c r="A40" s="253" t="s">
        <v>1346</v>
      </c>
      <c r="B40" s="254" t="s">
        <v>1268</v>
      </c>
      <c r="C40" s="377"/>
      <c r="D40" s="34"/>
      <c r="E40" s="34"/>
    </row>
    <row r="41" spans="1:5" ht="19.5" thickBot="1">
      <c r="A41" s="288" t="s">
        <v>1347</v>
      </c>
      <c r="B41" s="289" t="s">
        <v>1269</v>
      </c>
      <c r="C41" s="377"/>
      <c r="D41" s="34"/>
      <c r="E41" s="34"/>
    </row>
    <row r="42" spans="1:5" ht="17.25" customHeight="1" thickBot="1">
      <c r="A42" s="268" t="s">
        <v>1266</v>
      </c>
      <c r="B42" s="571" t="s">
        <v>1270</v>
      </c>
      <c r="C42" s="377">
        <f>SUM(C37:C41)</f>
        <v>0</v>
      </c>
      <c r="D42" s="377">
        <f>SUM(D38:D41)</f>
        <v>0</v>
      </c>
      <c r="E42" s="377">
        <f>SUM(E38:E41)</f>
        <v>0</v>
      </c>
    </row>
    <row r="43" spans="1:5" ht="22.5" customHeight="1" thickBot="1">
      <c r="A43" s="572" t="s">
        <v>1300</v>
      </c>
      <c r="B43" s="573" t="s">
        <v>595</v>
      </c>
      <c r="C43" s="574">
        <f>SUM(C42,C36)</f>
        <v>0</v>
      </c>
      <c r="D43" s="574">
        <f>SUM(D42,D36)</f>
        <v>0</v>
      </c>
      <c r="E43" s="574">
        <f>SUM(E42,E36)</f>
        <v>0</v>
      </c>
    </row>
    <row r="44" spans="1:5" ht="18.75">
      <c r="A44" s="249" t="s">
        <v>1271</v>
      </c>
      <c r="B44" s="291" t="s">
        <v>1348</v>
      </c>
      <c r="C44" s="377"/>
      <c r="D44" s="34"/>
      <c r="E44" s="34"/>
    </row>
    <row r="45" spans="1:5" ht="18.75">
      <c r="A45" s="494" t="s">
        <v>1350</v>
      </c>
      <c r="B45" s="590" t="s">
        <v>1351</v>
      </c>
      <c r="C45" s="377"/>
      <c r="D45" s="34"/>
      <c r="E45" s="34"/>
    </row>
    <row r="46" spans="1:5" ht="18.75">
      <c r="A46" s="253" t="s">
        <v>1272</v>
      </c>
      <c r="B46" s="254" t="s">
        <v>1349</v>
      </c>
      <c r="C46" s="295"/>
      <c r="D46" s="566"/>
      <c r="E46" s="34"/>
    </row>
    <row r="47" spans="1:5" ht="18.75">
      <c r="A47" s="575" t="s">
        <v>1301</v>
      </c>
      <c r="B47" s="576" t="s">
        <v>1366</v>
      </c>
      <c r="C47" s="577">
        <f>SUM(C44:C46)</f>
        <v>0</v>
      </c>
      <c r="D47" s="577">
        <f>SUM(D44:D46)</f>
        <v>0</v>
      </c>
      <c r="E47" s="577">
        <f>SUM(E44:E46)</f>
        <v>0</v>
      </c>
    </row>
    <row r="48" spans="1:5" ht="18.75">
      <c r="A48" s="253" t="s">
        <v>1275</v>
      </c>
      <c r="B48" s="254" t="s">
        <v>544</v>
      </c>
      <c r="C48" s="295"/>
      <c r="D48" s="566"/>
      <c r="E48" s="34"/>
    </row>
    <row r="49" spans="1:5" ht="18.75">
      <c r="A49" s="253" t="s">
        <v>1274</v>
      </c>
      <c r="B49" s="254" t="s">
        <v>543</v>
      </c>
      <c r="C49" s="295"/>
      <c r="D49" s="34"/>
      <c r="E49" s="34"/>
    </row>
    <row r="50" spans="1:5" ht="18.75">
      <c r="A50" s="253" t="s">
        <v>1276</v>
      </c>
      <c r="B50" s="254" t="s">
        <v>503</v>
      </c>
      <c r="C50" s="295"/>
      <c r="D50" s="34"/>
      <c r="E50" s="34"/>
    </row>
    <row r="51" spans="1:5" ht="18.75">
      <c r="A51" s="575" t="s">
        <v>1273</v>
      </c>
      <c r="B51" s="576" t="s">
        <v>1277</v>
      </c>
      <c r="C51" s="577">
        <f>SUM(C48:C50)</f>
        <v>0</v>
      </c>
      <c r="D51" s="577">
        <f>SUM(D48:D50)</f>
        <v>0</v>
      </c>
      <c r="E51" s="577">
        <f>SUM(E48:E50)</f>
        <v>0</v>
      </c>
    </row>
    <row r="52" spans="1:5" ht="18.75">
      <c r="A52" s="253" t="s">
        <v>1332</v>
      </c>
      <c r="B52" s="254" t="s">
        <v>1278</v>
      </c>
      <c r="C52" s="295"/>
      <c r="D52" s="34"/>
      <c r="E52" s="34"/>
    </row>
    <row r="53" spans="1:5" ht="18.75">
      <c r="A53" s="253" t="s">
        <v>1280</v>
      </c>
      <c r="B53" s="254" t="s">
        <v>26</v>
      </c>
      <c r="C53" s="295"/>
      <c r="D53" s="41"/>
      <c r="E53" s="34"/>
    </row>
    <row r="54" spans="1:5" ht="18.75">
      <c r="A54" s="253" t="s">
        <v>1281</v>
      </c>
      <c r="B54" s="254" t="s">
        <v>1352</v>
      </c>
      <c r="C54" s="377"/>
      <c r="D54" s="34"/>
      <c r="E54" s="34"/>
    </row>
    <row r="55" spans="1:5" ht="18.75">
      <c r="A55" s="575" t="s">
        <v>1283</v>
      </c>
      <c r="B55" s="576" t="s">
        <v>1282</v>
      </c>
      <c r="C55" s="574">
        <f>SUM(C53:C54)</f>
        <v>0</v>
      </c>
      <c r="D55" s="574">
        <f>SUM(D53:D54)</f>
        <v>0</v>
      </c>
      <c r="E55" s="574">
        <f>SUM(E53:E54)</f>
        <v>0</v>
      </c>
    </row>
    <row r="56" spans="1:5" ht="18.75">
      <c r="A56" s="575" t="s">
        <v>1284</v>
      </c>
      <c r="B56" s="588" t="s">
        <v>1333</v>
      </c>
      <c r="C56" s="589"/>
      <c r="D56" s="589"/>
      <c r="E56" s="589"/>
    </row>
    <row r="57" spans="1:5" ht="18.75">
      <c r="A57" s="288"/>
      <c r="B57" s="554" t="s">
        <v>943</v>
      </c>
      <c r="C57" s="554"/>
      <c r="D57" s="554"/>
      <c r="E57" s="554"/>
    </row>
    <row r="58" spans="1:6" ht="18.75">
      <c r="A58" s="288" t="s">
        <v>1353</v>
      </c>
      <c r="B58" s="554" t="s">
        <v>547</v>
      </c>
      <c r="C58" s="554">
        <v>5675</v>
      </c>
      <c r="D58" s="554">
        <v>5676</v>
      </c>
      <c r="E58" s="554">
        <v>5676</v>
      </c>
      <c r="F58" t="s">
        <v>1417</v>
      </c>
    </row>
    <row r="59" spans="1:5" ht="18.75">
      <c r="A59" s="288" t="s">
        <v>1354</v>
      </c>
      <c r="B59" s="554" t="s">
        <v>1355</v>
      </c>
      <c r="C59" s="554"/>
      <c r="D59" s="554"/>
      <c r="E59" s="554"/>
    </row>
    <row r="60" spans="1:5" ht="27" customHeight="1">
      <c r="A60" s="561" t="s">
        <v>1285</v>
      </c>
      <c r="B60" s="552" t="s">
        <v>945</v>
      </c>
      <c r="C60" s="591">
        <f>SUM(C58:C59)</f>
        <v>5675</v>
      </c>
      <c r="D60" s="591">
        <f>SUM(D58:D59)</f>
        <v>5676</v>
      </c>
      <c r="E60" s="591">
        <f>SUM(E58:E59)</f>
        <v>5676</v>
      </c>
    </row>
    <row r="61" spans="1:5" ht="23.25" customHeight="1">
      <c r="A61" s="462" t="s">
        <v>1356</v>
      </c>
      <c r="B61" s="553" t="s">
        <v>1362</v>
      </c>
      <c r="C61" s="591"/>
      <c r="D61" s="591"/>
      <c r="E61" s="591"/>
    </row>
    <row r="62" spans="1:5" ht="23.25" customHeight="1">
      <c r="A62" s="462" t="s">
        <v>1357</v>
      </c>
      <c r="B62" s="553" t="s">
        <v>1358</v>
      </c>
      <c r="C62" s="591"/>
      <c r="D62" s="591"/>
      <c r="E62" s="591"/>
    </row>
    <row r="63" spans="1:5" ht="23.25" customHeight="1">
      <c r="A63" s="462" t="s">
        <v>1359</v>
      </c>
      <c r="B63" s="553" t="s">
        <v>9</v>
      </c>
      <c r="C63" s="591"/>
      <c r="D63" s="591"/>
      <c r="E63" s="591"/>
    </row>
    <row r="64" spans="1:6" ht="23.25" customHeight="1" thickBot="1">
      <c r="A64" s="462" t="s">
        <v>1360</v>
      </c>
      <c r="B64" s="553" t="s">
        <v>1361</v>
      </c>
      <c r="C64" s="591"/>
      <c r="D64" s="591"/>
      <c r="E64" s="591"/>
      <c r="F64" s="21" t="s">
        <v>1368</v>
      </c>
    </row>
    <row r="65" spans="1:5" ht="17.25" customHeight="1" thickBot="1">
      <c r="A65" s="298" t="s">
        <v>1286</v>
      </c>
      <c r="B65" s="552" t="s">
        <v>948</v>
      </c>
      <c r="C65" s="591">
        <f>SUM(C61:C64)</f>
        <v>0</v>
      </c>
      <c r="D65" s="591">
        <f>SUM(D61:D64)</f>
        <v>0</v>
      </c>
      <c r="E65" s="591">
        <f>SUM(E61:E64)</f>
        <v>0</v>
      </c>
    </row>
    <row r="66" spans="1:5" ht="25.5" customHeight="1">
      <c r="A66" s="578" t="s">
        <v>1279</v>
      </c>
      <c r="B66" s="579" t="s">
        <v>1287</v>
      </c>
      <c r="C66" s="579">
        <f>SUM(C65+C60+C56+C55+C52)</f>
        <v>5675</v>
      </c>
      <c r="D66" s="579">
        <f>SUM(D65+D60+D56+D55+D52)</f>
        <v>5676</v>
      </c>
      <c r="E66" s="579">
        <f>SUM(E65+E60+E56+E55+E52)</f>
        <v>5676</v>
      </c>
    </row>
    <row r="67" spans="1:5" ht="18.75">
      <c r="A67" s="253" t="s">
        <v>1288</v>
      </c>
      <c r="B67" s="553" t="s">
        <v>952</v>
      </c>
      <c r="C67" s="553"/>
      <c r="D67" s="553"/>
      <c r="E67" s="553"/>
    </row>
    <row r="68" spans="1:5" ht="18.75">
      <c r="A68" s="253" t="s">
        <v>1289</v>
      </c>
      <c r="B68" s="553" t="s">
        <v>954</v>
      </c>
      <c r="C68" s="553"/>
      <c r="D68" s="553"/>
      <c r="E68" s="553"/>
    </row>
    <row r="69" spans="1:5" ht="24" customHeight="1">
      <c r="A69" s="575" t="s">
        <v>1291</v>
      </c>
      <c r="B69" s="579" t="s">
        <v>1290</v>
      </c>
      <c r="C69" s="579">
        <f>SUM(C67:C68)</f>
        <v>0</v>
      </c>
      <c r="D69" s="579">
        <f>SUM(D67:D68)</f>
        <v>0</v>
      </c>
      <c r="E69" s="579">
        <f>SUM(E67:E68)</f>
        <v>0</v>
      </c>
    </row>
    <row r="70" spans="1:5" ht="26.25" customHeight="1" thickBot="1">
      <c r="A70" s="561" t="s">
        <v>1294</v>
      </c>
      <c r="B70" s="552" t="s">
        <v>958</v>
      </c>
      <c r="C70" s="552"/>
      <c r="D70" s="552"/>
      <c r="E70" s="552"/>
    </row>
    <row r="71" spans="1:5" ht="27" customHeight="1" thickBot="1">
      <c r="A71" s="268" t="s">
        <v>1295</v>
      </c>
      <c r="B71" s="552" t="s">
        <v>960</v>
      </c>
      <c r="C71" s="552"/>
      <c r="D71" s="552"/>
      <c r="E71" s="552"/>
    </row>
    <row r="72" spans="1:5" ht="19.5" thickBot="1">
      <c r="A72" s="210" t="s">
        <v>1296</v>
      </c>
      <c r="B72" s="552" t="s">
        <v>1293</v>
      </c>
      <c r="C72" s="552"/>
      <c r="D72" s="552"/>
      <c r="E72" s="552"/>
    </row>
    <row r="73" spans="1:5" ht="24.75" customHeight="1">
      <c r="A73" s="593" t="s">
        <v>1298</v>
      </c>
      <c r="B73" s="594" t="s">
        <v>1363</v>
      </c>
      <c r="C73" s="594"/>
      <c r="D73" s="552"/>
      <c r="E73" s="552"/>
    </row>
    <row r="74" spans="1:6" ht="24.75" customHeight="1">
      <c r="A74" s="592" t="s">
        <v>1364</v>
      </c>
      <c r="B74" s="563" t="s">
        <v>1365</v>
      </c>
      <c r="C74" s="563"/>
      <c r="D74" s="553"/>
      <c r="E74" s="553"/>
      <c r="F74" s="21" t="s">
        <v>1369</v>
      </c>
    </row>
    <row r="75" spans="1:5" ht="24.75" customHeight="1">
      <c r="A75" s="592" t="s">
        <v>1370</v>
      </c>
      <c r="B75" s="563" t="s">
        <v>1367</v>
      </c>
      <c r="C75" s="563"/>
      <c r="D75" s="553"/>
      <c r="E75" s="553"/>
    </row>
    <row r="76" spans="1:5" ht="18.75">
      <c r="A76" s="98" t="s">
        <v>1297</v>
      </c>
      <c r="B76" s="552" t="s">
        <v>970</v>
      </c>
      <c r="C76" s="552">
        <f>SUM(C74:C75)</f>
        <v>0</v>
      </c>
      <c r="D76" s="552">
        <f>SUM(D74:D75)</f>
        <v>0</v>
      </c>
      <c r="E76" s="552">
        <f>SUM(E74:E75)</f>
        <v>0</v>
      </c>
    </row>
    <row r="77" spans="1:5" ht="24.75" customHeight="1">
      <c r="A77" s="580" t="s">
        <v>1292</v>
      </c>
      <c r="B77" s="579" t="s">
        <v>1334</v>
      </c>
      <c r="C77" s="579">
        <f>C76+C73+C72+C71+C70</f>
        <v>0</v>
      </c>
      <c r="D77" s="579">
        <f>D76+D73+D72+D71+D70</f>
        <v>0</v>
      </c>
      <c r="E77" s="579">
        <f>E76+E73+E72+E71+E70</f>
        <v>0</v>
      </c>
    </row>
    <row r="78" spans="1:10" ht="24.75" customHeight="1">
      <c r="A78" s="587" t="s">
        <v>1299</v>
      </c>
      <c r="B78" s="585" t="s">
        <v>70</v>
      </c>
      <c r="C78" s="579">
        <f>SUM(C77+C69+C66+C47+C43)</f>
        <v>5675</v>
      </c>
      <c r="D78" s="579">
        <f>SUM(D77+D69+D66+D47+D43)</f>
        <v>5676</v>
      </c>
      <c r="E78" s="579">
        <f>SUM(E77+E69+E66+E47+E43)</f>
        <v>5676</v>
      </c>
      <c r="F78" s="560"/>
      <c r="G78" s="560"/>
      <c r="H78" s="560"/>
      <c r="I78" s="560"/>
      <c r="J78" s="560"/>
    </row>
    <row r="79" spans="1:10" ht="24.75" customHeight="1">
      <c r="A79" s="98" t="s">
        <v>1307</v>
      </c>
      <c r="B79" s="553" t="s">
        <v>1302</v>
      </c>
      <c r="C79" s="552"/>
      <c r="D79" s="552"/>
      <c r="E79" s="552"/>
      <c r="F79" s="560"/>
      <c r="G79" s="560"/>
      <c r="H79" s="560"/>
      <c r="I79" s="560"/>
      <c r="J79" s="560"/>
    </row>
    <row r="80" spans="1:10" ht="24.75" customHeight="1">
      <c r="A80" s="98" t="s">
        <v>1306</v>
      </c>
      <c r="B80" s="553" t="s">
        <v>1308</v>
      </c>
      <c r="C80" s="552"/>
      <c r="D80" s="552"/>
      <c r="E80" s="552"/>
      <c r="F80" s="560"/>
      <c r="G80" s="560"/>
      <c r="H80" s="560"/>
      <c r="I80" s="560"/>
      <c r="J80" s="560"/>
    </row>
    <row r="81" spans="1:10" ht="24.75" customHeight="1">
      <c r="A81" s="98"/>
      <c r="B81" s="97" t="s">
        <v>1304</v>
      </c>
      <c r="C81" s="552"/>
      <c r="D81" s="552"/>
      <c r="E81" s="552"/>
      <c r="F81" s="560"/>
      <c r="G81" s="560"/>
      <c r="H81" s="560"/>
      <c r="I81" s="560"/>
      <c r="J81" s="560"/>
    </row>
    <row r="82" spans="1:5" ht="18.75">
      <c r="A82" s="98"/>
      <c r="B82" s="97" t="s">
        <v>1303</v>
      </c>
      <c r="C82" s="377"/>
      <c r="D82" s="34"/>
      <c r="E82" s="34"/>
    </row>
    <row r="83" spans="1:5" ht="18.75">
      <c r="A83" s="98"/>
      <c r="B83" s="567" t="s">
        <v>1305</v>
      </c>
      <c r="C83" s="377"/>
      <c r="D83" s="34"/>
      <c r="E83" s="34"/>
    </row>
    <row r="84" spans="1:5" ht="25.5">
      <c r="A84" s="580" t="s">
        <v>1341</v>
      </c>
      <c r="B84" s="579" t="s">
        <v>1337</v>
      </c>
      <c r="C84" s="377">
        <f>SUM(C80:C83)</f>
        <v>0</v>
      </c>
      <c r="D84" s="377">
        <f>SUM(D80:D83)</f>
        <v>0</v>
      </c>
      <c r="E84" s="377">
        <f>SUM(E80:E83)</f>
        <v>0</v>
      </c>
    </row>
    <row r="85" spans="1:5" s="564" customFormat="1" ht="18.75">
      <c r="A85" s="587" t="s">
        <v>1336</v>
      </c>
      <c r="B85" s="587" t="s">
        <v>1340</v>
      </c>
      <c r="C85" s="574">
        <f>SUM(C79+C84)</f>
        <v>0</v>
      </c>
      <c r="D85" s="574">
        <f>SUM(D79+D84)</f>
        <v>0</v>
      </c>
      <c r="E85" s="574">
        <f>SUM(E79+E84)</f>
        <v>0</v>
      </c>
    </row>
    <row r="86" spans="1:5" ht="18.75">
      <c r="A86" s="97" t="s">
        <v>1309</v>
      </c>
      <c r="B86" s="553" t="s">
        <v>1113</v>
      </c>
      <c r="C86" s="553"/>
      <c r="D86" s="553"/>
      <c r="E86" s="553"/>
    </row>
    <row r="87" spans="1:5" s="382" customFormat="1" ht="15">
      <c r="A87" s="97" t="s">
        <v>1310</v>
      </c>
      <c r="B87" s="553" t="s">
        <v>1371</v>
      </c>
      <c r="C87" s="553"/>
      <c r="D87" s="553"/>
      <c r="E87" s="553"/>
    </row>
    <row r="88" spans="1:5" ht="18.75">
      <c r="A88" s="172" t="s">
        <v>1311</v>
      </c>
      <c r="B88" s="553" t="s">
        <v>1117</v>
      </c>
      <c r="C88" s="553"/>
      <c r="D88" s="553"/>
      <c r="E88" s="553"/>
    </row>
    <row r="89" spans="1:5" ht="24" customHeight="1">
      <c r="A89" s="172" t="s">
        <v>1312</v>
      </c>
      <c r="B89" s="553" t="s">
        <v>1118</v>
      </c>
      <c r="C89" s="553"/>
      <c r="D89" s="553"/>
      <c r="E89" s="553"/>
    </row>
    <row r="90" spans="1:5" ht="26.25" customHeight="1">
      <c r="A90" s="172" t="s">
        <v>1313</v>
      </c>
      <c r="B90" s="553" t="s">
        <v>1120</v>
      </c>
      <c r="C90" s="553">
        <v>416</v>
      </c>
      <c r="D90" s="553">
        <v>415</v>
      </c>
      <c r="E90" s="553"/>
    </row>
    <row r="91" spans="1:5" ht="25.5" customHeight="1">
      <c r="A91" s="172" t="s">
        <v>1314</v>
      </c>
      <c r="B91" s="553" t="s">
        <v>1126</v>
      </c>
      <c r="C91" s="553">
        <v>113</v>
      </c>
      <c r="D91" s="553">
        <v>112</v>
      </c>
      <c r="E91" s="553"/>
    </row>
    <row r="92" spans="1:5" ht="18.75">
      <c r="A92" s="584" t="s">
        <v>1315</v>
      </c>
      <c r="B92" s="585" t="s">
        <v>1339</v>
      </c>
      <c r="C92" s="552">
        <f>SUM(C86:C91)</f>
        <v>529</v>
      </c>
      <c r="D92" s="552">
        <f>SUM(D86:D91)</f>
        <v>527</v>
      </c>
      <c r="E92" s="552">
        <f>SUM(E86:E91)</f>
        <v>0</v>
      </c>
    </row>
    <row r="93" spans="1:5" ht="18.75">
      <c r="A93" s="172" t="s">
        <v>1316</v>
      </c>
      <c r="B93" s="553" t="s">
        <v>1130</v>
      </c>
      <c r="C93" s="553"/>
      <c r="D93" s="553"/>
      <c r="E93" s="553"/>
    </row>
    <row r="94" spans="1:5" ht="18.75">
      <c r="A94" s="172" t="s">
        <v>1317</v>
      </c>
      <c r="B94" s="553" t="s">
        <v>1132</v>
      </c>
      <c r="C94" s="553"/>
      <c r="D94" s="553"/>
      <c r="E94" s="553"/>
    </row>
    <row r="95" spans="1:5" ht="18.75">
      <c r="A95" s="172" t="s">
        <v>1318</v>
      </c>
      <c r="B95" s="553" t="s">
        <v>1134</v>
      </c>
      <c r="C95" s="553"/>
      <c r="D95" s="553"/>
      <c r="E95" s="553"/>
    </row>
    <row r="96" spans="1:5" ht="24" customHeight="1">
      <c r="A96" s="172" t="s">
        <v>1319</v>
      </c>
      <c r="B96" s="553" t="s">
        <v>1136</v>
      </c>
      <c r="C96" s="553"/>
      <c r="D96" s="553"/>
      <c r="E96" s="553"/>
    </row>
    <row r="97" spans="1:5" ht="18.75">
      <c r="A97" s="584" t="s">
        <v>1320</v>
      </c>
      <c r="B97" s="585" t="s">
        <v>1338</v>
      </c>
      <c r="C97" s="552">
        <f>SUM(C93:C96)</f>
        <v>0</v>
      </c>
      <c r="D97" s="552">
        <f>SUM(D93:D96)</f>
        <v>0</v>
      </c>
      <c r="E97" s="552">
        <f>SUM(E93:E96)</f>
        <v>0</v>
      </c>
    </row>
    <row r="98" spans="1:5" ht="25.5" customHeight="1">
      <c r="A98" s="172" t="s">
        <v>1323</v>
      </c>
      <c r="B98" s="555" t="s">
        <v>1325</v>
      </c>
      <c r="C98" s="555"/>
      <c r="D98" s="555"/>
      <c r="E98" s="555"/>
    </row>
    <row r="99" spans="1:5" ht="27" customHeight="1">
      <c r="A99" s="457" t="s">
        <v>1322</v>
      </c>
      <c r="B99" s="553" t="s">
        <v>1321</v>
      </c>
      <c r="C99" s="553"/>
      <c r="D99" s="553"/>
      <c r="E99" s="553"/>
    </row>
    <row r="100" spans="1:5" ht="18.75">
      <c r="A100" s="584" t="s">
        <v>1326</v>
      </c>
      <c r="B100" s="586" t="s">
        <v>1324</v>
      </c>
      <c r="C100" s="295">
        <f>SUM(C98:C99)</f>
        <v>0</v>
      </c>
      <c r="D100" s="295">
        <f>SUM(D98:D99)</f>
        <v>0</v>
      </c>
      <c r="E100" s="295">
        <f>SUM(E98:E99)</f>
        <v>0</v>
      </c>
    </row>
    <row r="101" spans="1:5" ht="18.75">
      <c r="A101" s="34"/>
      <c r="B101" s="36" t="s">
        <v>118</v>
      </c>
      <c r="C101" s="581">
        <f>SUM(C100+C97+C92+C85+C78+C29+C23)</f>
        <v>6204</v>
      </c>
      <c r="D101" s="581">
        <f>SUM(D100+D97+D92+D85+D78+D29+D23)</f>
        <v>6203</v>
      </c>
      <c r="E101" s="581">
        <f>SUM(E100+E97+E92+E85+E78+E29+E23)</f>
        <v>5676</v>
      </c>
    </row>
  </sheetData>
  <sheetProtection/>
  <mergeCells count="1">
    <mergeCell ref="A2:E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2:I41"/>
  <sheetViews>
    <sheetView view="pageBreakPreview" zoomScale="60" zoomScalePageLayoutView="0" workbookViewId="0" topLeftCell="A7">
      <selection activeCell="M11" sqref="M11"/>
    </sheetView>
  </sheetViews>
  <sheetFormatPr defaultColWidth="8.66015625" defaultRowHeight="18"/>
  <cols>
    <col min="1" max="1" width="9.08203125" style="170" customWidth="1"/>
    <col min="2" max="2" width="31.41015625" style="30" customWidth="1"/>
    <col min="3" max="4" width="7.08203125" style="30" customWidth="1"/>
    <col min="5" max="5" width="7.58203125" style="41" customWidth="1"/>
    <col min="6" max="16384" width="8.91015625" style="30" customWidth="1"/>
  </cols>
  <sheetData>
    <row r="2" spans="1:8" s="173" customFormat="1" ht="36">
      <c r="A2" s="468">
        <v>381103</v>
      </c>
      <c r="B2" s="469" t="s">
        <v>342</v>
      </c>
      <c r="C2" s="469" t="s">
        <v>262</v>
      </c>
      <c r="D2" s="470">
        <v>2013</v>
      </c>
      <c r="E2" s="241" t="s">
        <v>614</v>
      </c>
      <c r="F2" s="471" t="s">
        <v>704</v>
      </c>
      <c r="G2" s="471" t="s">
        <v>705</v>
      </c>
      <c r="H2" s="471" t="s">
        <v>801</v>
      </c>
    </row>
    <row r="3" spans="1:8" ht="18.75">
      <c r="A3" s="472"/>
      <c r="B3" s="173"/>
      <c r="C3" s="173"/>
      <c r="D3" s="173"/>
      <c r="E3" s="34"/>
      <c r="F3" s="173"/>
      <c r="G3" s="173"/>
      <c r="H3" s="173"/>
    </row>
    <row r="4" spans="1:8" ht="18">
      <c r="A4" s="472">
        <v>5111112</v>
      </c>
      <c r="B4" s="173" t="s">
        <v>341</v>
      </c>
      <c r="C4" s="173"/>
      <c r="D4" s="473">
        <v>3759</v>
      </c>
      <c r="E4" s="473">
        <f>'[5]GEVSZ'!$P$45/1000</f>
        <v>4145.2</v>
      </c>
      <c r="F4" s="173"/>
      <c r="G4" s="173">
        <v>4380</v>
      </c>
      <c r="H4" s="173">
        <v>4380</v>
      </c>
    </row>
    <row r="5" spans="1:8" ht="18">
      <c r="A5" s="472"/>
      <c r="B5" s="173" t="s">
        <v>220</v>
      </c>
      <c r="C5" s="173"/>
      <c r="D5" s="473"/>
      <c r="E5" s="473">
        <v>50</v>
      </c>
      <c r="F5" s="173"/>
      <c r="G5" s="173">
        <v>86</v>
      </c>
      <c r="H5" s="173">
        <v>86</v>
      </c>
    </row>
    <row r="6" spans="1:8" ht="18">
      <c r="A6" s="472">
        <v>513192</v>
      </c>
      <c r="B6" s="173" t="s">
        <v>792</v>
      </c>
      <c r="C6" s="173"/>
      <c r="D6" s="173">
        <v>30</v>
      </c>
      <c r="E6" s="173"/>
      <c r="F6" s="173"/>
      <c r="G6" s="173">
        <v>366</v>
      </c>
      <c r="H6" s="173">
        <v>366</v>
      </c>
    </row>
    <row r="7" spans="1:8" ht="18">
      <c r="A7" s="472">
        <v>514142</v>
      </c>
      <c r="B7" s="173" t="s">
        <v>39</v>
      </c>
      <c r="C7" s="173"/>
      <c r="D7" s="173">
        <v>240</v>
      </c>
      <c r="E7" s="173">
        <v>240</v>
      </c>
      <c r="F7" s="173"/>
      <c r="G7" s="173">
        <v>450</v>
      </c>
      <c r="H7" s="173">
        <v>450</v>
      </c>
    </row>
    <row r="8" spans="1:8" ht="18">
      <c r="A8" s="472"/>
      <c r="B8" s="469" t="s">
        <v>149</v>
      </c>
      <c r="C8" s="469">
        <v>4583</v>
      </c>
      <c r="D8" s="474">
        <f>SUM(D4:D7)</f>
        <v>4029</v>
      </c>
      <c r="E8" s="474">
        <f>SUM(E4:E7)</f>
        <v>4435.2</v>
      </c>
      <c r="F8" s="474">
        <f>SUM(F4:F7)</f>
        <v>0</v>
      </c>
      <c r="G8" s="474">
        <f>SUM(G4:G7)</f>
        <v>5282</v>
      </c>
      <c r="H8" s="474">
        <f>SUM(H4:H7)</f>
        <v>5282</v>
      </c>
    </row>
    <row r="9" spans="1:8" ht="18">
      <c r="A9" s="472"/>
      <c r="B9" s="173"/>
      <c r="C9" s="173"/>
      <c r="D9" s="173"/>
      <c r="E9" s="173"/>
      <c r="F9" s="173"/>
      <c r="G9" s="173"/>
      <c r="H9" s="173"/>
    </row>
    <row r="10" spans="1:9" ht="18">
      <c r="A10" s="472">
        <v>53111</v>
      </c>
      <c r="B10" s="173" t="s">
        <v>562</v>
      </c>
      <c r="C10" s="173"/>
      <c r="D10" s="473">
        <v>1032</v>
      </c>
      <c r="E10" s="473">
        <f>(E4+E6)*0.27</f>
        <v>1119.204</v>
      </c>
      <c r="F10" s="173"/>
      <c r="G10" s="173">
        <f>I10*27%</f>
        <v>1304.64</v>
      </c>
      <c r="H10" s="173">
        <f>I10*27%</f>
        <v>1304.64</v>
      </c>
      <c r="I10" s="30">
        <f>G8-G7</f>
        <v>4832</v>
      </c>
    </row>
    <row r="11" spans="1:8" ht="18">
      <c r="A11" s="472">
        <v>531121</v>
      </c>
      <c r="B11" s="173" t="s">
        <v>563</v>
      </c>
      <c r="C11" s="173"/>
      <c r="D11" s="473"/>
      <c r="E11" s="473">
        <f>E7*19%</f>
        <v>45.6</v>
      </c>
      <c r="F11" s="173"/>
      <c r="G11" s="173">
        <v>75</v>
      </c>
      <c r="H11" s="173">
        <v>75</v>
      </c>
    </row>
    <row r="12" spans="1:8" ht="18">
      <c r="A12" s="472">
        <v>5341</v>
      </c>
      <c r="B12" s="173" t="s">
        <v>742</v>
      </c>
      <c r="C12" s="173"/>
      <c r="D12" s="173">
        <v>10</v>
      </c>
      <c r="E12" s="173">
        <v>10</v>
      </c>
      <c r="F12" s="173"/>
      <c r="G12" s="173">
        <v>87</v>
      </c>
      <c r="H12" s="173">
        <v>87</v>
      </c>
    </row>
    <row r="13" spans="1:8" ht="18">
      <c r="A13" s="472"/>
      <c r="B13" s="469" t="s">
        <v>339</v>
      </c>
      <c r="C13" s="469">
        <v>1151</v>
      </c>
      <c r="D13" s="474">
        <f>SUM(D10:D12)</f>
        <v>1042</v>
      </c>
      <c r="E13" s="474">
        <f>SUM(E10:E12)</f>
        <v>1174.8039999999999</v>
      </c>
      <c r="F13" s="474">
        <f>SUM(F10:F12)</f>
        <v>0</v>
      </c>
      <c r="G13" s="474">
        <f>SUM(G10:G12)</f>
        <v>1466.64</v>
      </c>
      <c r="H13" s="474">
        <f>SUM(H10:H12)</f>
        <v>1466.64</v>
      </c>
    </row>
    <row r="14" spans="1:8" ht="18">
      <c r="A14" s="472"/>
      <c r="B14" s="173"/>
      <c r="C14" s="173"/>
      <c r="D14" s="173"/>
      <c r="E14" s="173"/>
      <c r="F14" s="173"/>
      <c r="G14" s="173"/>
      <c r="H14" s="173"/>
    </row>
    <row r="15" spans="1:9" ht="18">
      <c r="A15" s="472">
        <v>5461</v>
      </c>
      <c r="B15" s="173" t="s">
        <v>88</v>
      </c>
      <c r="C15" s="173">
        <v>1800</v>
      </c>
      <c r="D15" s="473">
        <v>2000</v>
      </c>
      <c r="E15" s="473">
        <v>1800</v>
      </c>
      <c r="F15" s="173">
        <v>1558</v>
      </c>
      <c r="G15" s="173">
        <v>1800</v>
      </c>
      <c r="H15" s="528">
        <f>1800-200</f>
        <v>1600</v>
      </c>
      <c r="I15" s="30">
        <v>2</v>
      </c>
    </row>
    <row r="16" spans="1:9" ht="18">
      <c r="A16" s="472">
        <v>5481</v>
      </c>
      <c r="B16" s="173" t="s">
        <v>28</v>
      </c>
      <c r="C16" s="173">
        <v>90</v>
      </c>
      <c r="D16" s="173">
        <v>90</v>
      </c>
      <c r="E16" s="173">
        <v>90</v>
      </c>
      <c r="F16" s="173">
        <v>90</v>
      </c>
      <c r="G16" s="173">
        <v>120</v>
      </c>
      <c r="H16" s="173">
        <v>120</v>
      </c>
      <c r="I16" s="30" t="s">
        <v>706</v>
      </c>
    </row>
    <row r="17" spans="1:9" ht="18">
      <c r="A17" s="472">
        <v>54913</v>
      </c>
      <c r="B17" s="173" t="s">
        <v>338</v>
      </c>
      <c r="C17" s="173">
        <v>300</v>
      </c>
      <c r="D17" s="173">
        <v>300</v>
      </c>
      <c r="E17" s="173">
        <v>200</v>
      </c>
      <c r="F17" s="173">
        <v>214</v>
      </c>
      <c r="G17" s="173">
        <v>200</v>
      </c>
      <c r="H17" s="173">
        <v>200</v>
      </c>
      <c r="I17" s="30" t="s">
        <v>707</v>
      </c>
    </row>
    <row r="18" spans="1:8" ht="18">
      <c r="A18" s="472">
        <v>54913</v>
      </c>
      <c r="B18" s="173" t="s">
        <v>337</v>
      </c>
      <c r="C18" s="173">
        <v>20</v>
      </c>
      <c r="D18" s="173">
        <v>20</v>
      </c>
      <c r="E18" s="173">
        <v>15</v>
      </c>
      <c r="F18" s="173"/>
      <c r="G18" s="173">
        <v>15</v>
      </c>
      <c r="H18" s="173">
        <v>15</v>
      </c>
    </row>
    <row r="19" spans="1:8" ht="18">
      <c r="A19" s="472"/>
      <c r="B19" s="469" t="s">
        <v>336</v>
      </c>
      <c r="C19" s="469">
        <f aca="true" t="shared" si="0" ref="C19:H19">SUM(C15:C18)</f>
        <v>2210</v>
      </c>
      <c r="D19" s="474">
        <f t="shared" si="0"/>
        <v>2410</v>
      </c>
      <c r="E19" s="474">
        <f t="shared" si="0"/>
        <v>2105</v>
      </c>
      <c r="F19" s="474">
        <f t="shared" si="0"/>
        <v>1862</v>
      </c>
      <c r="G19" s="474">
        <f t="shared" si="0"/>
        <v>2135</v>
      </c>
      <c r="H19" s="474">
        <f t="shared" si="0"/>
        <v>1935</v>
      </c>
    </row>
    <row r="20" spans="1:8" ht="18">
      <c r="A20" s="472"/>
      <c r="B20" s="173"/>
      <c r="C20" s="173"/>
      <c r="D20" s="173"/>
      <c r="E20" s="173"/>
      <c r="F20" s="173"/>
      <c r="G20" s="173"/>
      <c r="H20" s="173"/>
    </row>
    <row r="21" spans="1:8" ht="18">
      <c r="A21" s="472">
        <v>55182</v>
      </c>
      <c r="B21" s="173" t="s">
        <v>335</v>
      </c>
      <c r="C21" s="173">
        <v>500</v>
      </c>
      <c r="D21" s="173">
        <v>500</v>
      </c>
      <c r="E21" s="173">
        <v>720</v>
      </c>
      <c r="F21" s="173">
        <v>480</v>
      </c>
      <c r="G21" s="173">
        <v>720</v>
      </c>
      <c r="H21" s="173">
        <v>720</v>
      </c>
    </row>
    <row r="22" spans="1:8" ht="18">
      <c r="A22" s="472">
        <v>5531</v>
      </c>
      <c r="B22" s="173" t="s">
        <v>334</v>
      </c>
      <c r="C22" s="173">
        <v>3600</v>
      </c>
      <c r="D22" s="473">
        <v>4000</v>
      </c>
      <c r="E22" s="473">
        <v>4000</v>
      </c>
      <c r="F22" s="173">
        <v>5400</v>
      </c>
      <c r="G22" s="173">
        <v>5000</v>
      </c>
      <c r="H22" s="173">
        <v>5000</v>
      </c>
    </row>
    <row r="23" spans="1:8" ht="18">
      <c r="A23" s="472"/>
      <c r="B23" s="469" t="s">
        <v>64</v>
      </c>
      <c r="C23" s="469">
        <f aca="true" t="shared" si="1" ref="C23:H23">SUM(C21:C22)</f>
        <v>4100</v>
      </c>
      <c r="D23" s="474">
        <f t="shared" si="1"/>
        <v>4500</v>
      </c>
      <c r="E23" s="474">
        <f t="shared" si="1"/>
        <v>4720</v>
      </c>
      <c r="F23" s="474">
        <f t="shared" si="1"/>
        <v>5880</v>
      </c>
      <c r="G23" s="474">
        <f t="shared" si="1"/>
        <v>5720</v>
      </c>
      <c r="H23" s="474">
        <f t="shared" si="1"/>
        <v>5720</v>
      </c>
    </row>
    <row r="24" spans="1:8" ht="18">
      <c r="A24" s="472"/>
      <c r="B24" s="469"/>
      <c r="C24" s="469"/>
      <c r="D24" s="474"/>
      <c r="E24" s="474"/>
      <c r="F24" s="173"/>
      <c r="G24" s="173"/>
      <c r="H24" s="173"/>
    </row>
    <row r="25" spans="1:9" ht="18">
      <c r="A25" s="472">
        <v>5721</v>
      </c>
      <c r="B25" s="173" t="s">
        <v>333</v>
      </c>
      <c r="C25" s="173">
        <v>68</v>
      </c>
      <c r="D25" s="173">
        <v>47</v>
      </c>
      <c r="E25" s="173">
        <v>47</v>
      </c>
      <c r="F25" s="173"/>
      <c r="G25" s="173"/>
      <c r="H25" s="173"/>
      <c r="I25" s="30">
        <f>H23+H19</f>
        <v>7655</v>
      </c>
    </row>
    <row r="26" spans="1:9" ht="18">
      <c r="A26" s="472">
        <v>56111</v>
      </c>
      <c r="B26" s="173" t="s">
        <v>332</v>
      </c>
      <c r="C26" s="173">
        <v>1704</v>
      </c>
      <c r="D26" s="473">
        <f>(D19+D23)*25%</f>
        <v>1727.5</v>
      </c>
      <c r="E26" s="473">
        <f>(E19+E23)*27%</f>
        <v>1842.7500000000002</v>
      </c>
      <c r="F26" s="173"/>
      <c r="G26" s="173">
        <f>I26*27%</f>
        <v>2120.8500000000004</v>
      </c>
      <c r="H26" s="173">
        <f>I25*27%</f>
        <v>2066.85</v>
      </c>
      <c r="I26" s="30">
        <f>G23+G19</f>
        <v>7855</v>
      </c>
    </row>
    <row r="27" spans="1:8" ht="18">
      <c r="A27" s="472"/>
      <c r="B27" s="469" t="s">
        <v>20</v>
      </c>
      <c r="C27" s="469">
        <f aca="true" t="shared" si="2" ref="C27:H27">SUM(C25:C26)</f>
        <v>1772</v>
      </c>
      <c r="D27" s="474">
        <f t="shared" si="2"/>
        <v>1774.5</v>
      </c>
      <c r="E27" s="474">
        <f t="shared" si="2"/>
        <v>1889.7500000000002</v>
      </c>
      <c r="F27" s="474">
        <f t="shared" si="2"/>
        <v>0</v>
      </c>
      <c r="G27" s="474">
        <f t="shared" si="2"/>
        <v>2120.8500000000004</v>
      </c>
      <c r="H27" s="474">
        <f t="shared" si="2"/>
        <v>2066.85</v>
      </c>
    </row>
    <row r="28" spans="1:8" ht="18">
      <c r="A28" s="472"/>
      <c r="B28" s="173"/>
      <c r="C28" s="173"/>
      <c r="D28" s="473"/>
      <c r="E28" s="473"/>
      <c r="F28" s="173"/>
      <c r="G28" s="173"/>
      <c r="H28" s="173"/>
    </row>
    <row r="29" spans="1:8" ht="18">
      <c r="A29" s="472"/>
      <c r="B29" s="469" t="s">
        <v>29</v>
      </c>
      <c r="C29" s="474">
        <f aca="true" t="shared" si="3" ref="C29:H29">+C19+C23+C27</f>
        <v>8082</v>
      </c>
      <c r="D29" s="474">
        <f t="shared" si="3"/>
        <v>8684.5</v>
      </c>
      <c r="E29" s="474">
        <f t="shared" si="3"/>
        <v>8714.75</v>
      </c>
      <c r="F29" s="474">
        <f t="shared" si="3"/>
        <v>7742</v>
      </c>
      <c r="G29" s="474">
        <f t="shared" si="3"/>
        <v>9975.85</v>
      </c>
      <c r="H29" s="474">
        <f t="shared" si="3"/>
        <v>9721.85</v>
      </c>
    </row>
    <row r="30" spans="1:8" ht="18">
      <c r="A30" s="472"/>
      <c r="B30" s="173"/>
      <c r="C30" s="173"/>
      <c r="D30" s="473"/>
      <c r="E30" s="473"/>
      <c r="F30" s="173"/>
      <c r="G30" s="173"/>
      <c r="H30" s="173"/>
    </row>
    <row r="31" spans="1:8" ht="18">
      <c r="A31" s="472"/>
      <c r="B31" s="469" t="s">
        <v>0</v>
      </c>
      <c r="C31" s="474">
        <f aca="true" t="shared" si="4" ref="C31:H31">+C29+C8+C13</f>
        <v>13816</v>
      </c>
      <c r="D31" s="474">
        <f t="shared" si="4"/>
        <v>13755.5</v>
      </c>
      <c r="E31" s="474">
        <f t="shared" si="4"/>
        <v>14324.754</v>
      </c>
      <c r="F31" s="474">
        <f t="shared" si="4"/>
        <v>7742</v>
      </c>
      <c r="G31" s="474">
        <f t="shared" si="4"/>
        <v>16724.49</v>
      </c>
      <c r="H31" s="474">
        <f t="shared" si="4"/>
        <v>16470.49</v>
      </c>
    </row>
    <row r="32" spans="1:8" ht="18">
      <c r="A32" s="472"/>
      <c r="B32" s="173"/>
      <c r="C32" s="173"/>
      <c r="D32" s="173"/>
      <c r="E32" s="173"/>
      <c r="F32" s="173"/>
      <c r="G32" s="173"/>
      <c r="H32" s="173"/>
    </row>
    <row r="33" spans="1:8" ht="18">
      <c r="A33" s="468">
        <v>902113</v>
      </c>
      <c r="B33" s="469" t="s">
        <v>331</v>
      </c>
      <c r="C33" s="469"/>
      <c r="D33" s="173"/>
      <c r="E33" s="173"/>
      <c r="F33" s="173"/>
      <c r="G33" s="173"/>
      <c r="H33" s="173"/>
    </row>
    <row r="34" spans="1:8" ht="18">
      <c r="A34" s="472"/>
      <c r="B34" s="173"/>
      <c r="C34" s="173"/>
      <c r="D34" s="173"/>
      <c r="E34" s="173"/>
      <c r="F34" s="173"/>
      <c r="G34" s="173"/>
      <c r="H34" s="173"/>
    </row>
    <row r="35" spans="1:8" ht="18">
      <c r="A35" s="472">
        <v>91213</v>
      </c>
      <c r="B35" s="173" t="s">
        <v>330</v>
      </c>
      <c r="C35" s="173">
        <v>1600</v>
      </c>
      <c r="D35" s="173">
        <v>1600</v>
      </c>
      <c r="E35" s="173">
        <v>1720</v>
      </c>
      <c r="F35" s="173">
        <v>3106</v>
      </c>
      <c r="G35" s="173">
        <v>2500</v>
      </c>
      <c r="H35" s="173">
        <v>2500</v>
      </c>
    </row>
    <row r="36" spans="1:8" ht="18">
      <c r="A36" s="472">
        <v>919131</v>
      </c>
      <c r="B36" s="173" t="s">
        <v>329</v>
      </c>
      <c r="C36" s="173"/>
      <c r="D36" s="173">
        <f>D35*27%</f>
        <v>432</v>
      </c>
      <c r="E36" s="173">
        <v>464</v>
      </c>
      <c r="F36" s="173">
        <v>839</v>
      </c>
      <c r="G36" s="173">
        <v>675</v>
      </c>
      <c r="H36" s="173">
        <v>675</v>
      </c>
    </row>
    <row r="37" spans="1:8" ht="18">
      <c r="A37" s="472"/>
      <c r="B37" s="469" t="s">
        <v>328</v>
      </c>
      <c r="C37" s="469">
        <f aca="true" t="shared" si="5" ref="C37:H37">SUM(C35:C36)</f>
        <v>1600</v>
      </c>
      <c r="D37" s="469">
        <f t="shared" si="5"/>
        <v>2032</v>
      </c>
      <c r="E37" s="469">
        <f t="shared" si="5"/>
        <v>2184</v>
      </c>
      <c r="F37" s="469">
        <f t="shared" si="5"/>
        <v>3945</v>
      </c>
      <c r="G37" s="469">
        <f t="shared" si="5"/>
        <v>3175</v>
      </c>
      <c r="H37" s="469">
        <f t="shared" si="5"/>
        <v>3175</v>
      </c>
    </row>
    <row r="38" spans="1:8" ht="18">
      <c r="A38" s="472"/>
      <c r="B38" s="173"/>
      <c r="C38" s="173"/>
      <c r="D38" s="173"/>
      <c r="E38" s="173"/>
      <c r="F38" s="173"/>
      <c r="G38" s="173"/>
      <c r="H38" s="173"/>
    </row>
    <row r="39" spans="1:8" ht="18">
      <c r="A39" s="472"/>
      <c r="B39" s="173"/>
      <c r="C39" s="173"/>
      <c r="D39" s="173"/>
      <c r="E39" s="173"/>
      <c r="F39" s="173"/>
      <c r="G39" s="173"/>
      <c r="H39" s="173"/>
    </row>
    <row r="40" spans="1:8" ht="18">
      <c r="A40" s="472"/>
      <c r="B40" s="173"/>
      <c r="C40" s="173"/>
      <c r="D40" s="469"/>
      <c r="E40" s="173"/>
      <c r="F40" s="173"/>
      <c r="G40" s="173"/>
      <c r="H40" s="173"/>
    </row>
    <row r="41" spans="1:8" ht="18.75">
      <c r="A41" s="472"/>
      <c r="B41" s="173"/>
      <c r="C41" s="173"/>
      <c r="D41" s="173"/>
      <c r="E41" s="34"/>
      <c r="F41" s="173"/>
      <c r="G41" s="173"/>
      <c r="H41" s="173"/>
    </row>
  </sheetData>
  <sheetProtection/>
  <printOptions/>
  <pageMargins left="0.7" right="0.7" top="0.75" bottom="0.75" header="0.3" footer="0.3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Pártl Zoltánné</cp:lastModifiedBy>
  <cp:lastPrinted>2016-01-21T15:38:00Z</cp:lastPrinted>
  <dcterms:created xsi:type="dcterms:W3CDTF">2000-12-13T12:06:22Z</dcterms:created>
  <dcterms:modified xsi:type="dcterms:W3CDTF">2016-01-22T10:04:42Z</dcterms:modified>
  <cp:category/>
  <cp:version/>
  <cp:contentType/>
  <cp:contentStatus/>
</cp:coreProperties>
</file>