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firstSheet="18" activeTab="24"/>
  </bookViews>
  <sheets>
    <sheet name="1a.össz.bevétel" sheetId="1" r:id="rId1"/>
    <sheet name="1b.megosztott bev." sheetId="2" r:id="rId2"/>
    <sheet name="1c.bev.részletes" sheetId="3" r:id="rId3"/>
    <sheet name="1d.Állami tám." sheetId="4" r:id="rId4"/>
    <sheet name="2a.K kiemelt ei." sheetId="5" r:id="rId5"/>
    <sheet name="2b.K megosztás" sheetId="6" r:id="rId6"/>
    <sheet name="2c.K.részletező" sheetId="7" r:id="rId7"/>
    <sheet name="2d. fejlesztés" sheetId="8" r:id="rId8"/>
    <sheet name="3. maradvány" sheetId="9" r:id="rId9"/>
    <sheet name="4. mérleg" sheetId="10" r:id="rId10"/>
    <sheet name="5. egysz. mérleg" sheetId="11" r:id="rId11"/>
    <sheet name="6 pénzügyi mérleg" sheetId="12" r:id="rId12"/>
    <sheet name="7.eredménykim." sheetId="13" r:id="rId13"/>
    <sheet name="8.műk. mérleg" sheetId="14" r:id="rId14"/>
    <sheet name="8b.műk.mérleg" sheetId="15" r:id="rId15"/>
    <sheet name="9.Fejl. mérleg" sheetId="16" r:id="rId16"/>
    <sheet name="9.b fejl.mérleg" sheetId="17" r:id="rId17"/>
    <sheet name="10.hosszú lej.köt." sheetId="18" r:id="rId18"/>
    <sheet name="11. rövid.lej.köt" sheetId="19" r:id="rId19"/>
    <sheet name="12. kölcsön" sheetId="20" r:id="rId20"/>
    <sheet name="13. létszám" sheetId="21" r:id="rId21"/>
    <sheet name="14.kedv." sheetId="22" r:id="rId22"/>
    <sheet name="15. részesedés" sheetId="23" r:id="rId23"/>
    <sheet name="Vagyonkim.eszk" sheetId="24" r:id="rId24"/>
    <sheet name="Munka6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0">'1a.össz.bevétel'!$A$1:$J$95</definedName>
    <definedName name="_xlnm.Print_Area" localSheetId="2">'1c.bev.részletes'!$A$1:$AF$73</definedName>
    <definedName name="_xlnm.Print_Area" localSheetId="3">'1d.Állami tám.'!$A$1:$K$61</definedName>
    <definedName name="_xlnm.Print_Area" localSheetId="4">'2a.K kiemelt ei.'!$A$1:$BO$59</definedName>
    <definedName name="_xlnm.Print_Area" localSheetId="6">'2c.K.részletező'!$A$1:$BC$140</definedName>
    <definedName name="_xlnm.Print_Area" localSheetId="7">'2d. fejlesztés'!$A$1:$J$112</definedName>
    <definedName name="_xlnm.Print_Area" localSheetId="8">'3. maradvány'!$A$1:$E$24</definedName>
    <definedName name="_xlnm.Print_Area" localSheetId="9">'4. mérleg'!$A$1:$F$161</definedName>
    <definedName name="_xlnm.Print_Area" localSheetId="10">'5. egysz. mérleg'!$A$1:$F$42</definedName>
    <definedName name="_xlnm.Print_Area" localSheetId="11">'6 pénzügyi mérleg'!$A$1:$F$563</definedName>
    <definedName name="_xlnm.Print_Area" localSheetId="13">'8.műk. mérleg'!$A$1:$J$34</definedName>
  </definedNames>
  <calcPr fullCalcOnLoad="1"/>
</workbook>
</file>

<file path=xl/sharedStrings.xml><?xml version="1.0" encoding="utf-8"?>
<sst xmlns="http://schemas.openxmlformats.org/spreadsheetml/2006/main" count="2926" uniqueCount="2162">
  <si>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</si>
  <si>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</si>
  <si>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</si>
  <si>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</si>
  <si>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</si>
  <si>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</si>
  <si>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</si>
  <si>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</si>
  <si>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</si>
  <si>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</si>
  <si>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</si>
  <si>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</si>
  <si>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</si>
  <si>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</si>
  <si>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</si>
  <si>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</si>
  <si>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</si>
  <si>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</si>
  <si>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</si>
  <si>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</si>
  <si>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</si>
  <si>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</si>
  <si>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</si>
  <si>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</si>
  <si>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</si>
  <si>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</si>
  <si>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</si>
  <si>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</si>
  <si>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</si>
  <si>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</si>
  <si>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</si>
  <si>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</si>
  <si>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</si>
  <si>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</si>
  <si>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</si>
  <si>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</si>
  <si>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</si>
  <si>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</si>
  <si>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</si>
  <si>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</si>
  <si>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</si>
  <si>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</si>
  <si>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</si>
  <si>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</si>
  <si>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</si>
  <si>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</si>
  <si>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</si>
  <si>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2006. évi teljesítés</t>
  </si>
  <si>
    <t>2007. évi teljesítés</t>
  </si>
  <si>
    <t>2008. évi teljesítés</t>
  </si>
  <si>
    <t>2009. évi teljesítés</t>
  </si>
  <si>
    <t>2010. évi teljesítés</t>
  </si>
  <si>
    <t>2011. évi teljesítés</t>
  </si>
  <si>
    <t>2012. évi teljesítés</t>
  </si>
  <si>
    <t>2013.évi teljesítés</t>
  </si>
  <si>
    <t>Saját bevételek</t>
  </si>
  <si>
    <t>Átvett pénzeszk.egyéb</t>
  </si>
  <si>
    <t>Önkormányzatok költségvetési támogatása</t>
  </si>
  <si>
    <t>Működési célú hiteltörlesztés
(tőke)</t>
  </si>
  <si>
    <t>Szociális ellátások</t>
  </si>
  <si>
    <t>Támogatás ért. bevétel.(OEP,MK)</t>
  </si>
  <si>
    <t>Pénzeszköz átadás Áht.kívülre</t>
  </si>
  <si>
    <t>Ért.p.értékesítés</t>
  </si>
  <si>
    <t>Működési pénmzeszköz átadás áll.házt.belül</t>
  </si>
  <si>
    <t>Költségvetési visszatérítés</t>
  </si>
  <si>
    <t>EU támogatás</t>
  </si>
  <si>
    <t>Szabad pe.lekötés</t>
  </si>
  <si>
    <t>Működési tartalék</t>
  </si>
  <si>
    <t>ÖSSZESEN:</t>
  </si>
  <si>
    <t>Hiány:</t>
  </si>
  <si>
    <t>Többlet:</t>
  </si>
  <si>
    <t xml:space="preserve">Balatonvilágos Község Önkormányzatának 2013. évi tőkejellegű bevételek és kiadások mérlege
</t>
  </si>
  <si>
    <t>2006. évi 
teljesítés</t>
  </si>
  <si>
    <t>2007. évi 
teljesítés</t>
  </si>
  <si>
    <t>2008. évi 
teljesítés</t>
  </si>
  <si>
    <t>2010.évi teljesítés</t>
  </si>
  <si>
    <t>2011.évi teljesítés</t>
  </si>
  <si>
    <t>2013. évi teljesítés</t>
  </si>
  <si>
    <t>2012.évi teljesítés</t>
  </si>
  <si>
    <t>Önkormányzat felhalm. és tőkejellegű bevételei</t>
  </si>
  <si>
    <t>Intézményi,beruházási kiadások</t>
  </si>
  <si>
    <t>Fejlesztési célú támogatások
( KDRFT, céltám)</t>
  </si>
  <si>
    <t>Felhalmozási célú 
pénzeszköz átadás (Váll.nak)</t>
  </si>
  <si>
    <t>Értékpapír eladás</t>
  </si>
  <si>
    <t>garancia kez.vállalás víziközmű hitel</t>
  </si>
  <si>
    <t>Fejl.c.pe.átv.</t>
  </si>
  <si>
    <t>Felhalmozási célú hiteltörlesztés (tőke)</t>
  </si>
  <si>
    <t>Fejl.c.pe.átv.(közp.előir.)</t>
  </si>
  <si>
    <t>Felhalmcélú hiteltörl.kamata</t>
  </si>
  <si>
    <t>Fejl.c.pe átv. (Víziközmű)</t>
  </si>
  <si>
    <t>Felh.pe.át.lak.</t>
  </si>
  <si>
    <t>Kölcsön visszatérítés</t>
  </si>
  <si>
    <t>Csatorna IV. ütem</t>
  </si>
  <si>
    <t>Közmű visszatérítés</t>
  </si>
  <si>
    <t>Felhalmozási célú tartalék</t>
  </si>
  <si>
    <t>2014. évi teljesítés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</si>
  <si>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</si>
  <si>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</si>
  <si>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</si>
  <si>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</si>
  <si>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</si>
  <si>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</si>
  <si>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</si>
  <si>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</si>
  <si>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</si>
  <si>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</si>
  <si>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</si>
  <si>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</si>
  <si>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</si>
  <si>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</si>
  <si>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</si>
  <si>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</si>
  <si>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</si>
  <si>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</si>
  <si>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</si>
  <si>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</si>
  <si>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</si>
  <si>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</si>
  <si>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</si>
  <si>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</si>
  <si>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</si>
  <si>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</si>
  <si>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</si>
  <si>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</si>
  <si>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</si>
  <si>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</si>
  <si>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</si>
  <si>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</si>
  <si>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</si>
  <si>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</si>
  <si>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</si>
  <si>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</si>
  <si>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</si>
  <si>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</si>
  <si>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</si>
  <si>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</si>
  <si>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</si>
  <si>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</si>
  <si>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</si>
  <si>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</si>
  <si>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</si>
  <si>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</si>
  <si>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</si>
  <si>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</si>
  <si>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</si>
  <si>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</si>
  <si>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</si>
  <si>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</si>
  <si>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</si>
  <si>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</si>
  <si>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</si>
  <si>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</si>
  <si>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</si>
  <si>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</si>
  <si>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</si>
  <si>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</si>
  <si>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</si>
  <si>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</si>
  <si>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</si>
  <si>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</si>
  <si>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</si>
  <si>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</si>
  <si>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</si>
  <si>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</si>
  <si>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</si>
  <si>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</si>
  <si>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</si>
  <si>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</si>
  <si>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</si>
  <si>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</si>
  <si>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</si>
  <si>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</si>
  <si>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</si>
  <si>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</si>
  <si>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</si>
  <si>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</si>
  <si>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</si>
  <si>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</si>
  <si>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</si>
  <si>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</si>
  <si>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</si>
  <si>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</si>
  <si>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</si>
  <si>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</si>
  <si>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</si>
  <si>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</si>
  <si>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</si>
  <si>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</si>
  <si>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</si>
  <si>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</si>
  <si>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</si>
  <si>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</si>
  <si>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</si>
  <si>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</si>
  <si>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</si>
  <si>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</si>
  <si>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</si>
  <si>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</si>
  <si>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</si>
  <si>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</si>
  <si>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</si>
  <si>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</si>
  <si>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</si>
  <si>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</si>
  <si>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</si>
  <si>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</si>
  <si>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</si>
  <si>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</si>
  <si>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</si>
  <si>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</si>
  <si>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</si>
  <si>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</si>
  <si>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</si>
  <si>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</si>
  <si>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</si>
  <si>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</si>
  <si>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</si>
  <si>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</si>
  <si>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</si>
  <si>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</si>
  <si>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</si>
  <si>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</si>
  <si>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</si>
  <si>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</si>
  <si>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</si>
  <si>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</si>
  <si>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</si>
  <si>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</si>
  <si>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</si>
  <si>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</si>
  <si>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Átengedett bevételek</t>
  </si>
  <si>
    <t>Szabad pe.betét bontás</t>
  </si>
  <si>
    <t xml:space="preserve">Balatonvilágos Község Önkormányzatának 2014. évi működési célú  bevételek, működési célú kiadások mérlege
</t>
  </si>
  <si>
    <t>07/A - MARADVÁNYKIMUTATÁS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</si>
  <si>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</si>
  <si>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</si>
  <si>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</si>
  <si>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</si>
  <si>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</si>
  <si>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</si>
  <si>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</si>
  <si>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</si>
  <si>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</si>
  <si>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</si>
  <si>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</si>
  <si>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</si>
  <si>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</si>
  <si>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</si>
  <si>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</si>
  <si>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</si>
  <si>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</si>
  <si>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</si>
  <si>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</si>
  <si>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</si>
  <si>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</si>
  <si>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</si>
  <si>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</si>
  <si>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</si>
  <si>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</si>
  <si>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</si>
  <si>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</si>
  <si>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</si>
  <si>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</si>
  <si>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</si>
  <si>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</si>
  <si>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</si>
  <si>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</si>
  <si>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</si>
  <si>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</si>
  <si>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tev-get terhelő befizetési kötelezettség (=B*0,1)</t>
  </si>
  <si>
    <t>19</t>
  </si>
  <si>
    <t>G)        Vállalkozási tevékenység felhasználható maradványa (=B-F)</t>
  </si>
  <si>
    <t>13/A - Eredménykimutatás</t>
  </si>
  <si>
    <t>Előző időszak</t>
  </si>
  <si>
    <t>Módosítások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</si>
  <si>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</si>
  <si>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</si>
  <si>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</si>
  <si>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</si>
  <si>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</si>
  <si>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</si>
  <si>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</si>
  <si>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</si>
  <si>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</si>
  <si>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</si>
  <si>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</si>
  <si>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</si>
  <si>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</si>
  <si>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</si>
  <si>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</si>
  <si>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</si>
  <si>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</si>
  <si>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</si>
  <si>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</si>
  <si>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</si>
  <si>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</si>
  <si>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</si>
  <si>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</si>
  <si>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</si>
  <si>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</si>
  <si>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</si>
  <si>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</si>
  <si>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</si>
  <si>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</si>
  <si>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</si>
  <si>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</si>
  <si>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</si>
  <si>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</si>
  <si>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</si>
  <si>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</si>
  <si>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</si>
  <si>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</si>
  <si>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</si>
  <si>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</si>
  <si>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</si>
  <si>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</si>
  <si>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</si>
  <si>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</si>
  <si>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</si>
  <si>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</si>
  <si>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</si>
  <si>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</si>
  <si>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</si>
  <si>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</si>
  <si>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</si>
  <si>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</si>
  <si>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</si>
  <si>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</si>
  <si>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</si>
  <si>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</si>
  <si>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</si>
  <si>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</si>
  <si>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</si>
  <si>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</si>
  <si>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</si>
  <si>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</si>
  <si>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</si>
  <si>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</si>
  <si>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</si>
  <si>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</si>
  <si>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</si>
  <si>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</si>
  <si>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</si>
  <si>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</si>
  <si>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</si>
  <si>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</si>
  <si>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</si>
  <si>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</si>
  <si>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</si>
  <si>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</si>
  <si>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</si>
  <si>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</si>
  <si>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</si>
  <si>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</si>
  <si>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</si>
  <si>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</si>
  <si>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</si>
  <si>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</si>
  <si>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</si>
  <si>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</si>
  <si>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</si>
  <si>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</si>
  <si>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</si>
  <si>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</si>
  <si>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</si>
  <si>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</si>
  <si>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</si>
  <si>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</si>
  <si>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</si>
  <si>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</si>
  <si>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</si>
  <si>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</si>
  <si>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</si>
  <si>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</si>
  <si>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</si>
  <si>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</si>
  <si>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</si>
  <si>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</si>
  <si>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</si>
  <si>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</si>
  <si>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</si>
  <si>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</si>
  <si>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</si>
  <si>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</si>
  <si>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</si>
  <si>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</si>
  <si>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</si>
  <si>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</si>
  <si>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</si>
  <si>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</si>
  <si>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</si>
  <si>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</si>
  <si>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</si>
  <si>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</si>
  <si>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</si>
  <si>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</si>
  <si>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</si>
  <si>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</si>
  <si>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</si>
  <si>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</si>
  <si>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</si>
  <si>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</si>
  <si>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</si>
  <si>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Balatonvilágos Község Önkormányzata 2014. ÉVI MÉRLEGE</t>
  </si>
  <si>
    <t>Előző év</t>
  </si>
  <si>
    <t>Módosítás</t>
  </si>
  <si>
    <t>Tárgyév</t>
  </si>
  <si>
    <t>A) Nemzeti vagyonba tartozó befektetett eszközök</t>
  </si>
  <si>
    <t>I. Immateriális javak</t>
  </si>
  <si>
    <t>II. Tárgyi eszközök</t>
  </si>
  <si>
    <t>III. Befektetett pénzügyi eszközök</t>
  </si>
  <si>
    <t>B) Nemzeti vagyonba tartozó forgóeszközök</t>
  </si>
  <si>
    <t>C) Pénzeszközök</t>
  </si>
  <si>
    <t>I. Hosszú lejáratú betétek</t>
  </si>
  <si>
    <t>V. Idegen pénzeszközök</t>
  </si>
  <si>
    <t>D) Követelések</t>
  </si>
  <si>
    <t>E) Egyéb sajátos eszközoldali elszámolások</t>
  </si>
  <si>
    <t>F) Aktív időbeli elhatárolások</t>
  </si>
  <si>
    <t>ESZKÖZÖK ÖSSZESEN</t>
  </si>
  <si>
    <t>G) Saját tőke</t>
  </si>
  <si>
    <t>I. Nemzeti vagyon induláskori értéke</t>
  </si>
  <si>
    <t>II. Nemzeti vagyon változásai</t>
  </si>
  <si>
    <t>III. Egyéb eszközök induláskori értéke</t>
  </si>
  <si>
    <t>IV. Felhalmozott eredmény</t>
  </si>
  <si>
    <t>V. Eszközök értékhelyesbítésének forrása</t>
  </si>
  <si>
    <t>VI. Mérleg szerinti eredmény</t>
  </si>
  <si>
    <t>H) Kötelezettségek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</si>
  <si>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</si>
  <si>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</si>
  <si>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</si>
  <si>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I) Egyéb sajátos forrásoldali elszámolások</t>
  </si>
  <si>
    <t>J) Kincstári számlavezetéssel kapcsolatos elszámolások</t>
  </si>
  <si>
    <t>K) Passzív időbeli elhatárolások</t>
  </si>
  <si>
    <t>FORRÁSOK ÖSSZESEN</t>
  </si>
  <si>
    <t>Részesedés értékesítés</t>
  </si>
  <si>
    <t xml:space="preserve">           Átadott pénzeszköz</t>
  </si>
  <si>
    <t>Eredeti előirányzat</t>
  </si>
  <si>
    <t>1.5</t>
  </si>
  <si>
    <t>Balatonvilágos Község Önkrományzata 2014. ÉVI EGYSZERŰSÍTETT MÉRLEGE</t>
  </si>
  <si>
    <t>1/b melléklet a   …./2015.(…...) önkormányzati rendelethez</t>
  </si>
  <si>
    <t>1/c .melléklet a  …../2015.(…...) önkormányzati rendelethez</t>
  </si>
  <si>
    <t>1/d melléklet a ….../2015.(…...) önkormányzati rendelethez</t>
  </si>
  <si>
    <t>2/a melléklet a ….../2015.(…....) önkormányzati rendelethez</t>
  </si>
  <si>
    <t>2/b melléklet a …../2015.(…....) önkormányzati rendelethez</t>
  </si>
  <si>
    <t>2/c melléklet a …./2015.(…....) önkormányzati rendelethez</t>
  </si>
  <si>
    <t>2/d melléklet a .../2015.(…...) önkormányzati rendelethez</t>
  </si>
  <si>
    <t>3. melléklet a …../2015.(…….) önkormányzati rendelethez</t>
  </si>
  <si>
    <t>4. melléklet a …./2015.(……..) önkormányzati rendelethez</t>
  </si>
  <si>
    <t>5. melléklet a …./2015.(………) önkormányzati rendelethez</t>
  </si>
  <si>
    <t>7. melléklet a …/2015.(………) önkormányzati rendelethez</t>
  </si>
  <si>
    <t>8/a melléklet a …../2015.(……..) önkormányzati rendelethez</t>
  </si>
  <si>
    <t>9/a melléklet a …../2015.(…..) önkormányzati rendelethez</t>
  </si>
  <si>
    <t>9/b melléklet a …../2015.(…….) önkormányzati rendelethez</t>
  </si>
  <si>
    <t>8/b  melléklet a …../2015.(…....) önkormányzati rendelethez</t>
  </si>
  <si>
    <t>10 melléklet a ….../2015.(…….) önkormányzati rendelethez</t>
  </si>
  <si>
    <t>2018</t>
  </si>
  <si>
    <t>11. melléklet a …./2015.(……) önkormányzati rendelethez</t>
  </si>
  <si>
    <t>12. melléklet a …./2015.(…....) önkormányzati rendelethez</t>
  </si>
  <si>
    <t>13. melléklet a .../2015.(…...) önkormányzati rendelethez</t>
  </si>
  <si>
    <t>14 melléklet a …../2015.(……..)  önkormányzati rendelethez</t>
  </si>
  <si>
    <t>Balatonvilágos Község 2014 évi Pénzügyi mérlege</t>
  </si>
  <si>
    <t>02 - Beszámoló a B1-B7. Költségvetési bevételek előirányzatának teljesítéséről</t>
  </si>
  <si>
    <t>Előirányzat módosított</t>
  </si>
  <si>
    <t>Teljesítés összege</t>
  </si>
  <si>
    <t>Előirányzat eredeti</t>
  </si>
  <si>
    <t>Követelés költségvetési évben esedékes</t>
  </si>
  <si>
    <t>Követelés költségvetési évet követően esedékes</t>
  </si>
  <si>
    <t>1.1</t>
  </si>
  <si>
    <t>Helyi önkormányzatok működésének ált. támogatása        (B111)</t>
  </si>
  <si>
    <t>1.2</t>
  </si>
  <si>
    <t>Települési önkorm-k egyes köznevelési feladatainak támogatása        (B112)</t>
  </si>
  <si>
    <t>1.3</t>
  </si>
  <si>
    <t>Települési önkormányzatok szociális, gyermekjóléti és gyermekétkeztetési feladatainak támogatása        (B113)</t>
  </si>
  <si>
    <t>1.4</t>
  </si>
  <si>
    <t>Települési önk-k kulturális feladatainak támogatása        (B114)</t>
  </si>
  <si>
    <t>Működési célú központosított előirányzatok        (B115)</t>
  </si>
  <si>
    <t>1.6</t>
  </si>
  <si>
    <t>Helyi önkormányzatok kiegészítő támogatásai        (B116)</t>
  </si>
  <si>
    <t>2.1</t>
  </si>
  <si>
    <t>Egyéb működési célú tám. bevételei államháztartáson belülről</t>
  </si>
  <si>
    <t>2</t>
  </si>
  <si>
    <t>Működési célú támogatások államháztartáson belülről (=07+...+10+21+32)        (B1)</t>
  </si>
  <si>
    <t>3.1</t>
  </si>
  <si>
    <t>Felhalmozási célú támogatások államháztartáson belülről        (B2)</t>
  </si>
  <si>
    <t>Magánszemélyek jövedelemadói (=81+82+83)        (B311)</t>
  </si>
  <si>
    <t>ebből: személyi jövedelemadó        (B311)</t>
  </si>
  <si>
    <t>ebből: magánszemély jogviszonyának megszűnéséhez kapcsolódó egyes jöv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</si>
  <si>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</si>
  <si>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</si>
  <si>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</si>
  <si>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</si>
  <si>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</si>
  <si>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</si>
  <si>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</si>
  <si>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</si>
  <si>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</si>
  <si>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</si>
  <si>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3.2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</si>
  <si>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</si>
  <si>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</si>
  <si>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</si>
  <si>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egbizt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</si>
  <si>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</si>
  <si>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</si>
  <si>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</si>
  <si>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</si>
  <si>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</si>
  <si>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</si>
  <si>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</si>
  <si>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</si>
  <si>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</si>
  <si>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</si>
  <si>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pénzügyi vállalkozás        (B8113)</t>
  </si>
  <si>
    <t>Hitel-, kölcsönfelvétel államháztartáson kívülről        (B811)</t>
  </si>
  <si>
    <t>11.1</t>
  </si>
  <si>
    <t>Forg-i célú belf-i értékpapírok beváltása, értékesítése      (B8121)</t>
  </si>
  <si>
    <t>11.2</t>
  </si>
  <si>
    <t>Forgatási célú belföldi értékpapírok kibocsátása        (B8122)</t>
  </si>
  <si>
    <t>11.3</t>
  </si>
  <si>
    <t>Befekt-i célú belf-i értékpapír beváltás, értékesítés        (B8123)</t>
  </si>
  <si>
    <t>11.4</t>
  </si>
  <si>
    <t>Befektetési célú belföldi értékpapírok kibocsátása        (B8124)</t>
  </si>
  <si>
    <t>Belföldi értékpapírok bevételei     (B812)</t>
  </si>
  <si>
    <t>12.1</t>
  </si>
  <si>
    <t>Előző év költségvetési maradványának igénybevétele        (B8131)</t>
  </si>
  <si>
    <t>12.2</t>
  </si>
  <si>
    <t>Előző év vállalkozási maradványának igénybevétele        (B8132)</t>
  </si>
  <si>
    <t>Maradvány igénybevétele        (B813)</t>
  </si>
  <si>
    <t>13.1</t>
  </si>
  <si>
    <t>Államháztartáson belüli megelőlegezések        (B814)</t>
  </si>
  <si>
    <t>Önkormányzati bevételek 2014.</t>
  </si>
  <si>
    <t>Fejlesztési bevételek</t>
  </si>
  <si>
    <t>Telekértékesítés</t>
  </si>
  <si>
    <t>Lakásvásárlás törl. (Gagarin)</t>
  </si>
  <si>
    <t>Fejlesztési pénzmaradvány</t>
  </si>
  <si>
    <t>Összesen:</t>
  </si>
  <si>
    <t>Müködési bevételek:</t>
  </si>
  <si>
    <t>ÁT feladatfinanszírozás</t>
  </si>
  <si>
    <t>Egyes jöv.pótló tám.</t>
  </si>
  <si>
    <t>Építményadó</t>
  </si>
  <si>
    <t>Telekadó</t>
  </si>
  <si>
    <t xml:space="preserve">Idegenforg adó tartózk. után  </t>
  </si>
  <si>
    <t xml:space="preserve">Idegenforg adó épület után  </t>
  </si>
  <si>
    <t>Pótlék, bírság</t>
  </si>
  <si>
    <t>Kamatbevétel</t>
  </si>
  <si>
    <t>TB támogatás (Védőnői sz.)</t>
  </si>
  <si>
    <t>Működési bevételek összese:</t>
  </si>
  <si>
    <t>Önkormányzati tevékenység bevételei összesen:</t>
  </si>
  <si>
    <t>GEVSZ bevételek 2014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</si>
  <si>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</si>
  <si>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</si>
  <si>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</si>
  <si>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</si>
  <si>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</si>
  <si>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</si>
  <si>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</si>
  <si>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</si>
  <si>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</si>
  <si>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</si>
  <si>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</si>
  <si>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</si>
  <si>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</si>
  <si>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</si>
  <si>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</si>
  <si>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</si>
  <si>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</si>
  <si>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</si>
  <si>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</si>
  <si>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</si>
  <si>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</si>
  <si>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</si>
  <si>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</si>
  <si>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</si>
  <si>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</si>
  <si>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</si>
  <si>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</si>
  <si>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</si>
  <si>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</si>
  <si>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841358 Turizmusfejlesztés támogatás</t>
  </si>
  <si>
    <t>869041 OEP finanszírozás</t>
  </si>
  <si>
    <t>889928 Önkorm.által nyújtott lakástám.visszatérítés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</si>
  <si>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</si>
  <si>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</si>
  <si>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</si>
  <si>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</si>
  <si>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</si>
  <si>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</si>
  <si>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</si>
  <si>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</si>
  <si>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</si>
  <si>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</si>
  <si>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</si>
  <si>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</si>
  <si>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</si>
  <si>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</si>
  <si>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</si>
  <si>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949900 Családi ünnepek szervezetése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</si>
  <si>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</si>
  <si>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</si>
  <si>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</si>
  <si>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</si>
  <si>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</si>
  <si>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</si>
  <si>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</si>
  <si>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</si>
  <si>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</si>
  <si>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</si>
  <si>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</si>
  <si>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</si>
  <si>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</si>
  <si>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</si>
  <si>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</si>
  <si>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</si>
  <si>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</si>
  <si>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</si>
  <si>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</si>
  <si>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</si>
  <si>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</si>
  <si>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</si>
  <si>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</si>
  <si>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841358 Turizmusfejl.tám.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</si>
  <si>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</si>
  <si>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</si>
  <si>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</si>
  <si>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</si>
  <si>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</si>
  <si>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</si>
  <si>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</si>
  <si>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</si>
  <si>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</si>
  <si>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</si>
  <si>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682001 Lakóing.haszn.</t>
  </si>
  <si>
    <t>682002 Nem lakóing.haszn.</t>
  </si>
  <si>
    <t>841403 Vg.Mns.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</si>
  <si>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</si>
  <si>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</si>
  <si>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</si>
  <si>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</si>
  <si>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</si>
  <si>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</si>
  <si>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</si>
  <si>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</si>
  <si>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Intézményi ellátási díjak</t>
  </si>
  <si>
    <t>Alkalmazottak térítése</t>
  </si>
  <si>
    <t>Egyéb alaptev.bevétele</t>
  </si>
  <si>
    <t>Alaptevékenység bev.össz.</t>
  </si>
  <si>
    <t>Alaptev.kör.végzett szolg.</t>
  </si>
  <si>
    <t>továbbszámlázott szolg.</t>
  </si>
  <si>
    <t>Intézmnyek egyéb saj.bev.</t>
  </si>
  <si>
    <t>MűködésreÁFA visszetérülése</t>
  </si>
  <si>
    <t>Fejlesztéi ÁFA visszatérülése</t>
  </si>
  <si>
    <t>Kiszámlázott ÁFA</t>
  </si>
  <si>
    <t>Ért.tárgyi eszk ÁFA</t>
  </si>
  <si>
    <t>ÁFA bevételek és visszatér.</t>
  </si>
  <si>
    <t>ÁHT kivüli befekt.pü.e.kamat</t>
  </si>
  <si>
    <t>Kamatbevételek</t>
  </si>
  <si>
    <t>Intézm. működési bev. Össz.</t>
  </si>
  <si>
    <t>Lakástámogatás visszatér</t>
  </si>
  <si>
    <t>Önk.telek értékesítés</t>
  </si>
  <si>
    <t>Tárgyi eszk ért.összesen</t>
  </si>
  <si>
    <t>Önk.sajátos felhalm bev-</t>
  </si>
  <si>
    <t>Felhalm.kölcsön törl.visszafiz.</t>
  </si>
  <si>
    <t>Pü.befektetések bevételei</t>
  </si>
  <si>
    <t>Felhalm és tőkejell.bev. Össz.</t>
  </si>
  <si>
    <t>Önkorm. Költségvetési tám.</t>
  </si>
  <si>
    <t>Előző évi visszatérülés</t>
  </si>
  <si>
    <t>Tám.ért.bev.Munkaügyi kp</t>
  </si>
  <si>
    <t>Tám.ért.bev.OEP.</t>
  </si>
  <si>
    <t>Tám.érté.bev. EgyébÁTVETT</t>
  </si>
  <si>
    <t>Támogértk.bevétel GM(turisztika)</t>
  </si>
  <si>
    <t>Felhalm.pe.átvétel háztartástól</t>
  </si>
  <si>
    <t>Felhalm.pe.átvétel ÁH kívül</t>
  </si>
  <si>
    <t>Támog.kieg.visszatér.össz.</t>
  </si>
  <si>
    <t>Pénzmaradvány</t>
  </si>
  <si>
    <t xml:space="preserve">Helyi adók </t>
  </si>
  <si>
    <t>Átengedett központi adó</t>
  </si>
  <si>
    <t>Egyéb sajátos bevétel</t>
  </si>
  <si>
    <t>Önk. sajátos bev. összesen</t>
  </si>
  <si>
    <t>Önkormányzati kötelező fel.</t>
  </si>
  <si>
    <t>Közoktatási Intézmények</t>
  </si>
  <si>
    <t>Gyermekétkeztetés</t>
  </si>
  <si>
    <t>Könyvtári támogatás</t>
  </si>
  <si>
    <t>Jövedelempótlő tám</t>
  </si>
  <si>
    <t>Központosított áll.tám.</t>
  </si>
  <si>
    <t>Állami támogatás összesen</t>
  </si>
  <si>
    <t>Bevételek összesen</t>
  </si>
  <si>
    <t>Bevételek megoszlása 2014.</t>
  </si>
  <si>
    <t>Bevételek 2014.</t>
  </si>
  <si>
    <t>Kiadások 2014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</si>
  <si>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</si>
  <si>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</si>
  <si>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</si>
  <si>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</si>
  <si>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</si>
  <si>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</si>
  <si>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</si>
  <si>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</si>
  <si>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</si>
  <si>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</si>
  <si>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Hozzájárulás Közös önkormányzati hivatalhoz</t>
  </si>
  <si>
    <t>Önkormányzat és feladatai összesen:</t>
  </si>
  <si>
    <t>Napköziotthonos Óvoda</t>
  </si>
  <si>
    <t>Szennyvízelvezetés, kezelés</t>
  </si>
  <si>
    <t>*</t>
  </si>
  <si>
    <t>Lakóingatlan hasznosítása</t>
  </si>
  <si>
    <t>Nem lakóingatlan üzemeltetése</t>
  </si>
  <si>
    <t>Állategészségügyi tevékenység</t>
  </si>
  <si>
    <t>Közvilágítás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</si>
  <si>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</si>
  <si>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</si>
  <si>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</si>
  <si>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</si>
  <si>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</si>
  <si>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</si>
  <si>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</si>
  <si>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</si>
  <si>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</si>
  <si>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</si>
  <si>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</si>
  <si>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</si>
  <si>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</si>
  <si>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</si>
  <si>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</si>
  <si>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</si>
  <si>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</si>
  <si>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</si>
  <si>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</si>
  <si>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</si>
  <si>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</si>
  <si>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Önkományzat összesen: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</si>
  <si>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</si>
  <si>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</si>
  <si>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</si>
  <si>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</si>
  <si>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</si>
  <si>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</si>
  <si>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</si>
  <si>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</si>
  <si>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</si>
  <si>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</si>
  <si>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</si>
  <si>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</si>
  <si>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</si>
  <si>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</si>
  <si>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</si>
  <si>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</si>
  <si>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</si>
  <si>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</si>
  <si>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</si>
  <si>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</si>
  <si>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</si>
  <si>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</si>
  <si>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</si>
  <si>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</si>
  <si>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</si>
  <si>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</si>
  <si>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</si>
  <si>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</si>
  <si>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</si>
  <si>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</si>
  <si>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</si>
  <si>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</si>
  <si>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</si>
  <si>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</si>
  <si>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</si>
  <si>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</si>
  <si>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</si>
  <si>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</si>
  <si>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</si>
  <si>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</si>
  <si>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</si>
  <si>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</si>
  <si>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</si>
  <si>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</si>
  <si>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</si>
  <si>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</si>
  <si>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</si>
  <si>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</si>
  <si>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</si>
  <si>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</si>
  <si>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</si>
  <si>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</si>
  <si>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AZ</t>
  </si>
  <si>
    <t>BA</t>
  </si>
  <si>
    <t>BB</t>
  </si>
  <si>
    <t>Önkormányzatin tevékenység</t>
  </si>
  <si>
    <t>680001 Lakóing.haszn.</t>
  </si>
  <si>
    <t>841403 Város és Kg.</t>
  </si>
  <si>
    <t>854234 Szoc.ösztöndíjak</t>
  </si>
  <si>
    <t>882111 Szociális segély</t>
  </si>
  <si>
    <t>882113 Norm.lakásfennt.tám.</t>
  </si>
  <si>
    <t>882117 Rendsz.gyvéd.pénzb ell.</t>
  </si>
  <si>
    <t>882122 Átmeneti segély</t>
  </si>
  <si>
    <t>882123 Temetési segély</t>
  </si>
  <si>
    <t>882124 Rendkív gyvéd. ell.</t>
  </si>
  <si>
    <t>882129 Egyéb önk.ell.</t>
  </si>
  <si>
    <t xml:space="preserve">882202 Közgyógy ell. </t>
  </si>
  <si>
    <t>889942 Önláltal nyúj.lakástám.</t>
  </si>
  <si>
    <t>841907 Önkorm.elsz.szerv.</t>
  </si>
  <si>
    <t>Önkorm.összesen</t>
  </si>
  <si>
    <t>801115 Óvodai nevelés</t>
  </si>
  <si>
    <t>370000 Szennyvíz gyűjt.</t>
  </si>
  <si>
    <t>522110 Közutak</t>
  </si>
  <si>
    <t>562912 Óvodai étk</t>
  </si>
  <si>
    <t>562913 Iskolai étkez.</t>
  </si>
  <si>
    <t>562917 Munkh.vend.</t>
  </si>
  <si>
    <t>562916 Vendég, tábor étk.</t>
  </si>
  <si>
    <t>750000 Állat-eü.ell.</t>
  </si>
  <si>
    <t>811000 Építményüz.</t>
  </si>
  <si>
    <t>813000 Zöldter.kez.</t>
  </si>
  <si>
    <t>841154GEVSZ Központ</t>
  </si>
  <si>
    <t>841402 Közvilágítás</t>
  </si>
  <si>
    <t>841403 Város és kg.g.</t>
  </si>
  <si>
    <t>842155 Nemzetközi kapcs.</t>
  </si>
  <si>
    <t>852011 Iskolai oktatás</t>
  </si>
  <si>
    <t>862101 Háziorvosi ellátás</t>
  </si>
  <si>
    <t>862102 Ügyelet</t>
  </si>
  <si>
    <t>862231 Fogl.eü.tev.</t>
  </si>
  <si>
    <t xml:space="preserve">862231 Fogorv. alapell. </t>
  </si>
  <si>
    <t>869041 Család és nő véd.</t>
  </si>
  <si>
    <t>889921 Szoc.étk.</t>
  </si>
  <si>
    <t>889924 Családsegítés</t>
  </si>
  <si>
    <t>889928 Tanyagondnoki sz.</t>
  </si>
  <si>
    <t>890301 Civil sz.tám.</t>
  </si>
  <si>
    <t>890442 Közmunkaprogram</t>
  </si>
  <si>
    <t>890444 Téli közfogl</t>
  </si>
  <si>
    <t>910123 Könyvtári szolg.</t>
  </si>
  <si>
    <t>910502 Közös.színt.műk.</t>
  </si>
  <si>
    <t>932911 Fűrdő és str.</t>
  </si>
  <si>
    <t>949900 Családi ünn.szerv</t>
  </si>
  <si>
    <t>960302 Köztemető</t>
  </si>
  <si>
    <t>GEVSZ Összesen</t>
  </si>
  <si>
    <t>Teljes önkormányzat</t>
  </si>
  <si>
    <t>Alapilletmény</t>
  </si>
  <si>
    <t>Illetménykiegészítés</t>
  </si>
  <si>
    <t>Nyelvpótlék</t>
  </si>
  <si>
    <t>Egyéb köt.pótlék</t>
  </si>
  <si>
    <t>egyéb felt.függő pótl.</t>
  </si>
  <si>
    <t>Egyéb költségtérítés</t>
  </si>
  <si>
    <t>Telj.munkaid.fogl.jutt.</t>
  </si>
  <si>
    <t>Részmunk.fogl.rendsz.</t>
  </si>
  <si>
    <t>Rensz.szem.jutt.össz.</t>
  </si>
  <si>
    <t>Munkvégz.kapcs.jutt.ö.</t>
  </si>
  <si>
    <t>Jutalom</t>
  </si>
  <si>
    <t>Jubileumi jutalom</t>
  </si>
  <si>
    <t>Telj.munkaid.fogl saj.jutt.</t>
  </si>
  <si>
    <t>Részmunk.fogl.saj.jutt.</t>
  </si>
  <si>
    <t>Fogl.saj.juttatásai ö.</t>
  </si>
  <si>
    <t>Ruházati ktg.térítés</t>
  </si>
  <si>
    <t>Közl.ktg.térítés</t>
  </si>
  <si>
    <t>Cafetéria (étkezési hj.)</t>
  </si>
  <si>
    <t>Szemkapcs.ktg.tér.össz.</t>
  </si>
  <si>
    <t>Részm.kapcs.ktg.tér.</t>
  </si>
  <si>
    <t>Szemkapcs.ktg.tér.és hj.ö.</t>
  </si>
  <si>
    <t>Teljes midős szoc.jutt.</t>
  </si>
  <si>
    <t>Részm.szoc.jutt.</t>
  </si>
  <si>
    <t>Szoc.jutt.össz.</t>
  </si>
  <si>
    <t>Részm.nem rendsz.jutt.</t>
  </si>
  <si>
    <t>Nem rendsz.jutt.össz.</t>
  </si>
  <si>
    <t>Állományba nem tart.jutt.</t>
  </si>
  <si>
    <t>Megbizási dij</t>
  </si>
  <si>
    <t>Képviselői tiszteletdij</t>
  </si>
  <si>
    <t>Polgármester tiszteletdíj</t>
  </si>
  <si>
    <t>Külső juttatások összesen</t>
  </si>
  <si>
    <t>Szociális hozzájár.adó</t>
  </si>
  <si>
    <t>Eü hozzájárulás</t>
  </si>
  <si>
    <t>Táppénz hj.</t>
  </si>
  <si>
    <t>Munkadót terh. Járulékok</t>
  </si>
  <si>
    <t>Élelmiszer</t>
  </si>
  <si>
    <t>Könyv,folyóirat</t>
  </si>
  <si>
    <t>Egyéb inf.hordozó besz.</t>
  </si>
  <si>
    <t>Készletbeszerzés</t>
  </si>
  <si>
    <t>Komm.szolg. össz.</t>
  </si>
  <si>
    <t>Vásárolt élelmezés</t>
  </si>
  <si>
    <t>villamosenergia</t>
  </si>
  <si>
    <t>Vízdíj, csatornadíj</t>
  </si>
  <si>
    <t>Ingatlan karbantartás</t>
  </si>
  <si>
    <t>Továbbszáml.szolg.áht.belül.</t>
  </si>
  <si>
    <t>Szolgáltatások össz.</t>
  </si>
  <si>
    <t>Vásárolg közszolg.</t>
  </si>
  <si>
    <t>Vásárolt term. ÁFA</t>
  </si>
  <si>
    <t>ÁFA befizetés</t>
  </si>
  <si>
    <t>ÁFA összesen</t>
  </si>
  <si>
    <t>Belföldi kiküldetés</t>
  </si>
  <si>
    <t>Reklám és propaganda</t>
  </si>
  <si>
    <t>Kiküld.repi,reklám össz.</t>
  </si>
  <si>
    <t>Egyéb dologi kiadások</t>
  </si>
  <si>
    <t>Dologi összesen:</t>
  </si>
  <si>
    <t>Egyéb befiz.köt.</t>
  </si>
  <si>
    <t>Különféle ktgvetési befiz.</t>
  </si>
  <si>
    <t>Munkálató SZJA</t>
  </si>
  <si>
    <t>Adók, díjak össz.</t>
  </si>
  <si>
    <t>Kamat áht.kivülre</t>
  </si>
  <si>
    <t>Egyéb folyó kiad.össz.</t>
  </si>
  <si>
    <t>Dologi és folyó kiad.össz.</t>
  </si>
  <si>
    <t>Önk. által folyós.ellátások</t>
  </si>
  <si>
    <t>Működési célú pénz.átad.ÁHK belül</t>
  </si>
  <si>
    <t>Oktatási intézmények műk.hozzájár.</t>
  </si>
  <si>
    <t>Műk.célú pénz.át.ÁHT kívül</t>
  </si>
  <si>
    <t>Müködési kiadások össz.</t>
  </si>
  <si>
    <t>Ing.felújítás</t>
  </si>
  <si>
    <t>Felújítás ÁFA</t>
  </si>
  <si>
    <t>Felújítás összesen:</t>
  </si>
  <si>
    <t>Jármű vásárlás</t>
  </si>
  <si>
    <t>Felhalm kiad.össz.</t>
  </si>
  <si>
    <t>Beruházás összeen</t>
  </si>
  <si>
    <t>Felh.célú pénz.átadás ÁHT.belül</t>
  </si>
  <si>
    <t>Felhalm.kiadások ÁHT kívülssz.</t>
  </si>
  <si>
    <t>Bahart tőkeemelés</t>
  </si>
  <si>
    <t>Felhalm.kiadások össz.</t>
  </si>
  <si>
    <t>Kiadások összesen:</t>
  </si>
  <si>
    <t>Műk.tartalék</t>
  </si>
  <si>
    <t>Fejl. Tartalék</t>
  </si>
  <si>
    <t>Céltartalék</t>
  </si>
  <si>
    <t>Tartalék összesen:</t>
  </si>
  <si>
    <t>Költvetési kiadások össz.</t>
  </si>
  <si>
    <t>Állami támogatás megoszlása 2014. évben</t>
  </si>
  <si>
    <t xml:space="preserve">normatíva egysége  </t>
  </si>
  <si>
    <t>Normatíva összege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</si>
  <si>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</si>
  <si>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</si>
  <si>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</si>
  <si>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</si>
  <si>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</si>
  <si>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</si>
  <si>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</si>
  <si>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</si>
  <si>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</si>
  <si>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1.</t>
  </si>
  <si>
    <t>2.</t>
  </si>
  <si>
    <t>Óvoda működési tám 8/12</t>
  </si>
  <si>
    <t>Óvoda működési tám 4/12</t>
  </si>
  <si>
    <t>Köznevelési feladatok összesen:</t>
  </si>
  <si>
    <t>Hozzájárulás a pénzbeli szoc.ell.</t>
  </si>
  <si>
    <t>3.</t>
  </si>
  <si>
    <t>Egyes szoc.alapellátások tám.</t>
  </si>
  <si>
    <t>Tanyagondnki szolgáltatás</t>
  </si>
  <si>
    <t>Kistelepülések szoc.felad.tám.</t>
  </si>
  <si>
    <t>Szoc. és gyerekjóléti szolg. összesen:</t>
  </si>
  <si>
    <t>5.</t>
  </si>
  <si>
    <t>Gyermekétkeztetés támogatása</t>
  </si>
  <si>
    <t>Üdülőhelyi feladatok</t>
  </si>
  <si>
    <t>Lakott külterületi feladatok</t>
  </si>
  <si>
    <t>Központosított támogatás összesen</t>
  </si>
  <si>
    <t>Rendszeres szociális segély 90%</t>
  </si>
  <si>
    <t>Foglalkoztatást helyettesítő támogatás  80%</t>
  </si>
  <si>
    <t>13.2</t>
  </si>
  <si>
    <t>Államháztartáson belüli megelőlegezések törlesztése        (B815)</t>
  </si>
  <si>
    <t>13.4</t>
  </si>
  <si>
    <t>Betétek megszüntetése        (B817)</t>
  </si>
  <si>
    <t>13.5</t>
  </si>
  <si>
    <t>Központi költségvetés sajátos finanszírozási bevételei    (B818)</t>
  </si>
  <si>
    <t>ebből: tulajdonosi kölcsönök visszatérülése        (B818)</t>
  </si>
  <si>
    <t>Belföldi finanszírozás bevételei        (B81)</t>
  </si>
  <si>
    <t>14.1</t>
  </si>
  <si>
    <t>Forg-i célú külf-i értékpapír beváltás, értékesítés        (B821)</t>
  </si>
  <si>
    <t>14.2</t>
  </si>
  <si>
    <t>Befekt-i célú külföldi értékpapírok beváltás, értékesítés        (B822)</t>
  </si>
  <si>
    <t>14.3</t>
  </si>
  <si>
    <t>Külföldi értékpapírok kibocsátása        (B823)</t>
  </si>
  <si>
    <t>14.4</t>
  </si>
  <si>
    <t>Külföldi hitelek, kölcsönök felvétele        (B824)</t>
  </si>
  <si>
    <t>14.5</t>
  </si>
  <si>
    <t>ebből: nemzetközi fejlesztési szervezetek        (B824)</t>
  </si>
  <si>
    <t>14.6</t>
  </si>
  <si>
    <t>ebből: más kormányok        (B824)</t>
  </si>
  <si>
    <t>14.7</t>
  </si>
  <si>
    <t>ebből: külföldi pénzintézetek        (B824)</t>
  </si>
  <si>
    <t>Külföldi finanszírozás bevételei         (B82)</t>
  </si>
  <si>
    <t>Adóssághoz nem kapcsolódó származékos ügyletek bevételei        (B83)</t>
  </si>
  <si>
    <t>Finanszírozási bevételek        (B8)</t>
  </si>
  <si>
    <t>Költségvetési és finanszirozási bevételek összesen</t>
  </si>
  <si>
    <t>01 - Beszámoló a K1.-K8. Költségvetési kiadások előirányzatának teljesítéséről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</si>
  <si>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</si>
  <si>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</si>
  <si>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</si>
  <si>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</si>
  <si>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</si>
  <si>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</si>
  <si>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</si>
  <si>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</si>
  <si>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</si>
  <si>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</si>
  <si>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</si>
  <si>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</si>
  <si>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</si>
  <si>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</si>
  <si>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</si>
  <si>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</si>
  <si>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ir. E.jogvisz-ban nem saját foglalkoztatottnak fiz juttatás  (K122)</t>
  </si>
  <si>
    <t>Egyéb külső személyi juttatások        (K123)</t>
  </si>
  <si>
    <t>Külső személyi juttatások (=16+17+18)        (K12)</t>
  </si>
  <si>
    <t>Személyi juttatások összesen (=15+19)        (K1)</t>
  </si>
  <si>
    <t xml:space="preserve">Munkaadókat terhelő járulékok és szoc hozzájárulás  K2                                                                                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</si>
  <si>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</si>
  <si>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</si>
  <si>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</si>
  <si>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</si>
  <si>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</si>
  <si>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</si>
  <si>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</si>
  <si>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</si>
  <si>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</si>
  <si>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</si>
  <si>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</si>
  <si>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</si>
  <si>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</si>
  <si>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</si>
  <si>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</si>
  <si>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</si>
  <si>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</si>
  <si>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</si>
  <si>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</si>
  <si>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</si>
  <si>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</si>
  <si>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</si>
  <si>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</si>
  <si>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</si>
  <si>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</si>
  <si>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</si>
  <si>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 (=46+47)        (K34)</t>
  </si>
  <si>
    <t>Működési célú előzetesen felsz.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</si>
  <si>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</si>
  <si>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</si>
  <si>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</si>
  <si>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</si>
  <si>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</si>
  <si>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</si>
  <si>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</si>
  <si>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</si>
  <si>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</si>
  <si>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r>
      <t xml:space="preserve">Különféle befiz-k és egyéb dologi kiad </t>
    </r>
    <r>
      <rPr>
        <sz val="8"/>
        <rFont val="Arial"/>
        <family val="2"/>
      </rPr>
      <t>(=49+50+51+54+58) (K35)</t>
    </r>
  </si>
  <si>
    <t>Dologi kiadások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</si>
  <si>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</si>
  <si>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</si>
  <si>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</si>
  <si>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</si>
  <si>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</si>
  <si>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</si>
  <si>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</si>
  <si>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</si>
  <si>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</si>
  <si>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</si>
  <si>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       (K42)</t>
  </si>
  <si>
    <t>ebből: óvodáztatási támogatás [Gyvt. 20/C. §]        (K42)</t>
  </si>
  <si>
    <t>ebből:  az egyéb pénzbeli és természetbeni gyermekvédelmi támogatások     K42</t>
  </si>
  <si>
    <t>Pénzbeli kárpótlások, kártérítések        (K43)</t>
  </si>
  <si>
    <t>Betegséggel kapcs (nem társadalombiztosítási) ellátások (=76+…+82)    K44</t>
  </si>
  <si>
    <t>ebből: ápolási díj        (K44)</t>
  </si>
  <si>
    <t>ebből: fogyatékossági támogatás és vakok személyi járadéka       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</si>
  <si>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</si>
  <si>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</si>
  <si>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bek.]        (K44)</t>
  </si>
  <si>
    <t>ebből: cukorbetegek támogatása        (K44)</t>
  </si>
  <si>
    <t>ebből: helyi megállapítású közgyógyellátás [Szoctv.50.§ (3) bek.]         (K44)</t>
  </si>
  <si>
    <t>Foglalkoztatással, munkanélküliséggel kapcs ellát.(=84+…+92)    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</si>
  <si>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</si>
  <si>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</si>
  <si>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</si>
  <si>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</si>
  <si>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</si>
  <si>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</si>
  <si>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</si>
  <si>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</si>
  <si>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</si>
  <si>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(=94+…+99)        (K46)</t>
  </si>
  <si>
    <t>ebből: hozzájárulás a lakossági energiaköltségekhez        (K46)</t>
  </si>
  <si>
    <t>ebből: lakbértámogatás        (K46)</t>
  </si>
  <si>
    <t>ebből: lakásfennt. tám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</si>
  <si>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</si>
  <si>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</si>
  <si>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</si>
  <si>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(&gt;=101+102)        (K47)</t>
  </si>
  <si>
    <t>ebből: állami gondozottak pénzbeli juttatásai        (K47)</t>
  </si>
  <si>
    <t>ebből: oktatásban résztvevők pénzbeli juttatásai        (K47)</t>
  </si>
  <si>
    <t>Egyéb nem intézményi ellátások (&gt;=104+…+126)       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</si>
  <si>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</si>
  <si>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</si>
  <si>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</si>
  <si>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</si>
  <si>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</si>
  <si>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 idő után járó) nyugdíj-kieg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</si>
  <si>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</si>
  <si>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</si>
  <si>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</si>
  <si>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szoctám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</si>
  <si>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</si>
  <si>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</si>
  <si>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</si>
  <si>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bek.]        (K48)</t>
  </si>
  <si>
    <t>ebből: rendsz szoc segély [Szoctv. 37. § (1) bek. a) - d) pontok]  (K48)</t>
  </si>
  <si>
    <t>ebből: átmeneti segély [Szoctv. 45.§]        (K48)</t>
  </si>
  <si>
    <t>ebből: egyéb, az önk. rendeletében megállapított juttatás        (K48)</t>
  </si>
  <si>
    <t>ebből: természetbeni rendsz szoc segély [Szoctv. 47.§ (1) bek. a) pont]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</si>
  <si>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</si>
  <si>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</si>
  <si>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</si>
  <si>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</si>
  <si>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</si>
  <si>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     (K4)</t>
  </si>
  <si>
    <t>Nemzetközi kötelezettségek (&gt;=129)        (K501)</t>
  </si>
  <si>
    <t>ebből: Európai Unió        (K501)</t>
  </si>
  <si>
    <t>Elvonások és befizetések        (K502)</t>
  </si>
  <si>
    <t>Működési célú garancia- és kezességvállalásból származó kifizetés államháztartáson belülre  (K503)</t>
  </si>
  <si>
    <t>Működési célú visszatérítendő támogatások, kölcsönök nyújtása államháztartáson belülre (=133+…+142)        (K504)</t>
  </si>
  <si>
    <t>ebből: központi költségvetési szervek        (K504)</t>
  </si>
  <si>
    <t>ebből: központi kezelésű előirányzatok        (K504)</t>
  </si>
  <si>
    <t>ebből: fejezeti kezelésű előirányzatok EU-s programokra és azok hazai társfinanszírozása        (K504)</t>
  </si>
  <si>
    <t>ebből: egyéb fejezeti kezelésű előirányzatok        (K504)</t>
  </si>
  <si>
    <t>ebből: társadalombiztosítás pénzügyi alapjai        (K504)</t>
  </si>
  <si>
    <t>ebből: elkülönített állami pénzalapok        (K504)</t>
  </si>
  <si>
    <t>ebből: helyi önkormányzatok és költségvetési szerveik        (K504)</t>
  </si>
  <si>
    <t>ebből: társulások és költségvetési szerveik        (K504)</t>
  </si>
  <si>
    <t>Lakásfenntartási támogatás normatív 90 %</t>
  </si>
  <si>
    <t>Állami támogatás összesen:</t>
  </si>
  <si>
    <t>Adatok 
ezer Ft-ban</t>
  </si>
  <si>
    <t>Beruházás Áfa:</t>
  </si>
  <si>
    <t>Int.beruházás összesen:</t>
  </si>
  <si>
    <t>4.</t>
  </si>
  <si>
    <t>Áfa</t>
  </si>
  <si>
    <t>8.</t>
  </si>
  <si>
    <t>Számítógép vásárlás</t>
  </si>
  <si>
    <t>Intézményi beruházás  összesen:</t>
  </si>
  <si>
    <t>Köztisztviselő</t>
  </si>
  <si>
    <t>Közalkalmazott</t>
  </si>
  <si>
    <t>MT szerint foglalkoztatottt</t>
  </si>
  <si>
    <t>Állandó foglalkoztatottak összesen</t>
  </si>
  <si>
    <t>közmunkaprogr.fogl.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</si>
  <si>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</si>
  <si>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</si>
  <si>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</si>
  <si>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</si>
  <si>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</si>
  <si>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</si>
  <si>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</si>
  <si>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Önkormányzati feladatok</t>
  </si>
  <si>
    <t xml:space="preserve">Fejlesztésre átadott pénzeszköz </t>
  </si>
  <si>
    <t>KEOP pályázat önrész</t>
  </si>
  <si>
    <t>BAHART tőkeemelés</t>
  </si>
  <si>
    <t>Fejlesztésre átadott pénzestköz összesen</t>
  </si>
  <si>
    <t>Fejlesztésre átadott pénzeszköz összesen</t>
  </si>
  <si>
    <t>Lakásvásárlás, felőjításra nyújtott támogatás</t>
  </si>
  <si>
    <t xml:space="preserve">Felújítás </t>
  </si>
  <si>
    <t xml:space="preserve"> Balatonvilágos Község Önkormányzata 2014</t>
  </si>
  <si>
    <t>Felújítás áfa</t>
  </si>
  <si>
    <t>Város és Községgazdálkodás</t>
  </si>
  <si>
    <t>Kultúrház nyilászárócsere</t>
  </si>
  <si>
    <t>Aligai u 37 ingatlanrész felújítása</t>
  </si>
  <si>
    <t>Vendégház energiaelátás felújítása</t>
  </si>
  <si>
    <t>Nettó</t>
  </si>
  <si>
    <t>Ravatalozó felújítása</t>
  </si>
  <si>
    <t>Köztemető fenntartása</t>
  </si>
  <si>
    <t>áfa</t>
  </si>
  <si>
    <t xml:space="preserve">GEVSZ Központ </t>
  </si>
  <si>
    <t>Térfigyelő kamerák</t>
  </si>
  <si>
    <t>Általános Rendezési Terv</t>
  </si>
  <si>
    <t>Nettó összesen:</t>
  </si>
  <si>
    <t xml:space="preserve">Intézményi beruházás összesen: </t>
  </si>
  <si>
    <t>Fejlsztésre átadott pénzeszköz</t>
  </si>
  <si>
    <t>Tursiztikai alapból nyújtott támogatás</t>
  </si>
  <si>
    <t>Napköziotthonos óvoda</t>
  </si>
  <si>
    <t>Intézményi beruházás</t>
  </si>
  <si>
    <t xml:space="preserve">Beruházás Áfa </t>
  </si>
  <si>
    <t>Önkormányzati felújítás összesen: nettó</t>
  </si>
  <si>
    <t>Önkrományzat felújítás összesen:</t>
  </si>
  <si>
    <t>Intézményi beruházésok</t>
  </si>
  <si>
    <t>Önkormányzati intézményi beruházások  összesen nettó:</t>
  </si>
  <si>
    <t>Önkrományzati intézményi beruházások összesen:</t>
  </si>
  <si>
    <t>Önkormányzati fejlesztésre átadott pénzeszközök összesen</t>
  </si>
  <si>
    <t>Iskola működtetése</t>
  </si>
  <si>
    <t>Személyi juttatások</t>
  </si>
  <si>
    <t>Munkaadókat terhelő járulékok</t>
  </si>
  <si>
    <t>Bevételek</t>
  </si>
  <si>
    <t>Előző évi pénzmaradvány</t>
  </si>
  <si>
    <t>Egyéb bevételek</t>
  </si>
  <si>
    <t>Kiadások</t>
  </si>
  <si>
    <t>Tartalékok</t>
  </si>
  <si>
    <t>Az önkormányzat által felvett hitelállomány alakulása</t>
  </si>
  <si>
    <t xml:space="preserve">                                          lejárat és eszközök szerinti bontásban</t>
  </si>
  <si>
    <t>Felvétel</t>
  </si>
  <si>
    <t xml:space="preserve">Lejárat </t>
  </si>
  <si>
    <t>Hitel állomány 2013. január 1-jén</t>
  </si>
  <si>
    <t>Sor-
szám</t>
  </si>
  <si>
    <t>Hitel jellege</t>
  </si>
  <si>
    <t xml:space="preserve"> éve</t>
  </si>
  <si>
    <t>éve</t>
  </si>
  <si>
    <t>2015</t>
  </si>
  <si>
    <t>2016</t>
  </si>
  <si>
    <t>összesen</t>
  </si>
  <si>
    <t xml:space="preserve">Működési célú </t>
  </si>
  <si>
    <t>0</t>
  </si>
  <si>
    <t>............................</t>
  </si>
  <si>
    <t>6.</t>
  </si>
  <si>
    <t>Felhalmozási célú</t>
  </si>
  <si>
    <t>7.</t>
  </si>
  <si>
    <t>8</t>
  </si>
  <si>
    <t>9</t>
  </si>
  <si>
    <t>10</t>
  </si>
  <si>
    <t>Összesen (1+6)</t>
  </si>
  <si>
    <t xml:space="preserve"> Ezer forintban !</t>
  </si>
  <si>
    <t xml:space="preserve">Hitel, kölcsön </t>
  </si>
  <si>
    <t>Kölcsön-
nyújtás
éve</t>
  </si>
  <si>
    <t xml:space="preserve">Lejárat
éve </t>
  </si>
  <si>
    <t>Hitel, kölcsön állomány 2013. január 1-jén</t>
  </si>
  <si>
    <t xml:space="preserve">Rövid lejáratú </t>
  </si>
  <si>
    <t>Hosszú lejáratú</t>
  </si>
  <si>
    <t>Építési kölcsön</t>
  </si>
  <si>
    <t>változó</t>
  </si>
  <si>
    <t>Lakásvásárlásra támogatás (Gagarin ltp.)</t>
  </si>
  <si>
    <t>Csatorna beruházás érdekeltségi hj.</t>
  </si>
  <si>
    <t>Sor-szám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</si>
  <si>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</si>
  <si>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</si>
  <si>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</si>
  <si>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</si>
  <si>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</si>
  <si>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</si>
  <si>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</si>
  <si>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</si>
  <si>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</si>
  <si>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</si>
  <si>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</si>
  <si>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</si>
  <si>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</si>
  <si>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</si>
  <si>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</si>
  <si>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</si>
  <si>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</si>
  <si>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</si>
  <si>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</si>
  <si>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</si>
  <si>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</si>
  <si>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</si>
  <si>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</si>
  <si>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</si>
  <si>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</si>
  <si>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</si>
  <si>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</si>
  <si>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</si>
  <si>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</si>
  <si>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</si>
  <si>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</si>
  <si>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</si>
  <si>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</si>
  <si>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</si>
  <si>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Önkormányzat által nyújtott kölcsönök állománya 2014</t>
  </si>
  <si>
    <t>2014. év</t>
  </si>
  <si>
    <t>2017</t>
  </si>
  <si>
    <t>Óvoda Pályázati önrész</t>
  </si>
  <si>
    <t>Kiadás 2014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</si>
  <si>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</si>
  <si>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</si>
  <si>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</si>
  <si>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</si>
  <si>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</si>
  <si>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</si>
  <si>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</si>
  <si>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</si>
  <si>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</si>
  <si>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</si>
  <si>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</si>
  <si>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Önkormányzatintézmények összesen:</t>
  </si>
  <si>
    <t>Mód.ei.  06.30</t>
  </si>
  <si>
    <t>Telj.   06.30</t>
  </si>
  <si>
    <t>Felhalm. kölcsön törl.</t>
  </si>
  <si>
    <t>Felhalm. kölcsön törl. FP</t>
  </si>
  <si>
    <t>Elözö évi áll. tám visszaig.</t>
  </si>
  <si>
    <t>Msz. komm. adója</t>
  </si>
  <si>
    <t>Iparűzési adó</t>
  </si>
  <si>
    <t>Gépjárműadó</t>
  </si>
  <si>
    <t>Egyéb helyi közh.bev.</t>
  </si>
  <si>
    <t>Előző években esedékes bérleti díj</t>
  </si>
  <si>
    <t>Turizmus fejlesztési támogatás</t>
  </si>
  <si>
    <t>Falunapi támogatás (FP+Alapítvány</t>
  </si>
  <si>
    <t>Működési pénzmaradvány</t>
  </si>
  <si>
    <t>Óvoda bevételek</t>
  </si>
  <si>
    <t>Földbérleti díj</t>
  </si>
  <si>
    <t xml:space="preserve">PROMOT tám. Rendezési Terv </t>
  </si>
  <si>
    <t>Vendég, nyári tábor</t>
  </si>
  <si>
    <t>Építményüzemeltetés</t>
  </si>
  <si>
    <t>GEVSZ Müködési bevételek összesen:</t>
  </si>
  <si>
    <t xml:space="preserve">Önkormányzati működési bevételek </t>
  </si>
  <si>
    <t xml:space="preserve">Óvoda működtetése </t>
  </si>
  <si>
    <t>851011 Óvoda működtetése</t>
  </si>
  <si>
    <t>Alaptev. összefüg.egyéb bev.</t>
  </si>
  <si>
    <t>Dolgozói térítés</t>
  </si>
  <si>
    <t>Kötbér, bírság</t>
  </si>
  <si>
    <t>Egyéb bevétel</t>
  </si>
  <si>
    <t>Egyéb áht.kiv. kamat</t>
  </si>
  <si>
    <t>Szociális jell. támogatások</t>
  </si>
  <si>
    <t>Röv.lej. értékp.beváltás</t>
  </si>
  <si>
    <t>Mód.ei.   06.30.</t>
  </si>
  <si>
    <t>Teljesítés 06.30.</t>
  </si>
  <si>
    <t>Óvoda bértámogatás 8/12</t>
  </si>
  <si>
    <t>Óvoda bértámogatás 4/12</t>
  </si>
  <si>
    <t>Tel.önk. szociális és gyerekjóléti fel. tám.</t>
  </si>
  <si>
    <t>Szoc. ágazati pótlék</t>
  </si>
  <si>
    <t>Dolgozók bértámogatása</t>
  </si>
  <si>
    <t>Gyermekétkeztetés üzemeltetési tám.</t>
  </si>
  <si>
    <t>Gyermekétkezetés tám összesen</t>
  </si>
  <si>
    <t>Államkincstár által közölt támogatás össz.</t>
  </si>
  <si>
    <t>Keresetkiegészítés</t>
  </si>
  <si>
    <t>Nyári gyermekétkeztetés támogatása</t>
  </si>
  <si>
    <t>Lakosssági víz-, és csatorna támogatás</t>
  </si>
  <si>
    <t>Előző évi áll.támogatás kiutalása</t>
  </si>
  <si>
    <t>Egyes jövedelempótl. tám.</t>
  </si>
  <si>
    <t>Eredeti ei.</t>
  </si>
  <si>
    <t>Mód.ei.  06.30.</t>
  </si>
  <si>
    <t>Telj.  06.30</t>
  </si>
  <si>
    <t>Telj. %</t>
  </si>
  <si>
    <t>Lakóingatlan bérbeadás</t>
  </si>
  <si>
    <t>Önkormányzati pénzbeni ellátások</t>
  </si>
  <si>
    <t>Napközi-otthonos Óvoda</t>
  </si>
  <si>
    <t>Turizmus fejlesztés támogatás</t>
  </si>
  <si>
    <t>Gazdasági ellátó központ</t>
  </si>
  <si>
    <t>Iskolai működtetése</t>
  </si>
  <si>
    <t>Család-, és nővédelmi egészségügyi gondozás</t>
  </si>
  <si>
    <t>Város és községgazd.m.n.s.egyéb tevékenység</t>
  </si>
  <si>
    <t xml:space="preserve">AX </t>
  </si>
  <si>
    <t>AY</t>
  </si>
  <si>
    <t>841358 Túrizmis fejl.</t>
  </si>
  <si>
    <t>Készenlét,ügyelet, túlóra</t>
  </si>
  <si>
    <t>Részmunk.fogl.egyéb jutt</t>
  </si>
  <si>
    <t>Napidíj</t>
  </si>
  <si>
    <t>Egyéb saj.jutt.</t>
  </si>
  <si>
    <t>Üdülési hozzájárulás</t>
  </si>
  <si>
    <t>Egyéb ktg.térítés,hj.</t>
  </si>
  <si>
    <t>Különf.nem rensz.jutt.össz.</t>
  </si>
  <si>
    <t>Rehabilitációs hj.</t>
  </si>
  <si>
    <t>Irodaszer, nyomtatvány</t>
  </si>
  <si>
    <t>Hajtó és kenőanyag</t>
  </si>
  <si>
    <t>Szakmai anyag</t>
  </si>
  <si>
    <t>Kisért.tárgyi eszk.szell.term</t>
  </si>
  <si>
    <t>Munkaruha,védőruha</t>
  </si>
  <si>
    <t>Egyéb készlet</t>
  </si>
  <si>
    <t>Nem adatátv.célu távk.díj</t>
  </si>
  <si>
    <t>Adatátv.távközl díj</t>
  </si>
  <si>
    <t>Egyéb kommun.szolg.</t>
  </si>
  <si>
    <t>Szállítási szolg.</t>
  </si>
  <si>
    <t>Gázdíj</t>
  </si>
  <si>
    <t>Gépek karb.,kisjavítás</t>
  </si>
  <si>
    <t>Egyéb üzemeltetési szolg.</t>
  </si>
  <si>
    <t>Továbbszáml.szolg.áht.kiv.</t>
  </si>
  <si>
    <t>Tárgyi eszk.értk ÁFA</t>
  </si>
  <si>
    <t>Reprezentáció</t>
  </si>
  <si>
    <t>Gép bernd.felszer.vás.</t>
  </si>
  <si>
    <t>Beruh. ÁFA</t>
  </si>
  <si>
    <t>Önkormányzati beruházások</t>
  </si>
  <si>
    <t>Térfigyelő kamerák kiépítése</t>
  </si>
  <si>
    <t>Garázs üzletté átalakítás</t>
  </si>
  <si>
    <t>303/11 hrsz. telek visszavásárlása</t>
  </si>
  <si>
    <t>Beruházás áfa</t>
  </si>
  <si>
    <t>Beruházás összesen:</t>
  </si>
  <si>
    <t>Központi épület  mozg.korl.bejáró kial.+körz.mb.</t>
  </si>
  <si>
    <t>Aligai u 1.(Gyógyszertár, Telebendő) ingatlan tetőfelújítása</t>
  </si>
  <si>
    <t>Közutak karbantartása, javítása</t>
  </si>
  <si>
    <t>Útfelújítás (Hétvezér, Zalán, Zrínyi, Mathiász)</t>
  </si>
  <si>
    <t>Útfelújítás (Szőlő, Kun, Körte,Rózsa, Radnóti,Mező,...)</t>
  </si>
  <si>
    <t>Útfelítás összesen:</t>
  </si>
  <si>
    <t xml:space="preserve">Nyomtatók, számítógép vásárlása </t>
  </si>
  <si>
    <t>Játszótéri elemek (felnött)+ivókut, áram kial.</t>
  </si>
  <si>
    <t>Arborétum geodéziai felmérés</t>
  </si>
  <si>
    <t>Háziorvosi Szolgálat</t>
  </si>
  <si>
    <t>beruházás áfa</t>
  </si>
  <si>
    <t>Önkormányzat felhalmozási kiadásai összesen:</t>
  </si>
  <si>
    <t>2014.szeptember 1.-től</t>
  </si>
  <si>
    <t>Óvoda összsen:</t>
  </si>
  <si>
    <t>2014. szeptember 1.-től</t>
  </si>
  <si>
    <t>Mód.ei. 09.30.</t>
  </si>
  <si>
    <t>Telj. 09.30.</t>
  </si>
  <si>
    <t>Ösztalék bevétel</t>
  </si>
  <si>
    <t>BAHART részvényértékesítés</t>
  </si>
  <si>
    <t xml:space="preserve"> fejlesztési pénzmar. Lakásalap</t>
  </si>
  <si>
    <t>Rendezvények támogatása (FP+Alap)</t>
  </si>
  <si>
    <t>Óvoda működési bevételek összesen</t>
  </si>
  <si>
    <t>Kamat + egyéb bev.</t>
  </si>
  <si>
    <t>Ügyelet előző évi visszatérítés</t>
  </si>
  <si>
    <t>Iskola bérleti díj</t>
  </si>
  <si>
    <t>811000 Építmény üzemeltetés</t>
  </si>
  <si>
    <t>Mód.ei. 0930.</t>
  </si>
  <si>
    <t>Teljesítés 09.30.</t>
  </si>
  <si>
    <t>Itthon vagy- Szeretlek Mo.</t>
  </si>
  <si>
    <t>E útdíj kompenzáció</t>
  </si>
  <si>
    <t>Mód.ei. 09.30</t>
  </si>
  <si>
    <t>Mód.ei.09.30.</t>
  </si>
  <si>
    <t>Kölcsiy-Hunor gázellátása</t>
  </si>
  <si>
    <t xml:space="preserve">Óvoda hinta </t>
  </si>
  <si>
    <t>Számítógép beszerzés+program</t>
  </si>
  <si>
    <t>Mód.ei.  12.31</t>
  </si>
  <si>
    <t>Telj.  12.31.</t>
  </si>
  <si>
    <t>Számítógép értékesítés</t>
  </si>
  <si>
    <t>Felhalm. Bev. Szennyvíz</t>
  </si>
  <si>
    <t>Talajterhelési díj</t>
  </si>
  <si>
    <t>KÖH 2013 évi eelszámolás</t>
  </si>
  <si>
    <t>Pénzeszközök betét megszüntetése</t>
  </si>
  <si>
    <t>Egyéb megtérülések</t>
  </si>
  <si>
    <t>813000 Zöldterület hasznosítás</t>
  </si>
  <si>
    <t>852011 Iskola működtetése</t>
  </si>
  <si>
    <t>862102 Ügyeleti ellátás</t>
  </si>
  <si>
    <t>370000  Szennyvíz kezelés</t>
  </si>
  <si>
    <t>813000  Zöldterület kezelés</t>
  </si>
  <si>
    <t>852011  Iskola működtetése</t>
  </si>
  <si>
    <t>862102 Háziorvosi ügyelet</t>
  </si>
  <si>
    <t>Részvényértékesítés</t>
  </si>
  <si>
    <t>Gépek értékesítés</t>
  </si>
  <si>
    <t>Osztalék</t>
  </si>
  <si>
    <t xml:space="preserve">J </t>
  </si>
  <si>
    <t xml:space="preserve">M </t>
  </si>
  <si>
    <t>AX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</si>
  <si>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</si>
  <si>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</si>
  <si>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</si>
  <si>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</si>
  <si>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</si>
  <si>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</si>
  <si>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</si>
  <si>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</si>
  <si>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</si>
  <si>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</si>
  <si>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</si>
  <si>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</si>
  <si>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Mód.ei.  12.31.</t>
  </si>
  <si>
    <t>Telj.  12.31</t>
  </si>
  <si>
    <t>Rövid lejáratú betétlekötés</t>
  </si>
  <si>
    <t>841911  Forgatási célú fin.műv.</t>
  </si>
  <si>
    <t>Egyéb mv.kapcs.juttatásKer.kieg+betegsz.</t>
  </si>
  <si>
    <t>Céljutalom</t>
  </si>
  <si>
    <t>Egyszerűsített fogl.</t>
  </si>
  <si>
    <t>Gyógyszer, vegyszer</t>
  </si>
  <si>
    <t>Szellemi termékek vásárlása</t>
  </si>
  <si>
    <t>Felhalmozásra átadott pe-</t>
  </si>
  <si>
    <t>Pénz.betétként elhelyezése</t>
  </si>
  <si>
    <t>Telj. 12.31.</t>
  </si>
  <si>
    <t>Felújítás</t>
  </si>
  <si>
    <t>Önkrományzati bérlakás ablakcsere</t>
  </si>
  <si>
    <t>Általános Iskola ablakcsere</t>
  </si>
  <si>
    <t>Felújítás nettóösszege</t>
  </si>
  <si>
    <t>Gépjármű vásárlás</t>
  </si>
  <si>
    <t>Vízkárelhárítási terv készítés</t>
  </si>
  <si>
    <t>Székek vásárlása</t>
  </si>
  <si>
    <t>Önkormányzat által nyújtott lakástámogatás</t>
  </si>
  <si>
    <t>Mód.ei.12.31.</t>
  </si>
  <si>
    <t>Teljesíatés 12.31.</t>
  </si>
  <si>
    <t>Szociália tűzifa</t>
  </si>
  <si>
    <t>segély</t>
  </si>
  <si>
    <t>Bursa</t>
  </si>
  <si>
    <t>fht</t>
  </si>
  <si>
    <t>szoc</t>
  </si>
  <si>
    <t>lfenn</t>
  </si>
  <si>
    <t>rensz.szoc</t>
  </si>
  <si>
    <t>étkezés</t>
  </si>
  <si>
    <t>átm</t>
  </si>
  <si>
    <t>term</t>
  </si>
  <si>
    <t>tűzifa,</t>
  </si>
  <si>
    <t>temetési</t>
  </si>
  <si>
    <t>rendk.gyvéd.</t>
  </si>
  <si>
    <t>szül</t>
  </si>
  <si>
    <t>szoc.étk.+ nyugd.csomag</t>
  </si>
  <si>
    <t>közgyógy</t>
  </si>
  <si>
    <t>Következő évi finansz.megelőlegezése</t>
  </si>
  <si>
    <t>nyári étk.</t>
  </si>
  <si>
    <t>Következő évi megelőlegezés</t>
  </si>
  <si>
    <t>Gyermeknev.tám. Erzsébet ut.</t>
  </si>
  <si>
    <t>Közétkeztetési részegység</t>
  </si>
  <si>
    <t>székek vásárlása</t>
  </si>
  <si>
    <t>Intzményi beruházás osszesen</t>
  </si>
  <si>
    <t>Eszközbeszerzés Fűkasza+egyéb gépek</t>
  </si>
  <si>
    <t>*kész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</si>
  <si>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</si>
  <si>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</si>
  <si>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</si>
  <si>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</si>
  <si>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</si>
  <si>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</si>
  <si>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</si>
  <si>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</si>
  <si>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</si>
  <si>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</si>
  <si>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5.-ből EU-s támogatás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</si>
  <si>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</si>
  <si>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</si>
  <si>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</si>
  <si>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</si>
  <si>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</si>
  <si>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</si>
  <si>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</si>
  <si>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</si>
  <si>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</si>
  <si>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</si>
  <si>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</si>
  <si>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</si>
  <si>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</si>
  <si>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</si>
  <si>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</si>
  <si>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</si>
  <si>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</si>
  <si>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</si>
  <si>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</si>
  <si>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</si>
  <si>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</si>
  <si>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</si>
  <si>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</si>
  <si>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ebből: nemzetiségi önkormányzatok és költségvetési szerveik        (K504)</t>
  </si>
  <si>
    <t>ebből: térségi fejlesztési tanácsok és költségvetési szerveik        (K504)</t>
  </si>
  <si>
    <t>Működési célú visszatérít-ő tám. kölcsön törlesztése áh-n belülre (K505)</t>
  </si>
  <si>
    <t>ebből: központi költségvetési szervek        (K505)</t>
  </si>
  <si>
    <t>ebből: központi kezelésű előirányzatok        (K505)</t>
  </si>
  <si>
    <t>ebből: fejezeti kezelésű előirányzatok EU-s programokra és azok hazai társfinanszírozása        (K505)</t>
  </si>
  <si>
    <t>ebből: egyéb fejezeti kezelésű előirányzatok        (K505)</t>
  </si>
  <si>
    <t>ebből: társadalombiztosítás pénzügyi alapjai        (K505)</t>
  </si>
  <si>
    <t>ebből: elkülönített állami pénzalapok        (K505)</t>
  </si>
  <si>
    <t>ebből: helyi önkormányzatok és költségvetési szerveik        (K505)</t>
  </si>
  <si>
    <t>ebből: társulások és költségvetési szerveik        (K505)</t>
  </si>
  <si>
    <t>ebből: nemzetiségi önkormányzatok és költségvetési szerveik        (K505)</t>
  </si>
  <si>
    <t>ebből: térségi fejlesztési tanácsok és költségvetési szerveik        (K505)</t>
  </si>
  <si>
    <t>1.7</t>
  </si>
  <si>
    <t>Egyéb működési célú támogatások államháztartáson belülre(K506)</t>
  </si>
  <si>
    <t>ebből: központi költségvetési szervek        (K506)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</si>
  <si>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</si>
  <si>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</si>
  <si>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</si>
  <si>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</si>
  <si>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</si>
  <si>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</si>
  <si>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</si>
  <si>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</si>
  <si>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</si>
  <si>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1.8</t>
  </si>
  <si>
    <t>Műk-i célú gar- és kezességváll-ból származó kifizetés áhn kívülre        (K507)</t>
  </si>
  <si>
    <t>ebből: állami vagy önk.tulajdonban lévő gazdasági társaságok tartozásai miatti kifizetések     (K507)</t>
  </si>
  <si>
    <t>1.9</t>
  </si>
  <si>
    <t>Műk-i célú visszatérítendő tám, kölcsön nyújtása államházt-n kívülre      (K508)</t>
  </si>
  <si>
    <t>ebből: egyházi jogi személyek        (K508)</t>
  </si>
  <si>
    <t>ebből: nonprofit gazdasági társaságok        (K508)</t>
  </si>
  <si>
    <t>ebből: egyéb civil szervezetek        (K508)</t>
  </si>
  <si>
    <t>ebből: háztartások        (K508)</t>
  </si>
  <si>
    <t>ebből: pénzügyi vállalkozások        (K508)</t>
  </si>
  <si>
    <t>ebből: állami többségi tulajdonú nem pénzügyi vállalkozások        (K508)</t>
  </si>
  <si>
    <t>ebből:önkormányzati többségi tulajdonú nem pénzügyi vállalkozások        (K508)</t>
  </si>
  <si>
    <t>ebből: egyéb vállalkozások        (K508)</t>
  </si>
  <si>
    <t>ebből: Európai Unió         (K508)</t>
  </si>
  <si>
    <t>ebből: kormányok és nemzetközi szervezetek        (K508)</t>
  </si>
  <si>
    <t>ebből: egyéb külföldiek        (K508)</t>
  </si>
  <si>
    <t>1.10</t>
  </si>
  <si>
    <t>Árkiegészítések, ártámogatások        (K509)</t>
  </si>
  <si>
    <t>1.11</t>
  </si>
  <si>
    <t>Kamattámogatások        (K510)</t>
  </si>
  <si>
    <t>1.12</t>
  </si>
  <si>
    <t xml:space="preserve">Egyéb működési célú támogatások államháztartáson kívülre      (K511)   </t>
  </si>
  <si>
    <t>ebből: egyházi jogi személyek        (K511)</t>
  </si>
  <si>
    <t>ebből: nonprofit gazdasági társaságok        (K511)</t>
  </si>
  <si>
    <t>1.13</t>
  </si>
  <si>
    <t>ebből: egyéb civil szervezetek        (K511)</t>
  </si>
  <si>
    <t>ebből: háztartások        (K511)</t>
  </si>
  <si>
    <t>ebből: pénzügyi vállalkozások        (K511)</t>
  </si>
  <si>
    <t>ebből: állami többségi tulajdonú nem pénzügyi vállalkozások        (K511)</t>
  </si>
  <si>
    <t>ebből:önkormányzati többségi tulajdonú nem pénzügyi vállalkozások        (K511)</t>
  </si>
  <si>
    <t>ebből: egyéb vállalkozások        (K511)</t>
  </si>
  <si>
    <t>ebből: Európai Unió         (K511)</t>
  </si>
  <si>
    <t>ebből: kormányok és nemzetközi szervezetek        (K511)</t>
  </si>
  <si>
    <t>ebből: egyéb külföldiek        (K511)</t>
  </si>
  <si>
    <t>1.14</t>
  </si>
  <si>
    <t>Tartalékok        (K512)</t>
  </si>
  <si>
    <t>Egyéb működési célú kiadások         (K5)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</si>
  <si>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</si>
  <si>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</si>
  <si>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</si>
  <si>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</si>
  <si>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</si>
  <si>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</si>
  <si>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</si>
  <si>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</si>
  <si>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</si>
  <si>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</si>
  <si>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</si>
  <si>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</si>
  <si>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</si>
  <si>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2.2</t>
  </si>
  <si>
    <t>Felújítások    (K7)</t>
  </si>
  <si>
    <t>2.3</t>
  </si>
  <si>
    <t>Felhalmozási célú garancia- és kezességvállalásból származó kifizetés államháztartáson belülre  K81)</t>
  </si>
  <si>
    <t>2.4</t>
  </si>
  <si>
    <t>Felhalmozási célú visszatérítendő támogatások, kölcsönök nyújtása államháztartáson belülre (=211+…+220)        (K82)</t>
  </si>
  <si>
    <t>ebből: központi költségvetési szervek        (K82)</t>
  </si>
  <si>
    <t>ebből: központi kezelésű előirányzatok        (K82)</t>
  </si>
  <si>
    <t>ebből: fejezeti kezelésű előirányzatok EU-s programokra és azok hazai társfinanszírozása        (K82)</t>
  </si>
  <si>
    <t>ebből: egyéb fejezeti kezelésű előirányzatok        (K82)</t>
  </si>
  <si>
    <t>ebből: társadalombiztosítás pénzügyi alapjai        (K82)</t>
  </si>
  <si>
    <t>ebből: elkülönített állami pénzalapok        (K82)</t>
  </si>
  <si>
    <t>ebből: helyi önkormányzatok és költségvetési szerveik        (K82)</t>
  </si>
  <si>
    <t>ebből: társulások és költségvetési szerveik        (K82)</t>
  </si>
  <si>
    <t>ebből: nemzetiségi önkormányzatok és költségvetési szerveik        (K82)</t>
  </si>
  <si>
    <t>ebből: térségi fejlesztési tanácsok és költségvetési szerveik        (K82)</t>
  </si>
  <si>
    <t>2.5</t>
  </si>
  <si>
    <t>Felhalmozási célú visszatérítendő támogatások, kölcsönök törlesztése államháztartáson belülre (=222+…+231)        (K83)</t>
  </si>
  <si>
    <t>ebből: központi költségvetési szervek        (K83)</t>
  </si>
  <si>
    <t>ebből: központi kezelésű előirányzatok        (K83)</t>
  </si>
  <si>
    <t>ebből: fejezeti kezelésű előirányzatok EU-s programokra és azok hazai társfinanszírozása        (K83)</t>
  </si>
  <si>
    <t>ebből: egyéb fejezeti kezelésű előirányzatok        (K83)</t>
  </si>
  <si>
    <t>ebből: társadalombiztosítás pénzügyi alapjai        (K83)</t>
  </si>
  <si>
    <t>ebből: elkülönített állami pénzalapok        (K83)</t>
  </si>
  <si>
    <t>ebből: helyi önkormányzatok és költségvetési szerveik        (K83)</t>
  </si>
  <si>
    <t>ebből: társulások és költségvetési szerveik        (K83)</t>
  </si>
  <si>
    <t>ebből: nemzetiségi önkormányzatok és költségvetési szerveik        (K83)</t>
  </si>
  <si>
    <t>ebből: térségi fejlesztési tanácsok és költségvetési szerveik        (K83)</t>
  </si>
  <si>
    <t>2.6</t>
  </si>
  <si>
    <t>Egyéb felhalmozási célú támogatások államháztartáson belülre (=233+…+242)        (K84)</t>
  </si>
  <si>
    <t>ebből: központi költségvetési szervek        (K84)</t>
  </si>
  <si>
    <t>ebből: központi kezelésű előirányzatok        (K84)</t>
  </si>
  <si>
    <t>ebből: fejezeti kezelésű előirányzatok EU-s programokra és azok hazai társfinanszírozása        (K84)</t>
  </si>
  <si>
    <t>ebből: egyéb fejezeti kezelésű előirányzatok        (K84)</t>
  </si>
  <si>
    <t>ebből: társadalombiztosítás pénzügyi alapjai        (K84)</t>
  </si>
  <si>
    <t>ebből: elkülönített állami pénzalapok        (K84)</t>
  </si>
  <si>
    <t>ebből: helyi önkormányzatok és költségvetési szerveik        (K84)</t>
  </si>
  <si>
    <t>ebből: társulások és költségvetési szerveik        (K84)</t>
  </si>
  <si>
    <t>ebből: nemzetiségi önkormányzatok és költségvetési szerveik        (K84)</t>
  </si>
  <si>
    <t>ebből: térségi fejlesztési tanácsok és költségvetési szerveik        (K84)</t>
  </si>
  <si>
    <t>2.7</t>
  </si>
  <si>
    <t>Felhalmozási célú garancia- és kezességvállalásból származó kifizetés államháztartáson kívülre (&gt;=244)        (K85)</t>
  </si>
  <si>
    <t>ebből: állami vagy önkormányzati tulajdonban lévő gazdasági társaságok tartozásai miatti kifizetések        (K85)</t>
  </si>
  <si>
    <t>2.8</t>
  </si>
  <si>
    <t>Felhalmozási célú visszatérítendő támogatások, kölcsönök nyújtása államháztartáson kívülre (=246+…+256)        (K86)</t>
  </si>
  <si>
    <t>ebből: egyházi jogi személyek        (K86)</t>
  </si>
  <si>
    <t>ebből: nonprofit gazdasági társaságok        (K86)</t>
  </si>
  <si>
    <t>ebből: egyéb civil szervezetek        (K86)</t>
  </si>
  <si>
    <t>ebből: háztartások        (K86)</t>
  </si>
  <si>
    <t>ebből: pénzügyi vállalkozások        (K86)</t>
  </si>
  <si>
    <t>ebből: állami többségi tulajdonú nem pénzügyi vállalkozások        (K86)</t>
  </si>
  <si>
    <t>ebből:önkormányzati többségi tulajdonú nem pénzügyi vállalkozások        (K86)</t>
  </si>
  <si>
    <t>ebből: egyéb vállalkozások        (K86)</t>
  </si>
  <si>
    <t>ebből: Európai Unió         (K86)</t>
  </si>
  <si>
    <t>ebből: kormányok és nemzetközi szervezetek        (K86)</t>
  </si>
  <si>
    <t>ebből: egyéb külföldiek        (K86)</t>
  </si>
  <si>
    <t>2.9</t>
  </si>
  <si>
    <t>Lakástámogatás        (K87)</t>
  </si>
  <si>
    <t>2.10</t>
  </si>
  <si>
    <t>Egyéb felhalmozási célú támogatások államháztartáson kívülre   K88)</t>
  </si>
  <si>
    <t>ebből: egyházi jogi személyek        (K88)</t>
  </si>
  <si>
    <t>ebből: nonprofit gazdasági társaságok        (K88)</t>
  </si>
  <si>
    <t>ebből: egyéb civil szervezetek        (K88)</t>
  </si>
  <si>
    <t>ebből: háztartások        (K88)</t>
  </si>
  <si>
    <t>ebből: pénzügyi vállalkozások        (K88)</t>
  </si>
  <si>
    <t>ebből: állami többségi tulajdonú nem pénzügyi vállalkozások        (K88)</t>
  </si>
  <si>
    <t>ebből:önkormányzati többségi tulajdonú nem pénzügyi vállalkozások        (K88)</t>
  </si>
  <si>
    <t>ebből: egyéb vállalkozások        (K88)</t>
  </si>
  <si>
    <t>ebből: Európai Unió         (K88)</t>
  </si>
  <si>
    <t>ebből: kormányok és nemzetközi szervezetek        (K88)</t>
  </si>
  <si>
    <t>ebből: egyéb külföldiek        (K88)</t>
  </si>
  <si>
    <t>2.11</t>
  </si>
  <si>
    <t>Egyéb felhalmozási célú kiadások         (K8)</t>
  </si>
  <si>
    <t>Felhalmozási költségvetési kiadás</t>
  </si>
  <si>
    <t>Költségvetési kiadások        (K1-K8)</t>
  </si>
  <si>
    <t>03 - Beszámoló a K9. Finanszírozási kiadások előirányzatának teljesítéséről</t>
  </si>
  <si>
    <t>Hosszú lejáratú hitelek, kölcsönök törlesztése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</si>
  <si>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</si>
  <si>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</si>
  <si>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</si>
  <si>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</si>
  <si>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</si>
  <si>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</si>
  <si>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áh-n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</si>
  <si>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</si>
  <si>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</si>
  <si>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</si>
  <si>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</si>
  <si>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</si>
  <si>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</si>
  <si>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</si>
  <si>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</si>
  <si>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</si>
  <si>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</si>
  <si>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6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</si>
  <si>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</si>
  <si>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</si>
  <si>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</si>
  <si>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</si>
  <si>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</si>
  <si>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</si>
  <si>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6.6</t>
  </si>
  <si>
    <t>Központi költségvetés sajátos finanszírozási kiadásai        (K918)</t>
  </si>
  <si>
    <t>7</t>
  </si>
  <si>
    <t>Belföldi finanszírozás kiadásai (=08+19+…+25)        (K91)</t>
  </si>
  <si>
    <t>7.1</t>
  </si>
  <si>
    <t>Forgatási célú külföldi értékpapírok vásárlása        (K921)</t>
  </si>
  <si>
    <t>7.2</t>
  </si>
  <si>
    <t>Befektetési célú külföldi értékpapírok vásárlása        (K922)</t>
  </si>
  <si>
    <t>7.3</t>
  </si>
  <si>
    <t>Külföldi értékpapírok beváltása (&gt;=30)        (K923)</t>
  </si>
  <si>
    <t>7.3.1</t>
  </si>
  <si>
    <t>ebből: fedezeti ügyletek nettó kiadásai        (K923)</t>
  </si>
  <si>
    <t>7.34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</si>
  <si>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</si>
  <si>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</si>
  <si>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</si>
  <si>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</si>
  <si>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</si>
  <si>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</si>
  <si>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 származékos ügyletek kiadásai        (K93)</t>
  </si>
  <si>
    <t>Finanszírozási kiadások (=26+36+37)        (K9)</t>
  </si>
  <si>
    <t>Kiadások mindösszesen</t>
  </si>
  <si>
    <t>6. melléklet a …/2015.(………) önkormányzati rendelethez</t>
  </si>
  <si>
    <t>Külféle nem rendsz.jutt.tanf.</t>
  </si>
  <si>
    <t>680001 Lakóing.bérb.</t>
  </si>
  <si>
    <t>680002 Nem lakóing.üz.</t>
  </si>
  <si>
    <t>Biztosítás</t>
  </si>
  <si>
    <t>Folyószla vez díjak/ Adók, díjak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</si>
  <si>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</si>
  <si>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</si>
  <si>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</si>
  <si>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</si>
  <si>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</si>
  <si>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</si>
  <si>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</si>
  <si>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</si>
  <si>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</si>
  <si>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</si>
  <si>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</si>
  <si>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</si>
  <si>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</si>
  <si>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</si>
  <si>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</si>
  <si>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</si>
  <si>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</si>
  <si>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</si>
  <si>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</si>
  <si>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</si>
  <si>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</si>
  <si>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</si>
  <si>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</si>
  <si>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</si>
  <si>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</si>
  <si>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</si>
  <si>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</si>
  <si>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Balatonvilágos Község Önkrományzata 2014. ÉVI MARADVÁNY-KIMUTATÁSA</t>
  </si>
  <si>
    <t>Balatonvilágos Község Önkormányzata 2014. évi Eredmény-kimutatása</t>
  </si>
  <si>
    <t/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</si>
  <si>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</si>
  <si>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</si>
  <si>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</si>
  <si>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</si>
  <si>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</si>
  <si>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</si>
  <si>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</si>
  <si>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</si>
  <si>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</si>
  <si>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</si>
  <si>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</si>
  <si>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</si>
  <si>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</si>
  <si>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</si>
  <si>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</si>
  <si>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</si>
  <si>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</si>
  <si>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</si>
  <si>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</si>
  <si>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</si>
  <si>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</si>
  <si>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</si>
  <si>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</si>
  <si>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</si>
  <si>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</si>
  <si>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</si>
  <si>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</si>
  <si>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</si>
  <si>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</si>
  <si>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</si>
  <si>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</si>
  <si>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</si>
  <si>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</si>
  <si>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</si>
  <si>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</si>
  <si>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</si>
  <si>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</si>
  <si>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</si>
  <si>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</si>
  <si>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</si>
  <si>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</si>
  <si>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</si>
  <si>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</si>
  <si>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</si>
  <si>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</si>
  <si>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</si>
  <si>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</si>
  <si>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</si>
  <si>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</si>
  <si>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</si>
  <si>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</si>
  <si>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</si>
  <si>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</si>
  <si>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</si>
  <si>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</si>
  <si>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</si>
  <si>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</si>
  <si>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</si>
  <si>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</si>
  <si>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</si>
  <si>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</si>
  <si>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</si>
  <si>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</si>
  <si>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</si>
  <si>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</si>
  <si>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</si>
  <si>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</si>
  <si>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</si>
  <si>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</si>
  <si>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</si>
  <si>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</si>
  <si>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</si>
  <si>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</si>
  <si>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</si>
  <si>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</si>
  <si>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</si>
  <si>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</si>
  <si>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</si>
  <si>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</si>
  <si>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</si>
  <si>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</si>
  <si>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</si>
  <si>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</si>
  <si>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</si>
  <si>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</si>
  <si>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</si>
  <si>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</si>
  <si>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</si>
  <si>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</si>
  <si>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</si>
  <si>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</si>
  <si>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</si>
  <si>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</si>
  <si>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</si>
  <si>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</si>
  <si>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</si>
  <si>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</si>
  <si>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</si>
  <si>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</si>
  <si>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</si>
  <si>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</si>
  <si>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</si>
  <si>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</si>
  <si>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</si>
  <si>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</si>
  <si>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</si>
  <si>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</si>
  <si>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</si>
  <si>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</si>
  <si>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</si>
  <si>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</si>
  <si>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</si>
  <si>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</si>
  <si>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</si>
  <si>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</si>
  <si>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</si>
  <si>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</si>
  <si>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</si>
  <si>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</si>
  <si>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</si>
  <si>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</si>
  <si>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</si>
  <si>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</si>
  <si>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</si>
  <si>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</si>
  <si>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</si>
  <si>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</si>
  <si>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</si>
  <si>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</si>
  <si>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</si>
  <si>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</si>
  <si>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</si>
  <si>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</si>
  <si>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</si>
  <si>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</si>
  <si>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</si>
  <si>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</si>
  <si>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</si>
  <si>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</si>
  <si>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</si>
  <si>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</si>
  <si>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</si>
  <si>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</si>
  <si>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</si>
  <si>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</si>
  <si>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</si>
  <si>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</si>
  <si>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</si>
  <si>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</si>
  <si>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</si>
  <si>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</si>
  <si>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</si>
  <si>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</si>
  <si>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</si>
  <si>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</si>
  <si>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</si>
  <si>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</si>
  <si>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</si>
  <si>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</si>
  <si>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</si>
  <si>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</si>
  <si>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</si>
  <si>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</si>
  <si>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</si>
  <si>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</si>
  <si>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</si>
  <si>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</si>
  <si>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</si>
  <si>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</si>
  <si>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</si>
  <si>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</si>
  <si>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</si>
  <si>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</si>
  <si>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</si>
  <si>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</si>
  <si>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</si>
  <si>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</si>
  <si>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 xml:space="preserve">2014. évi </t>
  </si>
  <si>
    <t xml:space="preserve">2014. </t>
  </si>
  <si>
    <t>ebből: egészségügyi hozzájárulás        (B33)</t>
  </si>
  <si>
    <t>ebből: egyszerűsített foglalkoztatás utáni közterhek        (B33)</t>
  </si>
  <si>
    <t>3</t>
  </si>
  <si>
    <t>Vagyoni tipusú adók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</si>
  <si>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</si>
  <si>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</si>
  <si>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</si>
  <si>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</si>
  <si>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</si>
  <si>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</si>
  <si>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</si>
  <si>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4.1</t>
  </si>
  <si>
    <t>Értékesítési és forgalmi adók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</si>
  <si>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</si>
  <si>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</si>
  <si>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</si>
  <si>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</si>
  <si>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</si>
  <si>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</si>
  <si>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4.1.1</t>
  </si>
  <si>
    <t>ebből: állandó jel-el végzett  tev. után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</si>
  <si>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</si>
  <si>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</si>
  <si>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</si>
  <si>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</si>
  <si>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</si>
  <si>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</si>
  <si>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</si>
  <si>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</si>
  <si>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</si>
  <si>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</si>
  <si>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</si>
  <si>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</si>
  <si>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</si>
  <si>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</si>
  <si>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</si>
  <si>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</si>
  <si>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</si>
  <si>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</si>
  <si>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4.2</t>
  </si>
  <si>
    <t>Gépjárműadók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</si>
  <si>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</si>
  <si>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</si>
  <si>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</si>
  <si>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</si>
  <si>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4.3</t>
  </si>
  <si>
    <t xml:space="preserve">Egyéb áruhasználati és szolgáltatási adók 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</si>
  <si>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</si>
  <si>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</si>
  <si>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</si>
  <si>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</si>
  <si>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</si>
  <si>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</si>
  <si>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</si>
  <si>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</si>
  <si>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</si>
  <si>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</si>
  <si>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</si>
  <si>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</si>
  <si>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</si>
  <si>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</si>
  <si>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</si>
  <si>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</si>
  <si>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4</t>
  </si>
  <si>
    <t xml:space="preserve">Termékek és szolgáltatások adói </t>
  </si>
  <si>
    <t>4.4</t>
  </si>
  <si>
    <t>Egyéb közhatalmi bevételek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</si>
  <si>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</si>
  <si>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</si>
  <si>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</si>
  <si>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</si>
  <si>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</si>
  <si>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</si>
  <si>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</si>
  <si>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</si>
  <si>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</si>
  <si>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</si>
  <si>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</si>
  <si>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</si>
  <si>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5.1</t>
  </si>
  <si>
    <t>Készletértékesítés ellenértéke        (B401)</t>
  </si>
  <si>
    <t>5.2</t>
  </si>
  <si>
    <t>Szolgáltatások ellenértéke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</si>
  <si>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</si>
  <si>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</si>
  <si>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5.3</t>
  </si>
  <si>
    <t>Közvetített szolgáltatások ellenértéke        (B403)</t>
  </si>
  <si>
    <t>5.4</t>
  </si>
  <si>
    <t>ebből: államháztartáson belül        (B403)</t>
  </si>
  <si>
    <t>5.5</t>
  </si>
  <si>
    <t>Tulajdonosi bevételek 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</si>
  <si>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</si>
  <si>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</si>
  <si>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</si>
  <si>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</si>
  <si>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</si>
  <si>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</si>
  <si>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5.6</t>
  </si>
  <si>
    <t>Ellátási díjak        (B405)</t>
  </si>
  <si>
    <t>5.7</t>
  </si>
  <si>
    <t>Kiszámlázott általános forgalmi adó        (B406)</t>
  </si>
  <si>
    <t>5.8</t>
  </si>
  <si>
    <t>Általános forgalmi adó visszatérítése        (B407)</t>
  </si>
  <si>
    <t>5.9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</si>
  <si>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</si>
  <si>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</si>
  <si>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</si>
  <si>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</si>
  <si>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5.10</t>
  </si>
  <si>
    <t>Egyéb pénzügyi műveletek bevételei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</si>
  <si>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</si>
  <si>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</si>
  <si>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</si>
  <si>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</si>
  <si>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5.11</t>
  </si>
  <si>
    <t>Egyéb működési bevételek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</si>
  <si>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</si>
  <si>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</si>
  <si>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</si>
  <si>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5</t>
  </si>
  <si>
    <t>Működési bevételek (=180+181+184+186+193+…+196+200+205)        (B4)</t>
  </si>
  <si>
    <t>6.1</t>
  </si>
  <si>
    <t>Immateriális javak értékesítése         (B51)</t>
  </si>
  <si>
    <t>ebből: kiotói egységek és kibocsátási egységek eladásából befolyt eladási ár        (B51)</t>
  </si>
  <si>
    <t>6.2</t>
  </si>
  <si>
    <t>Ingatlanok értékesítése       (B52)</t>
  </si>
  <si>
    <t>ebből: termőföld-eladás bevételei        (B52)</t>
  </si>
  <si>
    <t>6.3</t>
  </si>
  <si>
    <t>Egyéb tárgyi eszközök értékesítése        (B53)</t>
  </si>
  <si>
    <t>6.4</t>
  </si>
  <si>
    <t>Részesedések értékesítése         (B54)</t>
  </si>
  <si>
    <t>ebből: privatizációból származó bevétel        (B54)</t>
  </si>
  <si>
    <t>6.5</t>
  </si>
  <si>
    <t>Részesedések megszűnéséhez kapcsolódó bevételek        (B55)</t>
  </si>
  <si>
    <t xml:space="preserve">Felhalmozási bevételek 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</si>
  <si>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</si>
  <si>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</si>
  <si>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</si>
  <si>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</si>
  <si>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</si>
  <si>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</si>
  <si>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</si>
  <si>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</si>
  <si>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</si>
  <si>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</si>
  <si>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</si>
  <si>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</si>
  <si>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</si>
  <si>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</si>
  <si>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</si>
  <si>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</si>
  <si>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</si>
  <si>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</si>
  <si>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</si>
  <si>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</si>
  <si>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</si>
  <si>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</si>
  <si>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</si>
  <si>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</si>
  <si>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</si>
  <si>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 xml:space="preserve">Működési célú átvett pénzeszközök </t>
  </si>
  <si>
    <t>8.1</t>
  </si>
  <si>
    <t>Felhalm-i célú gar.- és kezességváll-ból megtérülések áh-n kívülről        (B71)</t>
  </si>
  <si>
    <t>8.2</t>
  </si>
  <si>
    <t>Felhalm-i célú visszatérítendő tám, kölcsön visszatérül áh-n kívülről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</si>
  <si>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</si>
  <si>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</si>
  <si>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</si>
  <si>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</si>
  <si>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</si>
  <si>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</si>
  <si>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</si>
  <si>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</si>
  <si>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</si>
  <si>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</si>
  <si>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</si>
  <si>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8.3</t>
  </si>
  <si>
    <t>Egyéb felhalmozási célú átvett pénzeszközök 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</si>
  <si>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</si>
  <si>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</si>
  <si>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</si>
  <si>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</si>
  <si>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</si>
  <si>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</si>
  <si>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</si>
  <si>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</si>
  <si>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</si>
  <si>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</si>
  <si>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</si>
  <si>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</t>
  </si>
  <si>
    <t xml:space="preserve">Költségvetési bevételek </t>
  </si>
  <si>
    <t xml:space="preserve">de a pm táblában az 1. sorban nem ennyi van hanem 389.864   </t>
  </si>
  <si>
    <t>04 - Beszámoló a B8. Finanszírozási bevételek előirányzatának teljesítéséről</t>
  </si>
  <si>
    <t>10.1</t>
  </si>
  <si>
    <t>Hosszú lejáratú hitelek, kölcsönök felvétele      (B8111)</t>
  </si>
  <si>
    <t>ebből: pénzügyi vállalkozás        (B8111)</t>
  </si>
  <si>
    <t>10.2</t>
  </si>
  <si>
    <t>Likviditási célú hitelek, kölcsönök felvétele pénzügyi vállalkozástól        (B8112)</t>
  </si>
  <si>
    <t>10.3</t>
  </si>
  <si>
    <t>Rövid lejáratú hitelek, kölcsönök felvétele       (B8113)</t>
  </si>
  <si>
    <t>KIMUTATÁS</t>
  </si>
  <si>
    <t xml:space="preserve">BALATONVILÁGOS KÖZSÉG ÖNKORMÁNYZAT  </t>
  </si>
  <si>
    <t>RÉSZESEDÉSEINEK ZÁRÓ ÁLLOMÁNYÁRÓL</t>
  </si>
  <si>
    <t xml:space="preserve">S </t>
  </si>
  <si>
    <t>Mérleg szerinti</t>
  </si>
  <si>
    <t>Önkormányzati részesedés</t>
  </si>
  <si>
    <t>Névérték 2005</t>
  </si>
  <si>
    <t>Mérleg sz.érték 2005.</t>
  </si>
  <si>
    <t>Értékesítés névértéken 2005.</t>
  </si>
  <si>
    <t>Értékesítés eladási áron 2005.</t>
  </si>
  <si>
    <t>Átértékelés</t>
  </si>
  <si>
    <t>Névérték 2006</t>
  </si>
  <si>
    <t>Értékvesztés elszámolása 2005</t>
  </si>
  <si>
    <t>Értékvesztés elszámolása 2006.</t>
  </si>
  <si>
    <t>Mérleg sz. érték 2006.</t>
  </si>
  <si>
    <t>Értékvesztés elszámolása 2007</t>
  </si>
  <si>
    <t>Mérleg szerinti érték 2007</t>
  </si>
  <si>
    <t>Mérleg szerinti érték 2008</t>
  </si>
  <si>
    <t>Mérleg szerinti érték 2009.</t>
  </si>
  <si>
    <t>Mérleg szerinti érték 2010.</t>
  </si>
  <si>
    <t>Mérleg szerinti érték 2011.</t>
  </si>
  <si>
    <t>Mérleg szerinti érték 2012.</t>
  </si>
  <si>
    <t>Mérleg szerinti érték 2013.</t>
  </si>
  <si>
    <t>saját tőke 2009</t>
  </si>
  <si>
    <t>jegyzett tőke 2009</t>
  </si>
  <si>
    <t>saját tőkéhez 2009</t>
  </si>
  <si>
    <t>jegyzett tőkéhez 2009</t>
  </si>
  <si>
    <t>UNIVERZUM 2001. Rt. Budapest (felszámolás alatt)</t>
  </si>
  <si>
    <t>fa</t>
  </si>
  <si>
    <t>ALBA REGIA Épitő Váll.Holding Rt. Székesfehérvár</t>
  </si>
  <si>
    <t>VÍZHASZNOSÍTÁSI TÁRSASÁG Balatonvilágos</t>
  </si>
  <si>
    <t>BAKONY FÜSZÉRT Rt. Székesfehérvár</t>
  </si>
  <si>
    <t>KÖGÁZ Rt. Nagykanizsa</t>
  </si>
  <si>
    <t>DÉDÁSZ Rt. Pécs</t>
  </si>
  <si>
    <t>FORTE Fotokémiai Rt. VÁC</t>
  </si>
  <si>
    <t xml:space="preserve">BAHART Balatoni Hajóási Rt. </t>
  </si>
  <si>
    <t>AVE Zöldfok ZRt.</t>
  </si>
  <si>
    <t>ÁLLAMKÖTVÉNY</t>
  </si>
  <si>
    <t xml:space="preserve"> 1721.Kárpótlási jegyek állománya</t>
  </si>
  <si>
    <t>MINDÖSSZESEN:</t>
  </si>
  <si>
    <t xml:space="preserve"> </t>
  </si>
  <si>
    <t>2014. december 31.</t>
  </si>
  <si>
    <t>Mérleg szerinti érték 2014.</t>
  </si>
  <si>
    <t>15. melléklet a …./2015.(…...) önkormányzati rendelethez</t>
  </si>
  <si>
    <t>Konszolidálás</t>
  </si>
  <si>
    <t>Tényleges kiadások mindösszesen</t>
  </si>
  <si>
    <t>1 /a melléklet a  …./2015.(…..)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</si>
</sst>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  <numFmt numFmtId="168" formatCode="00"/>
    <numFmt numFmtId="169" formatCode="#,###__;\-#,###__"/>
    <numFmt numFmtId="170" formatCode="#,###\ _F_t;\-#,###\ _F_t"/>
    <numFmt numFmtId="171" formatCode="#,###__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%"/>
    <numFmt numFmtId="176" formatCode="#,##0_ ;\-#,##0\ 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0"/>
      <name val="Times New Roman CE"/>
      <family val="1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 CE"/>
      <family val="1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i/>
      <sz val="10"/>
      <name val="Times New Roman CE"/>
      <family val="0"/>
    </font>
    <font>
      <i/>
      <sz val="8"/>
      <name val="Times New Roman CE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i/>
      <sz val="12"/>
      <name val="Times New Roman CE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9"/>
      <color indexed="10"/>
      <name val="Times New Roman CE"/>
      <family val="0"/>
    </font>
    <font>
      <b/>
      <sz val="12"/>
      <color indexed="62"/>
      <name val="Arial"/>
      <family val="2"/>
    </font>
    <font>
      <sz val="12"/>
      <color indexed="8"/>
      <name val="Times New Roman CE"/>
      <family val="0"/>
    </font>
    <font>
      <b/>
      <i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1" fillId="28" borderId="7" applyNumberFormat="0" applyFont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9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1" fillId="0" borderId="0" applyFont="0" applyFill="0" applyBorder="0" applyAlignment="0" applyProtection="0"/>
  </cellStyleXfs>
  <cellXfs count="86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9" fillId="0" borderId="10" xfId="56" applyNumberFormat="1" applyFont="1" applyFill="1" applyBorder="1" applyAlignment="1" applyProtection="1">
      <alignment/>
      <protection locked="0"/>
    </xf>
    <xf numFmtId="1" fontId="9" fillId="0" borderId="10" xfId="56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0" fillId="0" borderId="10" xfId="56" applyNumberFormat="1" applyFont="1" applyFill="1" applyBorder="1" applyAlignment="1" applyProtection="1">
      <alignment/>
      <protection locked="0"/>
    </xf>
    <xf numFmtId="1" fontId="10" fillId="0" borderId="10" xfId="56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8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3" fillId="0" borderId="10" xfId="57" applyNumberFormat="1" applyFont="1" applyFill="1" applyBorder="1">
      <alignment/>
      <protection/>
    </xf>
    <xf numFmtId="3" fontId="13" fillId="0" borderId="10" xfId="57" applyNumberFormat="1" applyFont="1" applyFill="1" applyBorder="1" applyAlignment="1">
      <alignment horizontal="center" vertical="center" wrapText="1"/>
      <protection/>
    </xf>
    <xf numFmtId="3" fontId="17" fillId="0" borderId="10" xfId="57" applyNumberFormat="1" applyFont="1" applyFill="1" applyBorder="1">
      <alignment/>
      <protection/>
    </xf>
    <xf numFmtId="3" fontId="17" fillId="0" borderId="10" xfId="57" applyNumberFormat="1" applyFont="1" applyFill="1" applyBorder="1" applyAlignment="1">
      <alignment horizontal="left" vertical="center" wrapText="1"/>
      <protection/>
    </xf>
    <xf numFmtId="3" fontId="13" fillId="0" borderId="10" xfId="57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164" fontId="13" fillId="0" borderId="10" xfId="57" applyNumberFormat="1" applyFont="1" applyFill="1" applyBorder="1">
      <alignment/>
      <protection/>
    </xf>
    <xf numFmtId="4" fontId="13" fillId="0" borderId="10" xfId="57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3" fontId="13" fillId="0" borderId="10" xfId="57" applyNumberFormat="1" applyFont="1" applyFill="1" applyBorder="1" applyAlignment="1">
      <alignment/>
      <protection/>
    </xf>
    <xf numFmtId="3" fontId="17" fillId="0" borderId="10" xfId="57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Continuous" vertical="center"/>
    </xf>
    <xf numFmtId="49" fontId="3" fillId="0" borderId="15" xfId="0" applyNumberFormat="1" applyFont="1" applyBorder="1" applyAlignment="1">
      <alignment horizontal="centerContinuous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29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1" fontId="2" fillId="0" borderId="28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right" vertical="center" wrapText="1"/>
    </xf>
    <xf numFmtId="1" fontId="2" fillId="0" borderId="2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31" xfId="0" applyNumberFormat="1" applyFont="1" applyBorder="1" applyAlignment="1" applyProtection="1">
      <alignment horizontal="right" vertical="center" wrapText="1"/>
      <protection locked="0"/>
    </xf>
    <xf numFmtId="3" fontId="2" fillId="0" borderId="32" xfId="0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165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right" vertical="center"/>
    </xf>
    <xf numFmtId="165" fontId="20" fillId="0" borderId="14" xfId="0" applyNumberFormat="1" applyFont="1" applyFill="1" applyBorder="1" applyAlignment="1">
      <alignment horizontal="centerContinuous" vertical="center" wrapText="1"/>
    </xf>
    <xf numFmtId="165" fontId="20" fillId="0" borderId="15" xfId="0" applyNumberFormat="1" applyFont="1" applyFill="1" applyBorder="1" applyAlignment="1">
      <alignment horizontal="centerContinuous" vertical="center"/>
    </xf>
    <xf numFmtId="165" fontId="20" fillId="0" borderId="34" xfId="0" applyNumberFormat="1" applyFont="1" applyFill="1" applyBorder="1" applyAlignment="1">
      <alignment horizontal="centerContinuous" vertical="center"/>
    </xf>
    <xf numFmtId="165" fontId="21" fillId="0" borderId="0" xfId="0" applyNumberFormat="1" applyFont="1" applyFill="1" applyAlignment="1">
      <alignment vertical="center"/>
    </xf>
    <xf numFmtId="165" fontId="20" fillId="0" borderId="17" xfId="0" applyNumberFormat="1" applyFont="1" applyFill="1" applyBorder="1" applyAlignment="1">
      <alignment horizontal="center" vertical="center"/>
    </xf>
    <xf numFmtId="165" fontId="20" fillId="0" borderId="20" xfId="0" applyNumberFormat="1" applyFont="1" applyFill="1" applyBorder="1" applyAlignment="1">
      <alignment horizontal="center" vertical="center"/>
    </xf>
    <xf numFmtId="165" fontId="20" fillId="0" borderId="35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  <xf numFmtId="165" fontId="20" fillId="0" borderId="22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5" fontId="20" fillId="0" borderId="36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0" fillId="0" borderId="26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left" vertical="center" wrapText="1" indent="1"/>
    </xf>
    <xf numFmtId="165" fontId="22" fillId="0" borderId="23" xfId="0" applyNumberFormat="1" applyFont="1" applyFill="1" applyBorder="1" applyAlignment="1">
      <alignment vertical="center" wrapText="1"/>
    </xf>
    <xf numFmtId="165" fontId="22" fillId="0" borderId="27" xfId="0" applyNumberFormat="1" applyFont="1" applyFill="1" applyBorder="1" applyAlignment="1">
      <alignment vertical="center" wrapText="1"/>
    </xf>
    <xf numFmtId="165" fontId="20" fillId="0" borderId="26" xfId="0" applyNumberFormat="1" applyFont="1" applyFill="1" applyBorder="1" applyAlignment="1">
      <alignment vertical="center" wrapText="1"/>
    </xf>
    <xf numFmtId="165" fontId="20" fillId="0" borderId="28" xfId="0" applyNumberFormat="1" applyFont="1" applyFill="1" applyBorder="1" applyAlignment="1">
      <alignment vertical="center" wrapText="1"/>
    </xf>
    <xf numFmtId="165" fontId="20" fillId="0" borderId="36" xfId="0" applyNumberFormat="1" applyFont="1" applyFill="1" applyBorder="1" applyAlignment="1">
      <alignment vertical="center" wrapText="1"/>
    </xf>
    <xf numFmtId="165" fontId="20" fillId="0" borderId="29" xfId="0" applyNumberFormat="1" applyFont="1" applyFill="1" applyBorder="1" applyAlignment="1">
      <alignment horizontal="center" vertical="center" wrapText="1"/>
    </xf>
    <xf numFmtId="165" fontId="2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30" xfId="0" applyNumberFormat="1" applyFont="1" applyFill="1" applyBorder="1" applyAlignment="1" applyProtection="1">
      <alignment vertical="center" wrapText="1"/>
      <protection locked="0"/>
    </xf>
    <xf numFmtId="166" fontId="22" fillId="0" borderId="10" xfId="0" applyNumberFormat="1" applyFont="1" applyFill="1" applyBorder="1" applyAlignment="1" applyProtection="1">
      <alignment vertical="center" wrapText="1"/>
      <protection locked="0"/>
    </xf>
    <xf numFmtId="165" fontId="22" fillId="0" borderId="29" xfId="0" applyNumberFormat="1" applyFont="1" applyFill="1" applyBorder="1" applyAlignment="1" applyProtection="1">
      <alignment vertical="center" wrapText="1"/>
      <protection locked="0"/>
    </xf>
    <xf numFmtId="165" fontId="22" fillId="0" borderId="10" xfId="0" applyNumberFormat="1" applyFont="1" applyFill="1" applyBorder="1" applyAlignment="1" applyProtection="1">
      <alignment vertical="center" wrapText="1"/>
      <protection locked="0"/>
    </xf>
    <xf numFmtId="165" fontId="22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65" fontId="19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right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5" fillId="0" borderId="38" xfId="0" applyFont="1" applyFill="1" applyBorder="1" applyAlignment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Fill="1" applyBorder="1" applyAlignment="1">
      <alignment horizontal="center" vertical="center" wrapText="1"/>
    </xf>
    <xf numFmtId="165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57" applyFont="1" applyFill="1" applyAlignment="1">
      <alignment horizontal="center"/>
      <protection/>
    </xf>
    <xf numFmtId="3" fontId="5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3" fontId="30" fillId="0" borderId="33" xfId="0" applyNumberFormat="1" applyFont="1" applyBorder="1" applyAlignment="1">
      <alignment/>
    </xf>
    <xf numFmtId="3" fontId="30" fillId="0" borderId="0" xfId="0" applyNumberFormat="1" applyFont="1" applyBorder="1" applyAlignment="1">
      <alignment horizontal="center"/>
    </xf>
    <xf numFmtId="3" fontId="30" fillId="0" borderId="32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/>
    </xf>
    <xf numFmtId="3" fontId="13" fillId="0" borderId="42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wrapText="1"/>
    </xf>
    <xf numFmtId="3" fontId="31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 wrapText="1"/>
    </xf>
    <xf numFmtId="1" fontId="17" fillId="0" borderId="10" xfId="0" applyNumberFormat="1" applyFont="1" applyBorder="1" applyAlignment="1">
      <alignment wrapText="1"/>
    </xf>
    <xf numFmtId="1" fontId="31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3" fontId="29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3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43" xfId="0" applyFont="1" applyBorder="1" applyAlignment="1">
      <alignment/>
    </xf>
    <xf numFmtId="0" fontId="29" fillId="0" borderId="43" xfId="0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42" xfId="0" applyNumberFormat="1" applyFont="1" applyBorder="1" applyAlignment="1">
      <alignment horizontal="center"/>
    </xf>
    <xf numFmtId="3" fontId="30" fillId="34" borderId="10" xfId="0" applyNumberFormat="1" applyFont="1" applyFill="1" applyBorder="1" applyAlignment="1">
      <alignment/>
    </xf>
    <xf numFmtId="3" fontId="31" fillId="34" borderId="10" xfId="0" applyNumberFormat="1" applyFont="1" applyFill="1" applyBorder="1" applyAlignment="1">
      <alignment/>
    </xf>
    <xf numFmtId="3" fontId="30" fillId="34" borderId="0" xfId="0" applyNumberFormat="1" applyFont="1" applyFill="1" applyBorder="1" applyAlignment="1">
      <alignment/>
    </xf>
    <xf numFmtId="3" fontId="30" fillId="34" borderId="32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wrapText="1"/>
    </xf>
    <xf numFmtId="3" fontId="31" fillId="34" borderId="10" xfId="0" applyNumberFormat="1" applyFont="1" applyFill="1" applyBorder="1" applyAlignment="1">
      <alignment wrapText="1"/>
    </xf>
    <xf numFmtId="1" fontId="31" fillId="34" borderId="10" xfId="0" applyNumberFormat="1" applyFont="1" applyFill="1" applyBorder="1" applyAlignment="1">
      <alignment wrapText="1"/>
    </xf>
    <xf numFmtId="1" fontId="31" fillId="34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165" fontId="0" fillId="0" borderId="0" xfId="0" applyNumberFormat="1" applyFill="1" applyAlignment="1" applyProtection="1">
      <alignment vertical="center" wrapText="1"/>
      <protection/>
    </xf>
    <xf numFmtId="165" fontId="7" fillId="0" borderId="0" xfId="0" applyNumberFormat="1" applyFont="1" applyFill="1" applyAlignment="1" applyProtection="1">
      <alignment horizontal="centerContinuous" vertical="center" wrapText="1"/>
      <protection/>
    </xf>
    <xf numFmtId="165" fontId="0" fillId="0" borderId="0" xfId="0" applyNumberFormat="1" applyFill="1" applyAlignment="1" applyProtection="1">
      <alignment horizontal="centerContinuous" vertical="center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8" fillId="0" borderId="0" xfId="0" applyNumberFormat="1" applyFont="1" applyFill="1" applyAlignment="1" applyProtection="1">
      <alignment horizontal="right" vertical="center"/>
      <protection/>
    </xf>
    <xf numFmtId="165" fontId="20" fillId="0" borderId="26" xfId="0" applyNumberFormat="1" applyFont="1" applyFill="1" applyBorder="1" applyAlignment="1" applyProtection="1">
      <alignment horizontal="centerContinuous" vertical="center" wrapText="1"/>
      <protection/>
    </xf>
    <xf numFmtId="165" fontId="20" fillId="0" borderId="28" xfId="0" applyNumberFormat="1" applyFont="1" applyFill="1" applyBorder="1" applyAlignment="1" applyProtection="1">
      <alignment horizontal="centerContinuous" vertical="center" wrapText="1"/>
      <protection/>
    </xf>
    <xf numFmtId="165" fontId="20" fillId="0" borderId="36" xfId="0" applyNumberFormat="1" applyFont="1" applyFill="1" applyBorder="1" applyAlignment="1" applyProtection="1">
      <alignment horizontal="centerContinuous" vertical="center" wrapText="1"/>
      <protection/>
    </xf>
    <xf numFmtId="165" fontId="20" fillId="0" borderId="26" xfId="0" applyNumberFormat="1" applyFont="1" applyFill="1" applyBorder="1" applyAlignment="1" applyProtection="1">
      <alignment horizontal="center" vertical="center" wrapText="1"/>
      <protection/>
    </xf>
    <xf numFmtId="165" fontId="20" fillId="0" borderId="28" xfId="0" applyNumberFormat="1" applyFont="1" applyFill="1" applyBorder="1" applyAlignment="1" applyProtection="1">
      <alignment horizontal="center" vertical="center" wrapText="1"/>
      <protection/>
    </xf>
    <xf numFmtId="165" fontId="20" fillId="0" borderId="27" xfId="0" applyNumberFormat="1" applyFont="1" applyFill="1" applyBorder="1" applyAlignment="1" applyProtection="1">
      <alignment horizontal="center" vertical="center" wrapText="1"/>
      <protection/>
    </xf>
    <xf numFmtId="165" fontId="20" fillId="0" borderId="36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 applyProtection="1">
      <alignment horizontal="center" vertical="center" wrapText="1"/>
      <protection/>
    </xf>
    <xf numFmtId="165" fontId="24" fillId="0" borderId="23" xfId="0" applyNumberFormat="1" applyFont="1" applyFill="1" applyBorder="1" applyAlignment="1" applyProtection="1">
      <alignment horizontal="center" vertical="center" wrapText="1"/>
      <protection/>
    </xf>
    <xf numFmtId="165" fontId="24" fillId="0" borderId="26" xfId="0" applyNumberFormat="1" applyFont="1" applyFill="1" applyBorder="1" applyAlignment="1" applyProtection="1">
      <alignment horizontal="center" vertical="center" wrapText="1"/>
      <protection/>
    </xf>
    <xf numFmtId="165" fontId="24" fillId="0" borderId="28" xfId="0" applyNumberFormat="1" applyFont="1" applyFill="1" applyBorder="1" applyAlignment="1" applyProtection="1">
      <alignment horizontal="center" vertical="center" wrapText="1"/>
      <protection/>
    </xf>
    <xf numFmtId="165" fontId="24" fillId="0" borderId="36" xfId="0" applyNumberFormat="1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4" xfId="0" applyNumberFormat="1" applyFill="1" applyBorder="1" applyAlignment="1" applyProtection="1">
      <alignment horizontal="left" vertical="center" wrapText="1" indent="1"/>
      <protection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0" xfId="0" applyNumberFormat="1" applyFill="1" applyBorder="1" applyAlignment="1" applyProtection="1">
      <alignment horizontal="left" vertical="center" wrapText="1" indent="1"/>
      <protection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2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39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39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25" fillId="0" borderId="29" xfId="0" applyNumberFormat="1" applyFont="1" applyFill="1" applyBorder="1" applyAlignment="1" applyProtection="1" quotePrefix="1">
      <alignment horizontal="left" vertical="center" wrapText="1" indent="6"/>
      <protection locked="0"/>
    </xf>
    <xf numFmtId="165" fontId="25" fillId="0" borderId="29" xfId="0" applyNumberFormat="1" applyFont="1" applyFill="1" applyBorder="1" applyAlignment="1" applyProtection="1" quotePrefix="1">
      <alignment horizontal="left" vertical="center" wrapText="1" indent="6"/>
      <protection locked="0"/>
    </xf>
    <xf numFmtId="165" fontId="25" fillId="0" borderId="29" xfId="0" applyNumberFormat="1" applyFont="1" applyFill="1" applyBorder="1" applyAlignment="1" applyProtection="1" quotePrefix="1">
      <alignment horizontal="left" vertical="center" wrapText="1" indent="3"/>
      <protection locked="0"/>
    </xf>
    <xf numFmtId="165" fontId="0" fillId="0" borderId="48" xfId="0" applyNumberFormat="1" applyFill="1" applyBorder="1" applyAlignment="1" applyProtection="1">
      <alignment horizontal="left" vertical="center" wrapText="1" indent="1"/>
      <protection/>
    </xf>
    <xf numFmtId="165" fontId="2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39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39" fillId="0" borderId="32" xfId="0" applyNumberFormat="1" applyFont="1" applyFill="1" applyBorder="1" applyAlignment="1" applyProtection="1">
      <alignment horizontal="right" vertical="center" wrapText="1" indent="1"/>
      <protection/>
    </xf>
    <xf numFmtId="165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5" fontId="25" fillId="0" borderId="10" xfId="0" applyNumberFormat="1" applyFont="1" applyFill="1" applyBorder="1" applyAlignment="1" applyProtection="1">
      <alignment horizontal="left" vertical="center" wrapText="1" indent="2"/>
      <protection/>
    </xf>
    <xf numFmtId="165" fontId="39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45" xfId="0" applyNumberFormat="1" applyFont="1" applyFill="1" applyBorder="1" applyAlignment="1" applyProtection="1">
      <alignment horizontal="left" vertical="center" wrapText="1" indent="2"/>
      <protection/>
    </xf>
    <xf numFmtId="165" fontId="25" fillId="0" borderId="40" xfId="0" applyNumberFormat="1" applyFont="1" applyFill="1" applyBorder="1" applyAlignment="1" applyProtection="1">
      <alignment horizontal="left" vertical="center" wrapText="1" indent="2"/>
      <protection/>
    </xf>
    <xf numFmtId="165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0" xfId="0" applyNumberFormat="1" applyFont="1" applyAlignment="1">
      <alignment vertical="center" wrapText="1"/>
    </xf>
    <xf numFmtId="165" fontId="21" fillId="0" borderId="0" xfId="0" applyNumberFormat="1" applyFont="1" applyAlignment="1">
      <alignment horizontal="centerContinuous" vertical="center" wrapText="1"/>
    </xf>
    <xf numFmtId="165" fontId="23" fillId="0" borderId="0" xfId="0" applyNumberFormat="1" applyFont="1" applyAlignment="1">
      <alignment horizontal="centerContinuous" vertical="center"/>
    </xf>
    <xf numFmtId="165" fontId="40" fillId="0" borderId="0" xfId="0" applyNumberFormat="1" applyFont="1" applyAlignment="1">
      <alignment horizontal="centerContinuous" vertical="center"/>
    </xf>
    <xf numFmtId="165" fontId="23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Alignment="1">
      <alignment horizontal="right" vertical="center"/>
    </xf>
    <xf numFmtId="165" fontId="23" fillId="0" borderId="0" xfId="0" applyNumberFormat="1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Continuous" vertical="center" wrapText="1"/>
    </xf>
    <xf numFmtId="165" fontId="23" fillId="0" borderId="10" xfId="0" applyNumberFormat="1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5" fontId="23" fillId="0" borderId="10" xfId="0" applyNumberFormat="1" applyFont="1" applyBorder="1" applyAlignment="1">
      <alignment horizontal="left" vertical="center" wrapText="1"/>
    </xf>
    <xf numFmtId="165" fontId="41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/>
    </xf>
    <xf numFmtId="165" fontId="23" fillId="0" borderId="10" xfId="0" applyNumberFormat="1" applyFont="1" applyBorder="1" applyAlignment="1" applyProtection="1">
      <alignment horizontal="left" vertical="center" wrapText="1"/>
      <protection locked="0"/>
    </xf>
    <xf numFmtId="165" fontId="23" fillId="0" borderId="10" xfId="0" applyNumberFormat="1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vertical="center" wrapText="1"/>
    </xf>
    <xf numFmtId="165" fontId="24" fillId="0" borderId="10" xfId="0" applyNumberFormat="1" applyFont="1" applyFill="1" applyBorder="1" applyAlignment="1" applyProtection="1">
      <alignment horizontal="right" vertical="center" wrapText="1"/>
      <protection/>
    </xf>
    <xf numFmtId="165" fontId="41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 vertical="center" wrapText="1"/>
    </xf>
    <xf numFmtId="165" fontId="5" fillId="0" borderId="0" xfId="0" applyNumberFormat="1" applyFont="1" applyAlignment="1">
      <alignment horizontal="centerContinuous" vertical="center"/>
    </xf>
    <xf numFmtId="165" fontId="42" fillId="0" borderId="0" xfId="0" applyNumberFormat="1" applyFont="1" applyAlignment="1">
      <alignment horizontal="centerContinuous" vertical="center"/>
    </xf>
    <xf numFmtId="3" fontId="61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43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Continuous" vertical="center" wrapText="1"/>
    </xf>
    <xf numFmtId="165" fontId="5" fillId="0" borderId="28" xfId="0" applyNumberFormat="1" applyFont="1" applyBorder="1" applyAlignment="1">
      <alignment horizontal="centerContinuous" vertical="center" wrapText="1"/>
    </xf>
    <xf numFmtId="165" fontId="5" fillId="0" borderId="24" xfId="0" applyNumberFormat="1" applyFont="1" applyBorder="1" applyAlignment="1">
      <alignment horizontal="centerContinuous" vertical="center" wrapText="1"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165" fontId="5" fillId="0" borderId="56" xfId="0" applyNumberFormat="1" applyFont="1" applyBorder="1" applyAlignment="1">
      <alignment horizontal="left" vertical="center" wrapText="1"/>
    </xf>
    <xf numFmtId="165" fontId="5" fillId="0" borderId="32" xfId="0" applyNumberFormat="1" applyFont="1" applyBorder="1" applyAlignment="1" applyProtection="1">
      <alignment vertical="center" wrapText="1"/>
      <protection locked="0"/>
    </xf>
    <xf numFmtId="165" fontId="13" fillId="0" borderId="25" xfId="0" applyNumberFormat="1" applyFont="1" applyBorder="1" applyAlignment="1" applyProtection="1">
      <alignment vertical="center" wrapText="1"/>
      <protection locked="0"/>
    </xf>
    <xf numFmtId="165" fontId="13" fillId="0" borderId="10" xfId="0" applyNumberFormat="1" applyFont="1" applyBorder="1" applyAlignment="1" applyProtection="1">
      <alignment vertical="center" wrapText="1"/>
      <protection locked="0"/>
    </xf>
    <xf numFmtId="165" fontId="13" fillId="0" borderId="32" xfId="0" applyNumberFormat="1" applyFont="1" applyBorder="1" applyAlignment="1" applyProtection="1">
      <alignment vertical="center" wrapText="1"/>
      <protection locked="0"/>
    </xf>
    <xf numFmtId="165" fontId="5" fillId="0" borderId="32" xfId="0" applyNumberFormat="1" applyFont="1" applyBorder="1" applyAlignment="1">
      <alignment vertical="center" wrapText="1"/>
    </xf>
    <xf numFmtId="165" fontId="5" fillId="0" borderId="39" xfId="0" applyNumberFormat="1" applyFont="1" applyBorder="1" applyAlignment="1" applyProtection="1">
      <alignment vertical="center" wrapText="1"/>
      <protection locked="0"/>
    </xf>
    <xf numFmtId="165" fontId="13" fillId="0" borderId="53" xfId="0" applyNumberFormat="1" applyFont="1" applyBorder="1" applyAlignment="1" applyProtection="1">
      <alignment vertical="center" wrapText="1"/>
      <protection locked="0"/>
    </xf>
    <xf numFmtId="165" fontId="13" fillId="0" borderId="57" xfId="0" applyNumberFormat="1" applyFont="1" applyBorder="1" applyAlignment="1" applyProtection="1">
      <alignment vertical="center" wrapText="1"/>
      <protection locked="0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5" fontId="5" fillId="0" borderId="43" xfId="0" applyNumberFormat="1" applyFont="1" applyBorder="1" applyAlignment="1">
      <alignment horizontal="left" vertical="center" wrapText="1"/>
    </xf>
    <xf numFmtId="165" fontId="5" fillId="0" borderId="31" xfId="0" applyNumberFormat="1" applyFont="1" applyBorder="1" applyAlignment="1" applyProtection="1">
      <alignment vertical="center" wrapText="1"/>
      <protection locked="0"/>
    </xf>
    <xf numFmtId="165" fontId="13" fillId="0" borderId="43" xfId="0" applyNumberFormat="1" applyFont="1" applyBorder="1" applyAlignment="1" applyProtection="1">
      <alignment vertical="center" wrapText="1"/>
      <protection locked="0"/>
    </xf>
    <xf numFmtId="165" fontId="5" fillId="0" borderId="10" xfId="0" applyNumberFormat="1" applyFont="1" applyBorder="1" applyAlignment="1">
      <alignment vertical="center" wrapText="1"/>
    </xf>
    <xf numFmtId="165" fontId="5" fillId="0" borderId="37" xfId="0" applyNumberFormat="1" applyFont="1" applyBorder="1" applyAlignment="1" applyProtection="1">
      <alignment vertical="center" wrapText="1"/>
      <protection locked="0"/>
    </xf>
    <xf numFmtId="165" fontId="13" fillId="0" borderId="30" xfId="0" applyNumberFormat="1" applyFont="1" applyBorder="1" applyAlignment="1" applyProtection="1">
      <alignment vertical="center" wrapText="1"/>
      <protection locked="0"/>
    </xf>
    <xf numFmtId="165" fontId="13" fillId="0" borderId="31" xfId="0" applyNumberFormat="1" applyFont="1" applyBorder="1" applyAlignment="1" applyProtection="1">
      <alignment vertical="center" wrapText="1"/>
      <protection locked="0"/>
    </xf>
    <xf numFmtId="165" fontId="5" fillId="0" borderId="10" xfId="0" applyNumberFormat="1" applyFont="1" applyBorder="1" applyAlignment="1" applyProtection="1">
      <alignment vertical="center" wrapText="1"/>
      <protection locked="0"/>
    </xf>
    <xf numFmtId="3" fontId="5" fillId="0" borderId="2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5" fillId="0" borderId="43" xfId="0" applyNumberFormat="1" applyFont="1" applyBorder="1" applyAlignment="1" applyProtection="1">
      <alignment horizontal="left" vertical="center" wrapText="1"/>
      <protection locked="0"/>
    </xf>
    <xf numFmtId="3" fontId="7" fillId="0" borderId="2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5" fillId="0" borderId="25" xfId="0" applyNumberFormat="1" applyFont="1" applyFill="1" applyBorder="1" applyAlignment="1">
      <alignment vertical="center" wrapText="1"/>
    </xf>
    <xf numFmtId="165" fontId="5" fillId="0" borderId="41" xfId="0" applyNumberFormat="1" applyFont="1" applyBorder="1" applyAlignment="1" applyProtection="1">
      <alignment horizontal="left" vertical="center" wrapText="1"/>
      <protection locked="0"/>
    </xf>
    <xf numFmtId="165" fontId="5" fillId="0" borderId="33" xfId="0" applyNumberFormat="1" applyFont="1" applyBorder="1" applyAlignment="1" applyProtection="1">
      <alignment vertical="center" wrapText="1"/>
      <protection locked="0"/>
    </xf>
    <xf numFmtId="165" fontId="13" fillId="0" borderId="33" xfId="0" applyNumberFormat="1" applyFont="1" applyBorder="1" applyAlignment="1" applyProtection="1">
      <alignment vertical="center" wrapText="1"/>
      <protection locked="0"/>
    </xf>
    <xf numFmtId="165" fontId="5" fillId="0" borderId="35" xfId="0" applyNumberFormat="1" applyFont="1" applyBorder="1" applyAlignment="1" applyProtection="1">
      <alignment vertical="center" wrapText="1"/>
      <protection locked="0"/>
    </xf>
    <xf numFmtId="165" fontId="13" fillId="0" borderId="58" xfId="0" applyNumberFormat="1" applyFont="1" applyBorder="1" applyAlignment="1" applyProtection="1">
      <alignment vertical="center" wrapText="1"/>
      <protection locked="0"/>
    </xf>
    <xf numFmtId="165" fontId="13" fillId="0" borderId="20" xfId="0" applyNumberFormat="1" applyFont="1" applyBorder="1" applyAlignment="1" applyProtection="1">
      <alignment vertical="center" wrapText="1"/>
      <protection locked="0"/>
    </xf>
    <xf numFmtId="3" fontId="0" fillId="0" borderId="35" xfId="0" applyNumberFormat="1" applyFont="1" applyBorder="1" applyAlignment="1">
      <alignment/>
    </xf>
    <xf numFmtId="165" fontId="5" fillId="0" borderId="27" xfId="0" applyNumberFormat="1" applyFont="1" applyBorder="1" applyAlignment="1">
      <alignment horizontal="left" vertical="center" wrapText="1"/>
    </xf>
    <xf numFmtId="165" fontId="5" fillId="0" borderId="28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vertical="center" wrapText="1"/>
    </xf>
    <xf numFmtId="165" fontId="5" fillId="0" borderId="23" xfId="0" applyNumberFormat="1" applyFont="1" applyBorder="1" applyAlignment="1">
      <alignment vertical="center" wrapText="1"/>
    </xf>
    <xf numFmtId="165" fontId="5" fillId="0" borderId="24" xfId="0" applyNumberFormat="1" applyFont="1" applyBorder="1" applyAlignment="1">
      <alignment vertical="center" wrapText="1"/>
    </xf>
    <xf numFmtId="165" fontId="5" fillId="0" borderId="22" xfId="0" applyNumberFormat="1" applyFont="1" applyBorder="1" applyAlignment="1">
      <alignment vertical="center" wrapText="1"/>
    </xf>
    <xf numFmtId="3" fontId="0" fillId="0" borderId="58" xfId="0" applyNumberFormat="1" applyFont="1" applyBorder="1" applyAlignment="1">
      <alignment horizontal="center"/>
    </xf>
    <xf numFmtId="165" fontId="5" fillId="0" borderId="38" xfId="0" applyNumberFormat="1" applyFont="1" applyBorder="1" applyAlignment="1">
      <alignment horizontal="left" vertical="center" wrapText="1"/>
    </xf>
    <xf numFmtId="165" fontId="24" fillId="0" borderId="59" xfId="0" applyNumberFormat="1" applyFont="1" applyFill="1" applyBorder="1" applyAlignment="1" applyProtection="1">
      <alignment horizontal="right" vertical="center" wrapText="1"/>
      <protection/>
    </xf>
    <xf numFmtId="165" fontId="24" fillId="0" borderId="57" xfId="0" applyNumberFormat="1" applyFont="1" applyFill="1" applyBorder="1" applyAlignment="1" applyProtection="1">
      <alignment horizontal="right" vertical="center" wrapText="1"/>
      <protection/>
    </xf>
    <xf numFmtId="165" fontId="24" fillId="0" borderId="15" xfId="0" applyNumberFormat="1" applyFont="1" applyFill="1" applyBorder="1" applyAlignment="1" applyProtection="1">
      <alignment horizontal="right" vertical="center" wrapText="1"/>
      <protection/>
    </xf>
    <xf numFmtId="165" fontId="5" fillId="0" borderId="60" xfId="0" applyNumberFormat="1" applyFont="1" applyBorder="1" applyAlignment="1">
      <alignment vertical="center" wrapText="1"/>
    </xf>
    <xf numFmtId="165" fontId="24" fillId="0" borderId="60" xfId="0" applyNumberFormat="1" applyFont="1" applyFill="1" applyBorder="1" applyAlignment="1" applyProtection="1">
      <alignment horizontal="right" vertical="center" wrapText="1"/>
      <protection/>
    </xf>
    <xf numFmtId="165" fontId="24" fillId="0" borderId="14" xfId="0" applyNumberFormat="1" applyFont="1" applyFill="1" applyBorder="1" applyAlignment="1" applyProtection="1">
      <alignment horizontal="right" vertical="center" wrapText="1"/>
      <protection/>
    </xf>
    <xf numFmtId="165" fontId="24" fillId="0" borderId="34" xfId="0" applyNumberFormat="1" applyFont="1" applyFill="1" applyBorder="1" applyAlignment="1" applyProtection="1">
      <alignment horizontal="right" vertical="center" wrapText="1"/>
      <protection/>
    </xf>
    <xf numFmtId="3" fontId="0" fillId="0" borderId="5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 applyProtection="1">
      <alignment vertical="center"/>
      <protection locked="0"/>
    </xf>
    <xf numFmtId="165" fontId="5" fillId="0" borderId="31" xfId="0" applyNumberFormat="1" applyFont="1" applyFill="1" applyBorder="1" applyAlignment="1" applyProtection="1">
      <alignment vertical="center"/>
      <protection locked="0"/>
    </xf>
    <xf numFmtId="165" fontId="7" fillId="0" borderId="31" xfId="0" applyNumberFormat="1" applyFont="1" applyFill="1" applyBorder="1" applyAlignment="1" applyProtection="1">
      <alignment vertical="center"/>
      <protection/>
    </xf>
    <xf numFmtId="165" fontId="7" fillId="0" borderId="37" xfId="0" applyNumberFormat="1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 wrapText="1"/>
      <protection/>
    </xf>
    <xf numFmtId="165" fontId="5" fillId="0" borderId="33" xfId="0" applyNumberFormat="1" applyFont="1" applyFill="1" applyBorder="1" applyAlignment="1" applyProtection="1">
      <alignment vertical="center"/>
      <protection locked="0"/>
    </xf>
    <xf numFmtId="165" fontId="5" fillId="0" borderId="61" xfId="0" applyNumberFormat="1" applyFont="1" applyFill="1" applyBorder="1" applyAlignment="1" applyProtection="1">
      <alignment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165" fontId="5" fillId="0" borderId="21" xfId="0" applyNumberFormat="1" applyFont="1" applyFill="1" applyBorder="1" applyAlignment="1" applyProtection="1">
      <alignment vertical="center"/>
      <protection locked="0"/>
    </xf>
    <xf numFmtId="165" fontId="5" fillId="0" borderId="20" xfId="0" applyNumberFormat="1" applyFont="1" applyFill="1" applyBorder="1" applyAlignment="1" applyProtection="1">
      <alignment vertical="center"/>
      <protection locked="0"/>
    </xf>
    <xf numFmtId="165" fontId="7" fillId="0" borderId="28" xfId="0" applyNumberFormat="1" applyFont="1" applyFill="1" applyBorder="1" applyAlignment="1" applyProtection="1">
      <alignment vertical="center"/>
      <protection/>
    </xf>
    <xf numFmtId="165" fontId="7" fillId="0" borderId="24" xfId="0" applyNumberFormat="1" applyFont="1" applyFill="1" applyBorder="1" applyAlignment="1" applyProtection="1">
      <alignment vertical="center"/>
      <protection/>
    </xf>
    <xf numFmtId="165" fontId="7" fillId="0" borderId="36" xfId="0" applyNumberFormat="1" applyFont="1" applyFill="1" applyBorder="1" applyAlignment="1" applyProtection="1">
      <alignment vertical="center"/>
      <protection/>
    </xf>
    <xf numFmtId="165" fontId="7" fillId="0" borderId="35" xfId="0" applyNumberFormat="1" applyFont="1" applyFill="1" applyBorder="1" applyAlignment="1" applyProtection="1">
      <alignment vertical="center"/>
      <protection/>
    </xf>
    <xf numFmtId="0" fontId="16" fillId="0" borderId="0" xfId="59" applyFill="1" applyProtection="1">
      <alignment/>
      <protection/>
    </xf>
    <xf numFmtId="0" fontId="44" fillId="0" borderId="0" xfId="59" applyFont="1" applyFill="1" applyProtection="1">
      <alignment/>
      <protection/>
    </xf>
    <xf numFmtId="0" fontId="48" fillId="0" borderId="62" xfId="59" applyFont="1" applyFill="1" applyBorder="1" applyAlignment="1" applyProtection="1">
      <alignment horizontal="center" vertical="center" wrapText="1"/>
      <protection/>
    </xf>
    <xf numFmtId="0" fontId="48" fillId="0" borderId="21" xfId="59" applyFont="1" applyFill="1" applyBorder="1" applyAlignment="1" applyProtection="1">
      <alignment horizontal="center" vertical="center" wrapText="1"/>
      <protection/>
    </xf>
    <xf numFmtId="0" fontId="48" fillId="0" borderId="35" xfId="59" applyFont="1" applyFill="1" applyBorder="1" applyAlignment="1" applyProtection="1">
      <alignment horizontal="center" vertical="center" wrapText="1"/>
      <protection/>
    </xf>
    <xf numFmtId="0" fontId="16" fillId="0" borderId="0" xfId="59" applyFill="1" applyAlignment="1" applyProtection="1">
      <alignment horizontal="center" vertical="center"/>
      <protection/>
    </xf>
    <xf numFmtId="0" fontId="49" fillId="0" borderId="38" xfId="59" applyFont="1" applyFill="1" applyBorder="1" applyAlignment="1" applyProtection="1">
      <alignment vertical="center" wrapText="1"/>
      <protection/>
    </xf>
    <xf numFmtId="168" fontId="25" fillId="0" borderId="59" xfId="58" applyNumberFormat="1" applyFont="1" applyFill="1" applyBorder="1" applyAlignment="1" applyProtection="1">
      <alignment horizontal="center" vertical="center"/>
      <protection/>
    </xf>
    <xf numFmtId="169" fontId="49" fillId="0" borderId="59" xfId="59" applyNumberFormat="1" applyFont="1" applyFill="1" applyBorder="1" applyAlignment="1" applyProtection="1">
      <alignment horizontal="right" vertical="center" wrapText="1"/>
      <protection locked="0"/>
    </xf>
    <xf numFmtId="169" fontId="49" fillId="0" borderId="16" xfId="59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9" applyFill="1" applyAlignment="1" applyProtection="1">
      <alignment vertical="center"/>
      <protection/>
    </xf>
    <xf numFmtId="0" fontId="49" fillId="0" borderId="29" xfId="59" applyFont="1" applyFill="1" applyBorder="1" applyAlignment="1" applyProtection="1">
      <alignment vertical="center" wrapText="1"/>
      <protection/>
    </xf>
    <xf numFmtId="168" fontId="25" fillId="0" borderId="10" xfId="58" applyNumberFormat="1" applyFont="1" applyFill="1" applyBorder="1" applyAlignment="1" applyProtection="1">
      <alignment horizontal="center" vertical="center"/>
      <protection/>
    </xf>
    <xf numFmtId="169" fontId="49" fillId="0" borderId="10" xfId="59" applyNumberFormat="1" applyFont="1" applyFill="1" applyBorder="1" applyAlignment="1" applyProtection="1">
      <alignment horizontal="right" vertical="center" wrapText="1"/>
      <protection/>
    </xf>
    <xf numFmtId="169" fontId="49" fillId="0" borderId="37" xfId="59" applyNumberFormat="1" applyFont="1" applyFill="1" applyBorder="1" applyAlignment="1" applyProtection="1">
      <alignment horizontal="right" vertical="center" wrapText="1"/>
      <protection/>
    </xf>
    <xf numFmtId="0" fontId="50" fillId="0" borderId="29" xfId="59" applyFont="1" applyFill="1" applyBorder="1" applyAlignment="1" applyProtection="1">
      <alignment horizontal="left" vertical="center" wrapText="1" indent="1"/>
      <protection/>
    </xf>
    <xf numFmtId="169" fontId="48" fillId="0" borderId="10" xfId="59" applyNumberFormat="1" applyFont="1" applyFill="1" applyBorder="1" applyAlignment="1" applyProtection="1">
      <alignment horizontal="right" vertical="center" wrapText="1"/>
      <protection locked="0"/>
    </xf>
    <xf numFmtId="169" fontId="48" fillId="0" borderId="37" xfId="59" applyNumberFormat="1" applyFont="1" applyFill="1" applyBorder="1" applyAlignment="1" applyProtection="1">
      <alignment horizontal="right" vertical="center" wrapText="1"/>
      <protection locked="0"/>
    </xf>
    <xf numFmtId="169" fontId="26" fillId="0" borderId="10" xfId="59" applyNumberFormat="1" applyFont="1" applyFill="1" applyBorder="1" applyAlignment="1" applyProtection="1">
      <alignment horizontal="right" vertical="center" wrapText="1"/>
      <protection locked="0"/>
    </xf>
    <xf numFmtId="169" fontId="26" fillId="0" borderId="37" xfId="59" applyNumberFormat="1" applyFont="1" applyFill="1" applyBorder="1" applyAlignment="1" applyProtection="1">
      <alignment horizontal="right" vertical="center" wrapText="1"/>
      <protection locked="0"/>
    </xf>
    <xf numFmtId="169" fontId="26" fillId="0" borderId="10" xfId="59" applyNumberFormat="1" applyFont="1" applyFill="1" applyBorder="1" applyAlignment="1" applyProtection="1">
      <alignment horizontal="right" vertical="center" wrapText="1"/>
      <protection/>
    </xf>
    <xf numFmtId="169" fontId="26" fillId="0" borderId="37" xfId="59" applyNumberFormat="1" applyFont="1" applyFill="1" applyBorder="1" applyAlignment="1" applyProtection="1">
      <alignment horizontal="right" vertical="center" wrapText="1"/>
      <protection/>
    </xf>
    <xf numFmtId="0" fontId="49" fillId="0" borderId="62" xfId="59" applyFont="1" applyFill="1" applyBorder="1" applyAlignment="1" applyProtection="1">
      <alignment vertical="center" wrapText="1"/>
      <protection/>
    </xf>
    <xf numFmtId="168" fontId="25" fillId="0" borderId="21" xfId="58" applyNumberFormat="1" applyFont="1" applyFill="1" applyBorder="1" applyAlignment="1" applyProtection="1">
      <alignment horizontal="center" vertical="center"/>
      <protection/>
    </xf>
    <xf numFmtId="169" fontId="49" fillId="0" borderId="21" xfId="59" applyNumberFormat="1" applyFont="1" applyFill="1" applyBorder="1" applyAlignment="1" applyProtection="1">
      <alignment horizontal="right" vertical="center" wrapText="1"/>
      <protection/>
    </xf>
    <xf numFmtId="169" fontId="49" fillId="0" borderId="35" xfId="59" applyNumberFormat="1" applyFont="1" applyFill="1" applyBorder="1" applyAlignment="1" applyProtection="1">
      <alignment horizontal="right" vertical="center" wrapText="1"/>
      <protection/>
    </xf>
    <xf numFmtId="0" fontId="26" fillId="0" borderId="0" xfId="59" applyFont="1" applyFill="1" applyProtection="1">
      <alignment/>
      <protection/>
    </xf>
    <xf numFmtId="3" fontId="16" fillId="0" borderId="0" xfId="59" applyNumberFormat="1" applyFont="1" applyFill="1" applyProtection="1">
      <alignment/>
      <protection/>
    </xf>
    <xf numFmtId="3" fontId="16" fillId="0" borderId="0" xfId="59" applyNumberFormat="1" applyFont="1" applyFill="1" applyAlignment="1" applyProtection="1">
      <alignment horizontal="center"/>
      <protection/>
    </xf>
    <xf numFmtId="0" fontId="16" fillId="0" borderId="0" xfId="59" applyFont="1" applyFill="1" applyProtection="1">
      <alignment/>
      <protection/>
    </xf>
    <xf numFmtId="0" fontId="16" fillId="0" borderId="0" xfId="59" applyFill="1" applyAlignment="1" applyProtection="1">
      <alignment horizontal="center"/>
      <protection/>
    </xf>
    <xf numFmtId="165" fontId="25" fillId="0" borderId="63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10" xfId="0" applyNumberFormat="1" applyFill="1" applyBorder="1" applyAlignment="1" applyProtection="1">
      <alignment vertical="center" wrapText="1"/>
      <protection/>
    </xf>
    <xf numFmtId="0" fontId="13" fillId="34" borderId="38" xfId="0" applyFont="1" applyFill="1" applyBorder="1" applyAlignment="1">
      <alignment horizontal="center" vertical="top" wrapText="1"/>
    </xf>
    <xf numFmtId="0" fontId="13" fillId="34" borderId="59" xfId="0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3" fontId="13" fillId="34" borderId="37" xfId="0" applyNumberFormat="1" applyFont="1" applyFill="1" applyBorder="1" applyAlignment="1">
      <alignment horizontal="right" vertical="center" wrapText="1"/>
    </xf>
    <xf numFmtId="0" fontId="17" fillId="34" borderId="29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3" fontId="17" fillId="34" borderId="37" xfId="0" applyNumberFormat="1" applyFont="1" applyFill="1" applyBorder="1" applyAlignment="1">
      <alignment horizontal="right" vertical="center" wrapText="1"/>
    </xf>
    <xf numFmtId="0" fontId="17" fillId="34" borderId="62" xfId="0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vertical="center" wrapText="1"/>
    </xf>
    <xf numFmtId="3" fontId="17" fillId="34" borderId="35" xfId="0" applyNumberFormat="1" applyFont="1" applyFill="1" applyBorder="1" applyAlignment="1">
      <alignment horizontal="right" vertical="center" wrapText="1"/>
    </xf>
    <xf numFmtId="0" fontId="30" fillId="34" borderId="0" xfId="0" applyFont="1" applyFill="1" applyAlignment="1">
      <alignment horizontal="right"/>
    </xf>
    <xf numFmtId="0" fontId="53" fillId="34" borderId="38" xfId="0" applyFont="1" applyFill="1" applyBorder="1" applyAlignment="1">
      <alignment horizontal="center" vertical="top" wrapText="1"/>
    </xf>
    <xf numFmtId="0" fontId="53" fillId="34" borderId="59" xfId="0" applyFont="1" applyFill="1" applyBorder="1" applyAlignment="1">
      <alignment horizontal="center" vertical="top" wrapText="1"/>
    </xf>
    <xf numFmtId="0" fontId="53" fillId="34" borderId="16" xfId="0" applyFont="1" applyFill="1" applyBorder="1" applyAlignment="1">
      <alignment horizontal="center" vertical="top" wrapText="1"/>
    </xf>
    <xf numFmtId="0" fontId="9" fillId="34" borderId="29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9" fillId="34" borderId="37" xfId="0" applyNumberFormat="1" applyFont="1" applyFill="1" applyBorder="1" applyAlignment="1">
      <alignment horizontal="right" vertical="top" wrapText="1"/>
    </xf>
    <xf numFmtId="0" fontId="10" fillId="34" borderId="29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horizontal="right" vertical="top" wrapText="1"/>
    </xf>
    <xf numFmtId="3" fontId="10" fillId="34" borderId="37" xfId="0" applyNumberFormat="1" applyFont="1" applyFill="1" applyBorder="1" applyAlignment="1">
      <alignment horizontal="right" vertical="top" wrapText="1"/>
    </xf>
    <xf numFmtId="0" fontId="10" fillId="34" borderId="62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left" vertical="top" wrapText="1"/>
    </xf>
    <xf numFmtId="3" fontId="10" fillId="34" borderId="21" xfId="0" applyNumberFormat="1" applyFont="1" applyFill="1" applyBorder="1" applyAlignment="1">
      <alignment horizontal="right" vertical="top" wrapText="1"/>
    </xf>
    <xf numFmtId="3" fontId="10" fillId="34" borderId="35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left" vertical="top" wrapText="1"/>
    </xf>
    <xf numFmtId="3" fontId="10" fillId="34" borderId="0" xfId="0" applyNumberFormat="1" applyFont="1" applyFill="1" applyBorder="1" applyAlignment="1">
      <alignment horizontal="right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left" vertical="top" wrapText="1"/>
    </xf>
    <xf numFmtId="3" fontId="53" fillId="34" borderId="10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0" fontId="54" fillId="0" borderId="28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/>
    </xf>
    <xf numFmtId="3" fontId="54" fillId="0" borderId="32" xfId="0" applyNumberFormat="1" applyFont="1" applyBorder="1" applyAlignment="1">
      <alignment/>
    </xf>
    <xf numFmtId="3" fontId="54" fillId="0" borderId="39" xfId="0" applyNumberFormat="1" applyFont="1" applyBorder="1" applyAlignment="1">
      <alignment/>
    </xf>
    <xf numFmtId="0" fontId="41" fillId="0" borderId="29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37" xfId="0" applyNumberFormat="1" applyFont="1" applyBorder="1" applyAlignment="1">
      <alignment/>
    </xf>
    <xf numFmtId="0" fontId="54" fillId="0" borderId="29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54" fillId="0" borderId="37" xfId="0" applyNumberFormat="1" applyFont="1" applyBorder="1" applyAlignment="1">
      <alignment/>
    </xf>
    <xf numFmtId="0" fontId="54" fillId="0" borderId="40" xfId="0" applyFont="1" applyBorder="1" applyAlignment="1">
      <alignment/>
    </xf>
    <xf numFmtId="3" fontId="54" fillId="0" borderId="33" xfId="0" applyNumberFormat="1" applyFont="1" applyBorder="1" applyAlignment="1">
      <alignment/>
    </xf>
    <xf numFmtId="0" fontId="54" fillId="0" borderId="26" xfId="0" applyFont="1" applyBorder="1" applyAlignment="1">
      <alignment/>
    </xf>
    <xf numFmtId="3" fontId="54" fillId="0" borderId="28" xfId="0" applyNumberFormat="1" applyFont="1" applyBorder="1" applyAlignment="1">
      <alignment/>
    </xf>
    <xf numFmtId="3" fontId="54" fillId="0" borderId="36" xfId="0" applyNumberFormat="1" applyFont="1" applyBorder="1" applyAlignment="1">
      <alignment/>
    </xf>
    <xf numFmtId="0" fontId="41" fillId="0" borderId="45" xfId="0" applyFont="1" applyBorder="1" applyAlignment="1">
      <alignment/>
    </xf>
    <xf numFmtId="3" fontId="41" fillId="0" borderId="32" xfId="0" applyNumberFormat="1" applyFont="1" applyBorder="1" applyAlignment="1">
      <alignment/>
    </xf>
    <xf numFmtId="3" fontId="41" fillId="0" borderId="39" xfId="0" applyNumberFormat="1" applyFont="1" applyBorder="1" applyAlignment="1">
      <alignment/>
    </xf>
    <xf numFmtId="0" fontId="52" fillId="0" borderId="0" xfId="0" applyFont="1" applyAlignment="1">
      <alignment/>
    </xf>
    <xf numFmtId="0" fontId="14" fillId="0" borderId="0" xfId="0" applyFont="1" applyAlignment="1">
      <alignment/>
    </xf>
    <xf numFmtId="165" fontId="25" fillId="0" borderId="29" xfId="0" applyNumberFormat="1" applyFont="1" applyFill="1" applyBorder="1" applyAlignment="1" applyProtection="1">
      <alignment vertical="center" wrapText="1"/>
      <protection locked="0"/>
    </xf>
    <xf numFmtId="0" fontId="30" fillId="34" borderId="0" xfId="0" applyFont="1" applyFill="1" applyAlignment="1">
      <alignment/>
    </xf>
    <xf numFmtId="0" fontId="0" fillId="34" borderId="0" xfId="0" applyFill="1" applyAlignment="1">
      <alignment/>
    </xf>
    <xf numFmtId="165" fontId="6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29" xfId="0" applyNumberFormat="1" applyFont="1" applyFill="1" applyBorder="1" applyAlignment="1" applyProtection="1">
      <alignment vertical="center" wrapText="1"/>
      <protection locked="0"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/>
    </xf>
    <xf numFmtId="0" fontId="53" fillId="34" borderId="22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top"/>
    </xf>
    <xf numFmtId="0" fontId="53" fillId="34" borderId="38" xfId="0" applyFont="1" applyFill="1" applyBorder="1" applyAlignment="1">
      <alignment horizontal="center" wrapText="1"/>
    </xf>
    <xf numFmtId="0" fontId="53" fillId="34" borderId="59" xfId="0" applyFont="1" applyFill="1" applyBorder="1" applyAlignment="1">
      <alignment horizontal="left" wrapText="1"/>
    </xf>
    <xf numFmtId="3" fontId="9" fillId="34" borderId="59" xfId="0" applyNumberFormat="1" applyFont="1" applyFill="1" applyBorder="1" applyAlignment="1">
      <alignment horizontal="right" wrapText="1"/>
    </xf>
    <xf numFmtId="3" fontId="41" fillId="34" borderId="59" xfId="0" applyNumberFormat="1" applyFont="1" applyFill="1" applyBorder="1" applyAlignment="1">
      <alignment horizontal="right" wrapText="1"/>
    </xf>
    <xf numFmtId="3" fontId="41" fillId="34" borderId="16" xfId="0" applyNumberFormat="1" applyFont="1" applyFill="1" applyBorder="1" applyAlignment="1">
      <alignment horizontal="right" wrapText="1"/>
    </xf>
    <xf numFmtId="3" fontId="41" fillId="34" borderId="0" xfId="0" applyNumberFormat="1" applyFont="1" applyFill="1" applyBorder="1" applyAlignment="1">
      <alignment horizontal="right" vertical="top" wrapText="1"/>
    </xf>
    <xf numFmtId="0" fontId="53" fillId="34" borderId="29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wrapText="1"/>
    </xf>
    <xf numFmtId="3" fontId="41" fillId="34" borderId="10" xfId="0" applyNumberFormat="1" applyFont="1" applyFill="1" applyBorder="1" applyAlignment="1">
      <alignment horizontal="right" wrapText="1"/>
    </xf>
    <xf numFmtId="3" fontId="41" fillId="34" borderId="37" xfId="0" applyNumberFormat="1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 wrapText="1"/>
    </xf>
    <xf numFmtId="0" fontId="57" fillId="34" borderId="29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left" wrapText="1"/>
    </xf>
    <xf numFmtId="3" fontId="54" fillId="34" borderId="0" xfId="0" applyNumberFormat="1" applyFont="1" applyFill="1" applyBorder="1" applyAlignment="1">
      <alignment horizontal="right" vertical="top" wrapText="1"/>
    </xf>
    <xf numFmtId="0" fontId="57" fillId="34" borderId="10" xfId="0" applyFont="1" applyFill="1" applyBorder="1" applyAlignment="1">
      <alignment horizontal="left" wrapText="1"/>
    </xf>
    <xf numFmtId="0" fontId="53" fillId="34" borderId="0" xfId="0" applyFont="1" applyFill="1" applyBorder="1" applyAlignment="1">
      <alignment/>
    </xf>
    <xf numFmtId="3" fontId="57" fillId="34" borderId="0" xfId="0" applyNumberFormat="1" applyFont="1" applyFill="1" applyBorder="1" applyAlignment="1">
      <alignment horizontal="right" vertical="top" wrapText="1"/>
    </xf>
    <xf numFmtId="3" fontId="53" fillId="34" borderId="0" xfId="0" applyNumberFormat="1" applyFont="1" applyFill="1" applyBorder="1" applyAlignment="1">
      <alignment horizontal="right" vertical="top" wrapText="1"/>
    </xf>
    <xf numFmtId="3" fontId="54" fillId="34" borderId="10" xfId="0" applyNumberFormat="1" applyFont="1" applyFill="1" applyBorder="1" applyAlignment="1">
      <alignment horizontal="right" wrapText="1"/>
    </xf>
    <xf numFmtId="3" fontId="54" fillId="34" borderId="37" xfId="0" applyNumberFormat="1" applyFont="1" applyFill="1" applyBorder="1" applyAlignment="1">
      <alignment horizontal="right" wrapText="1"/>
    </xf>
    <xf numFmtId="0" fontId="55" fillId="34" borderId="10" xfId="0" applyFont="1" applyFill="1" applyBorder="1" applyAlignment="1">
      <alignment horizontal="left" wrapText="1"/>
    </xf>
    <xf numFmtId="0" fontId="55" fillId="34" borderId="0" xfId="0" applyFont="1" applyFill="1" applyBorder="1" applyAlignment="1">
      <alignment/>
    </xf>
    <xf numFmtId="3" fontId="55" fillId="34" borderId="0" xfId="0" applyNumberFormat="1" applyFont="1" applyFill="1" applyBorder="1" applyAlignment="1">
      <alignment horizontal="right" vertical="top" wrapText="1"/>
    </xf>
    <xf numFmtId="0" fontId="54" fillId="34" borderId="0" xfId="0" applyFont="1" applyFill="1" applyBorder="1" applyAlignment="1">
      <alignment/>
    </xf>
    <xf numFmtId="3" fontId="53" fillId="34" borderId="10" xfId="0" applyNumberFormat="1" applyFont="1" applyFill="1" applyBorder="1" applyAlignment="1">
      <alignment horizontal="right" wrapText="1"/>
    </xf>
    <xf numFmtId="3" fontId="53" fillId="34" borderId="37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left" wrapText="1"/>
    </xf>
    <xf numFmtId="3" fontId="57" fillId="34" borderId="10" xfId="0" applyNumberFormat="1" applyFont="1" applyFill="1" applyBorder="1" applyAlignment="1">
      <alignment horizontal="right" wrapText="1"/>
    </xf>
    <xf numFmtId="3" fontId="57" fillId="34" borderId="37" xfId="0" applyNumberFormat="1" applyFont="1" applyFill="1" applyBorder="1" applyAlignment="1">
      <alignment horizontal="right" wrapText="1"/>
    </xf>
    <xf numFmtId="0" fontId="5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 horizontal="right" vertical="top" wrapText="1"/>
    </xf>
    <xf numFmtId="0" fontId="57" fillId="34" borderId="62" xfId="0" applyFont="1" applyFill="1" applyBorder="1" applyAlignment="1">
      <alignment horizontal="center" wrapText="1"/>
    </xf>
    <xf numFmtId="0" fontId="54" fillId="34" borderId="21" xfId="0" applyFont="1" applyFill="1" applyBorder="1" applyAlignment="1">
      <alignment horizontal="left" wrapText="1"/>
    </xf>
    <xf numFmtId="3" fontId="41" fillId="34" borderId="21" xfId="0" applyNumberFormat="1" applyFont="1" applyFill="1" applyBorder="1" applyAlignment="1">
      <alignment horizontal="right" wrapText="1"/>
    </xf>
    <xf numFmtId="3" fontId="41" fillId="34" borderId="35" xfId="0" applyNumberFormat="1" applyFont="1" applyFill="1" applyBorder="1" applyAlignment="1">
      <alignment horizontal="right" wrapText="1"/>
    </xf>
    <xf numFmtId="3" fontId="54" fillId="34" borderId="0" xfId="0" applyNumberFormat="1" applyFont="1" applyFill="1" applyBorder="1" applyAlignment="1">
      <alignment horizontal="left" wrapText="1"/>
    </xf>
    <xf numFmtId="3" fontId="41" fillId="34" borderId="0" xfId="0" applyNumberFormat="1" applyFont="1" applyFill="1" applyBorder="1" applyAlignment="1">
      <alignment horizontal="right" wrapText="1"/>
    </xf>
    <xf numFmtId="3" fontId="41" fillId="34" borderId="0" xfId="0" applyNumberFormat="1" applyFont="1" applyFill="1" applyBorder="1" applyAlignment="1">
      <alignment/>
    </xf>
    <xf numFmtId="0" fontId="53" fillId="34" borderId="53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left" wrapText="1"/>
    </xf>
    <xf numFmtId="0" fontId="53" fillId="34" borderId="30" xfId="0" applyFont="1" applyFill="1" applyBorder="1" applyAlignment="1">
      <alignment horizontal="center" wrapText="1"/>
    </xf>
    <xf numFmtId="0" fontId="55" fillId="34" borderId="43" xfId="0" applyFont="1" applyFill="1" applyBorder="1" applyAlignment="1">
      <alignment horizontal="left" wrapText="1"/>
    </xf>
    <xf numFmtId="0" fontId="57" fillId="34" borderId="30" xfId="0" applyFont="1" applyFill="1" applyBorder="1" applyAlignment="1">
      <alignment horizontal="center" wrapText="1"/>
    </xf>
    <xf numFmtId="0" fontId="10" fillId="34" borderId="43" xfId="0" applyFont="1" applyFill="1" applyBorder="1" applyAlignment="1">
      <alignment horizontal="left" wrapText="1"/>
    </xf>
    <xf numFmtId="0" fontId="56" fillId="34" borderId="0" xfId="0" applyFont="1" applyFill="1" applyAlignment="1">
      <alignment/>
    </xf>
    <xf numFmtId="0" fontId="56" fillId="34" borderId="0" xfId="0" applyFont="1" applyFill="1" applyBorder="1" applyAlignment="1">
      <alignment/>
    </xf>
    <xf numFmtId="0" fontId="53" fillId="34" borderId="43" xfId="0" applyFont="1" applyFill="1" applyBorder="1" applyAlignment="1">
      <alignment horizontal="left" wrapText="1"/>
    </xf>
    <xf numFmtId="3" fontId="57" fillId="34" borderId="0" xfId="0" applyNumberFormat="1" applyFont="1" applyFill="1" applyBorder="1" applyAlignment="1">
      <alignment horizontal="center" wrapText="1"/>
    </xf>
    <xf numFmtId="3" fontId="10" fillId="34" borderId="0" xfId="0" applyNumberFormat="1" applyFont="1" applyFill="1" applyBorder="1" applyAlignment="1">
      <alignment horizontal="left" wrapText="1"/>
    </xf>
    <xf numFmtId="3" fontId="53" fillId="34" borderId="0" xfId="0" applyNumberFormat="1" applyFont="1" applyFill="1" applyBorder="1" applyAlignment="1">
      <alignment horizontal="right" wrapText="1"/>
    </xf>
    <xf numFmtId="0" fontId="59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41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60" fillId="34" borderId="58" xfId="0" applyFont="1" applyFill="1" applyBorder="1" applyAlignment="1">
      <alignment horizontal="center"/>
    </xf>
    <xf numFmtId="0" fontId="56" fillId="34" borderId="64" xfId="0" applyFont="1" applyFill="1" applyBorder="1" applyAlignment="1">
      <alignment horizontal="left"/>
    </xf>
    <xf numFmtId="3" fontId="53" fillId="34" borderId="21" xfId="0" applyNumberFormat="1" applyFont="1" applyFill="1" applyBorder="1" applyAlignment="1">
      <alignment horizontal="right" wrapText="1"/>
    </xf>
    <xf numFmtId="3" fontId="53" fillId="34" borderId="35" xfId="0" applyNumberFormat="1" applyFont="1" applyFill="1" applyBorder="1" applyAlignment="1">
      <alignment horizontal="right" wrapText="1"/>
    </xf>
    <xf numFmtId="49" fontId="53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3" fontId="41" fillId="34" borderId="0" xfId="0" applyNumberFormat="1" applyFont="1" applyFill="1" applyBorder="1" applyAlignment="1">
      <alignment horizontal="right"/>
    </xf>
    <xf numFmtId="0" fontId="41" fillId="34" borderId="0" xfId="0" applyFont="1" applyFill="1" applyBorder="1" applyAlignment="1">
      <alignment horizontal="right"/>
    </xf>
    <xf numFmtId="49" fontId="53" fillId="34" borderId="38" xfId="0" applyNumberFormat="1" applyFont="1" applyFill="1" applyBorder="1" applyAlignment="1">
      <alignment horizontal="center" wrapText="1"/>
    </xf>
    <xf numFmtId="0" fontId="9" fillId="34" borderId="59" xfId="0" applyFont="1" applyFill="1" applyBorder="1" applyAlignment="1">
      <alignment horizontal="left" wrapText="1"/>
    </xf>
    <xf numFmtId="49" fontId="53" fillId="34" borderId="29" xfId="0" applyNumberFormat="1" applyFont="1" applyFill="1" applyBorder="1" applyAlignment="1">
      <alignment horizontal="center" wrapText="1"/>
    </xf>
    <xf numFmtId="49" fontId="57" fillId="34" borderId="29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wrapText="1"/>
    </xf>
    <xf numFmtId="3" fontId="41" fillId="34" borderId="0" xfId="0" applyNumberFormat="1" applyFont="1" applyFill="1" applyAlignment="1">
      <alignment/>
    </xf>
    <xf numFmtId="49" fontId="59" fillId="34" borderId="29" xfId="0" applyNumberFormat="1" applyFont="1" applyFill="1" applyBorder="1" applyAlignment="1">
      <alignment horizontal="center"/>
    </xf>
    <xf numFmtId="49" fontId="57" fillId="34" borderId="40" xfId="0" applyNumberFormat="1" applyFont="1" applyFill="1" applyBorder="1" applyAlignment="1">
      <alignment horizontal="center" wrapText="1"/>
    </xf>
    <xf numFmtId="0" fontId="10" fillId="34" borderId="33" xfId="0" applyFont="1" applyFill="1" applyBorder="1" applyAlignment="1">
      <alignment horizontal="left" wrapText="1"/>
    </xf>
    <xf numFmtId="3" fontId="54" fillId="34" borderId="33" xfId="0" applyNumberFormat="1" applyFont="1" applyFill="1" applyBorder="1" applyAlignment="1">
      <alignment horizontal="right" wrapText="1"/>
    </xf>
    <xf numFmtId="3" fontId="54" fillId="34" borderId="47" xfId="0" applyNumberFormat="1" applyFont="1" applyFill="1" applyBorder="1" applyAlignment="1">
      <alignment horizontal="right" wrapText="1"/>
    </xf>
    <xf numFmtId="49" fontId="57" fillId="34" borderId="26" xfId="0" applyNumberFormat="1" applyFont="1" applyFill="1" applyBorder="1" applyAlignment="1">
      <alignment horizontal="center" wrapText="1"/>
    </xf>
    <xf numFmtId="0" fontId="10" fillId="34" borderId="28" xfId="0" applyFont="1" applyFill="1" applyBorder="1" applyAlignment="1">
      <alignment horizontal="left" wrapText="1"/>
    </xf>
    <xf numFmtId="3" fontId="54" fillId="34" borderId="28" xfId="0" applyNumberFormat="1" applyFont="1" applyFill="1" applyBorder="1" applyAlignment="1">
      <alignment horizontal="right" wrapText="1"/>
    </xf>
    <xf numFmtId="3" fontId="54" fillId="34" borderId="36" xfId="0" applyNumberFormat="1" applyFont="1" applyFill="1" applyBorder="1" applyAlignment="1">
      <alignment horizontal="right" wrapText="1"/>
    </xf>
    <xf numFmtId="49" fontId="57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3" fontId="54" fillId="34" borderId="0" xfId="0" applyNumberFormat="1" applyFont="1" applyFill="1" applyBorder="1" applyAlignment="1">
      <alignment horizontal="right"/>
    </xf>
    <xf numFmtId="3" fontId="54" fillId="34" borderId="0" xfId="0" applyNumberFormat="1" applyFont="1" applyFill="1" applyBorder="1" applyAlignment="1">
      <alignment horizontal="right" vertical="top"/>
    </xf>
    <xf numFmtId="3" fontId="9" fillId="34" borderId="16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 horizontal="right" wrapText="1"/>
    </xf>
    <xf numFmtId="3" fontId="9" fillId="34" borderId="37" xfId="0" applyNumberFormat="1" applyFont="1" applyFill="1" applyBorder="1" applyAlignment="1">
      <alignment horizontal="right" wrapText="1"/>
    </xf>
    <xf numFmtId="3" fontId="10" fillId="34" borderId="10" xfId="0" applyNumberFormat="1" applyFont="1" applyFill="1" applyBorder="1" applyAlignment="1">
      <alignment horizontal="right" wrapText="1"/>
    </xf>
    <xf numFmtId="3" fontId="10" fillId="34" borderId="37" xfId="0" applyNumberFormat="1" applyFont="1" applyFill="1" applyBorder="1" applyAlignment="1">
      <alignment horizontal="right" wrapText="1"/>
    </xf>
    <xf numFmtId="3" fontId="10" fillId="34" borderId="33" xfId="0" applyNumberFormat="1" applyFont="1" applyFill="1" applyBorder="1" applyAlignment="1">
      <alignment horizontal="right" wrapText="1"/>
    </xf>
    <xf numFmtId="3" fontId="10" fillId="34" borderId="47" xfId="0" applyNumberFormat="1" applyFont="1" applyFill="1" applyBorder="1" applyAlignment="1">
      <alignment horizontal="right" wrapText="1"/>
    </xf>
    <xf numFmtId="3" fontId="41" fillId="34" borderId="28" xfId="0" applyNumberFormat="1" applyFont="1" applyFill="1" applyBorder="1" applyAlignment="1">
      <alignment horizontal="right"/>
    </xf>
    <xf numFmtId="3" fontId="41" fillId="34" borderId="36" xfId="0" applyNumberFormat="1" applyFont="1" applyFill="1" applyBorder="1" applyAlignment="1">
      <alignment horizontal="right"/>
    </xf>
    <xf numFmtId="49" fontId="5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/>
    </xf>
    <xf numFmtId="3" fontId="30" fillId="0" borderId="31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wrapText="1"/>
    </xf>
    <xf numFmtId="3" fontId="30" fillId="0" borderId="42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/>
    </xf>
    <xf numFmtId="3" fontId="30" fillId="0" borderId="10" xfId="0" applyNumberFormat="1" applyFont="1" applyBorder="1" applyAlignment="1" quotePrefix="1">
      <alignment/>
    </xf>
    <xf numFmtId="3" fontId="30" fillId="0" borderId="43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3" fontId="31" fillId="0" borderId="32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wrapText="1"/>
    </xf>
    <xf numFmtId="1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/>
    </xf>
    <xf numFmtId="0" fontId="51" fillId="0" borderId="56" xfId="0" applyFont="1" applyFill="1" applyBorder="1" applyAlignment="1" applyProtection="1">
      <alignment horizontal="left" vertical="center" wrapText="1" indent="1"/>
      <protection/>
    </xf>
    <xf numFmtId="165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3" xfId="0" applyFont="1" applyFill="1" applyBorder="1" applyAlignment="1" applyProtection="1">
      <alignment horizontal="left" vertical="center" wrapText="1" indent="1"/>
      <protection/>
    </xf>
    <xf numFmtId="165" fontId="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3" xfId="0" applyFont="1" applyFill="1" applyBorder="1" applyAlignment="1" applyProtection="1">
      <alignment horizontal="left" vertical="center" wrapText="1" indent="8"/>
      <protection/>
    </xf>
    <xf numFmtId="0" fontId="2" fillId="0" borderId="21" xfId="0" applyFont="1" applyFill="1" applyBorder="1" applyAlignment="1" applyProtection="1">
      <alignment vertical="center" wrapText="1"/>
      <protection locked="0"/>
    </xf>
    <xf numFmtId="165" fontId="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65" xfId="0" applyFont="1" applyFill="1" applyBorder="1" applyAlignment="1" applyProtection="1">
      <alignment vertical="center" wrapText="1"/>
      <protection/>
    </xf>
    <xf numFmtId="165" fontId="3" fillId="0" borderId="65" xfId="0" applyNumberFormat="1" applyFont="1" applyFill="1" applyBorder="1" applyAlignment="1" applyProtection="1">
      <alignment vertical="center" wrapText="1"/>
      <protection/>
    </xf>
    <xf numFmtId="165" fontId="3" fillId="0" borderId="6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67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61" applyNumberFormat="1" applyFont="1" applyBorder="1" applyAlignment="1">
      <alignment/>
    </xf>
    <xf numFmtId="3" fontId="7" fillId="0" borderId="10" xfId="61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44" fontId="5" fillId="0" borderId="10" xfId="61" applyFont="1" applyBorder="1" applyAlignment="1">
      <alignment/>
    </xf>
    <xf numFmtId="176" fontId="7" fillId="0" borderId="10" xfId="61" applyNumberFormat="1" applyFont="1" applyBorder="1" applyAlignment="1">
      <alignment/>
    </xf>
    <xf numFmtId="49" fontId="53" fillId="34" borderId="10" xfId="0" applyNumberFormat="1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left"/>
    </xf>
    <xf numFmtId="3" fontId="41" fillId="34" borderId="10" xfId="0" applyNumberFormat="1" applyFont="1" applyFill="1" applyBorder="1" applyAlignment="1">
      <alignment horizontal="right"/>
    </xf>
    <xf numFmtId="0" fontId="41" fillId="34" borderId="10" xfId="0" applyFont="1" applyFill="1" applyBorder="1" applyAlignment="1">
      <alignment horizontal="right"/>
    </xf>
    <xf numFmtId="49" fontId="53" fillId="34" borderId="68" xfId="0" applyNumberFormat="1" applyFont="1" applyFill="1" applyBorder="1" applyAlignment="1">
      <alignment horizontal="center" wrapText="1"/>
    </xf>
    <xf numFmtId="0" fontId="41" fillId="34" borderId="68" xfId="0" applyFont="1" applyFill="1" applyBorder="1" applyAlignment="1">
      <alignment horizontal="left"/>
    </xf>
    <xf numFmtId="3" fontId="41" fillId="34" borderId="68" xfId="0" applyNumberFormat="1" applyFont="1" applyFill="1" applyBorder="1" applyAlignment="1">
      <alignment horizontal="right"/>
    </xf>
    <xf numFmtId="0" fontId="41" fillId="34" borderId="68" xfId="0" applyFont="1" applyFill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31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0" fillId="0" borderId="0" xfId="5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left"/>
    </xf>
    <xf numFmtId="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4" borderId="0" xfId="0" applyFont="1" applyFill="1" applyAlignment="1">
      <alignment horizontal="center" vertical="top" wrapText="1"/>
    </xf>
    <xf numFmtId="0" fontId="30" fillId="34" borderId="0" xfId="0" applyFont="1" applyFill="1" applyAlignment="1">
      <alignment/>
    </xf>
    <xf numFmtId="0" fontId="0" fillId="0" borderId="69" xfId="0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54" fillId="34" borderId="70" xfId="0" applyFont="1" applyFill="1" applyBorder="1" applyAlignment="1">
      <alignment horizontal="center"/>
    </xf>
    <xf numFmtId="0" fontId="56" fillId="34" borderId="70" xfId="0" applyFont="1" applyFill="1" applyBorder="1" applyAlignment="1">
      <alignment horizontal="center"/>
    </xf>
    <xf numFmtId="3" fontId="41" fillId="34" borderId="0" xfId="0" applyNumberFormat="1" applyFont="1" applyFill="1" applyBorder="1" applyAlignment="1">
      <alignment horizontal="right" wrapText="1"/>
    </xf>
    <xf numFmtId="0" fontId="58" fillId="34" borderId="0" xfId="0" applyFont="1" applyFill="1" applyAlignment="1">
      <alignment/>
    </xf>
    <xf numFmtId="0" fontId="13" fillId="34" borderId="70" xfId="0" applyFont="1" applyFill="1" applyBorder="1" applyAlignment="1">
      <alignment horizontal="center" vertical="center" wrapText="1"/>
    </xf>
    <xf numFmtId="0" fontId="41" fillId="34" borderId="7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5" fontId="38" fillId="0" borderId="0" xfId="0" applyNumberFormat="1" applyFont="1" applyFill="1" applyAlignment="1" applyProtection="1">
      <alignment horizontal="center" textRotation="180" wrapText="1"/>
      <protection/>
    </xf>
    <xf numFmtId="165" fontId="20" fillId="0" borderId="12" xfId="0" applyNumberFormat="1" applyFont="1" applyFill="1" applyBorder="1" applyAlignment="1" applyProtection="1">
      <alignment horizontal="center" vertical="center" wrapText="1"/>
      <protection/>
    </xf>
    <xf numFmtId="165" fontId="20" fillId="0" borderId="1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165" fontId="38" fillId="0" borderId="0" xfId="0" applyNumberFormat="1" applyFont="1" applyFill="1" applyAlignment="1" applyProtection="1">
      <alignment horizontal="center" textRotation="180" wrapText="1"/>
      <protection locked="0"/>
    </xf>
    <xf numFmtId="165" fontId="20" fillId="0" borderId="53" xfId="0" applyNumberFormat="1" applyFont="1" applyFill="1" applyBorder="1" applyAlignment="1" applyProtection="1">
      <alignment horizontal="center" vertical="center" wrapText="1"/>
      <protection/>
    </xf>
    <xf numFmtId="165" fontId="20" fillId="0" borderId="5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55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textRotation="180" wrapText="1"/>
    </xf>
    <xf numFmtId="0" fontId="18" fillId="0" borderId="7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0" fillId="0" borderId="18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5" fillId="0" borderId="55" xfId="0" applyFont="1" applyFill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6" fillId="0" borderId="0" xfId="59" applyFont="1" applyFill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 vertical="center" wrapText="1"/>
      <protection/>
    </xf>
    <xf numFmtId="0" fontId="15" fillId="0" borderId="0" xfId="59" applyFont="1" applyFill="1" applyAlignment="1" applyProtection="1">
      <alignment horizontal="center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74" xfId="59" applyFont="1" applyFill="1" applyBorder="1" applyAlignment="1" applyProtection="1">
      <alignment horizontal="center" vertical="center" wrapText="1"/>
      <protection/>
    </xf>
    <xf numFmtId="0" fontId="46" fillId="0" borderId="49" xfId="59" applyFont="1" applyFill="1" applyBorder="1" applyAlignment="1" applyProtection="1">
      <alignment horizontal="center" vertical="center" wrapText="1"/>
      <protection/>
    </xf>
    <xf numFmtId="0" fontId="46" fillId="0" borderId="45" xfId="59" applyFont="1" applyFill="1" applyBorder="1" applyAlignment="1" applyProtection="1">
      <alignment horizontal="center" vertical="center" wrapText="1"/>
      <protection/>
    </xf>
    <xf numFmtId="0" fontId="47" fillId="0" borderId="72" xfId="58" applyFont="1" applyFill="1" applyBorder="1" applyAlignment="1" applyProtection="1">
      <alignment horizontal="center" vertical="center" textRotation="90"/>
      <protection/>
    </xf>
    <xf numFmtId="0" fontId="47" fillId="0" borderId="25" xfId="58" applyFont="1" applyFill="1" applyBorder="1" applyAlignment="1" applyProtection="1">
      <alignment horizontal="center" vertical="center" textRotation="90"/>
      <protection/>
    </xf>
    <xf numFmtId="0" fontId="47" fillId="0" borderId="32" xfId="58" applyFont="1" applyFill="1" applyBorder="1" applyAlignment="1" applyProtection="1">
      <alignment horizontal="center" vertical="center" textRotation="90"/>
      <protection/>
    </xf>
    <xf numFmtId="0" fontId="45" fillId="0" borderId="59" xfId="59" applyFont="1" applyFill="1" applyBorder="1" applyAlignment="1" applyProtection="1">
      <alignment horizontal="center" vertical="center" wrapText="1"/>
      <protection/>
    </xf>
    <xf numFmtId="0" fontId="45" fillId="0" borderId="10" xfId="59" applyFont="1" applyFill="1" applyBorder="1" applyAlignment="1" applyProtection="1">
      <alignment horizontal="center" vertical="center" wrapText="1"/>
      <protection/>
    </xf>
    <xf numFmtId="0" fontId="45" fillId="0" borderId="73" xfId="59" applyFont="1" applyFill="1" applyBorder="1" applyAlignment="1" applyProtection="1">
      <alignment horizontal="center" vertical="center" wrapText="1"/>
      <protection/>
    </xf>
    <xf numFmtId="0" fontId="45" fillId="0" borderId="39" xfId="59" applyFont="1" applyFill="1" applyBorder="1" applyAlignment="1" applyProtection="1">
      <alignment horizontal="center" vertical="center" wrapText="1"/>
      <protection/>
    </xf>
    <xf numFmtId="0" fontId="45" fillId="0" borderId="10" xfId="59" applyFont="1" applyFill="1" applyBorder="1" applyAlignment="1" applyProtection="1">
      <alignment horizontal="center" wrapText="1"/>
      <protection/>
    </xf>
    <xf numFmtId="0" fontId="45" fillId="0" borderId="37" xfId="59" applyFont="1" applyFill="1" applyBorder="1" applyAlignment="1" applyProtection="1">
      <alignment horizont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Normál_Munka5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&#233;s%202014\K&#246;lts&#233;gvet&#233;s%202014.%2002\GEVSZ%20Kiad&#225;sok2014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sz&#225;mol&#243;%20%202014\Besz&#225;mol&#243;%20IV.negyed&#233;v\2013\rend.telj.mell&#233;kletek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&#233;s%202014\K&#246;lts&#233;gvet&#233;s%202014.%2002\&#246;nkorm&#225;nyzat%20bev&#233;telek%202014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onc.tel&#252;z%20Konyha%20tam&#225;s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&#233;s%202014\K&#246;lts&#233;gvet&#233;s%202014.%2002\&#246;nkorm.kiad&#225;sok%202014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tv%20konc%202012.I.kiad&#225;s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2011.%20Tel&#252;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Rendeletek\5_2015%20&#246;r%20mell&#233;klete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sz&#225;mol&#243;%20%202014\Besz&#225;mol&#243;%20IV.negyed&#233;v\ZARSZREND14-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&#225;rtl%20Zolt&#225;nn&#233;\Dokumentumok\Besz&#225;mol&#243;%202009\2008.IV.n&#233;v\KT-nek%20k&#252;ldhet&#337;\Teljes&#237;t&#233;s\2008_teljes&#237;t&#233;s_09_03_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851011"/>
      <sheetName val="370000"/>
      <sheetName val="381103"/>
      <sheetName val="522000"/>
      <sheetName val="562912"/>
      <sheetName val="562913"/>
      <sheetName val="562916"/>
      <sheetName val="562917"/>
      <sheetName val="680001"/>
      <sheetName val="680002"/>
      <sheetName val="750000"/>
      <sheetName val="790000"/>
      <sheetName val="811000"/>
      <sheetName val="813000"/>
      <sheetName val="841154"/>
      <sheetName val="841402"/>
      <sheetName val="841403"/>
      <sheetName val="842155"/>
      <sheetName val="852011"/>
      <sheetName val="862101"/>
      <sheetName val="862102"/>
      <sheetName val="862231"/>
      <sheetName val="862301"/>
      <sheetName val="869041"/>
      <sheetName val="889921"/>
      <sheetName val="889924"/>
      <sheetName val="889928"/>
      <sheetName val="890301"/>
      <sheetName val="támogatás"/>
      <sheetName val="890442"/>
      <sheetName val="890444"/>
      <sheetName val="910123"/>
      <sheetName val="910502"/>
      <sheetName val="932911"/>
      <sheetName val="940000"/>
      <sheetName val="960302"/>
      <sheetName val="Munka1"/>
    </sheetNames>
    <sheetDataSet>
      <sheetData sheetId="1">
        <row r="53">
          <cell r="H53">
            <v>5</v>
          </cell>
        </row>
        <row r="65">
          <cell r="H65">
            <v>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mell.bev."/>
      <sheetName val="1b. bevétel"/>
      <sheetName val="1 b"/>
      <sheetName val="1c. át."/>
      <sheetName val="2. kiadás"/>
      <sheetName val="2.b kiadás"/>
      <sheetName val="2c.Fejlesztés"/>
      <sheetName val="9. Fejl.mérleg"/>
      <sheetName val="8. Műk.mérleg"/>
      <sheetName val="13.létszám"/>
      <sheetName val="10. Hitel"/>
      <sheetName val="12.köv."/>
      <sheetName val="11. rövid.köt."/>
      <sheetName val="4. Mérleg"/>
      <sheetName val="5.Egysz.mérleg"/>
      <sheetName val="7.E.pm.kim."/>
      <sheetName val="14. Rész."/>
      <sheetName val="6.Egysz.pénzf.jel."/>
      <sheetName val="3.pm.felhaszn"/>
      <sheetName val="Munka1"/>
    </sheetNames>
    <sheetDataSet>
      <sheetData sheetId="1">
        <row r="23">
          <cell r="H23">
            <v>9265</v>
          </cell>
        </row>
        <row r="24">
          <cell r="H24">
            <v>184</v>
          </cell>
        </row>
        <row r="25">
          <cell r="H25">
            <v>2371</v>
          </cell>
          <cell r="Q25">
            <v>2371</v>
          </cell>
        </row>
        <row r="37">
          <cell r="Q37">
            <v>1111</v>
          </cell>
        </row>
        <row r="40">
          <cell r="H40">
            <v>1212</v>
          </cell>
          <cell r="Q40">
            <v>1212</v>
          </cell>
        </row>
        <row r="41">
          <cell r="Q41">
            <v>0</v>
          </cell>
        </row>
      </sheetData>
      <sheetData sheetId="2">
        <row r="16">
          <cell r="N16">
            <v>3349</v>
          </cell>
        </row>
        <row r="17">
          <cell r="N17">
            <v>55465</v>
          </cell>
        </row>
        <row r="19">
          <cell r="N19">
            <v>151972</v>
          </cell>
        </row>
        <row r="20">
          <cell r="N20">
            <v>4142</v>
          </cell>
        </row>
        <row r="21">
          <cell r="N21">
            <v>171</v>
          </cell>
        </row>
        <row r="29">
          <cell r="N29">
            <v>67802</v>
          </cell>
        </row>
        <row r="30">
          <cell r="N30">
            <v>47722</v>
          </cell>
        </row>
        <row r="31">
          <cell r="N31">
            <v>5163</v>
          </cell>
        </row>
        <row r="40">
          <cell r="N40">
            <v>17355</v>
          </cell>
        </row>
        <row r="47">
          <cell r="N47">
            <v>20651</v>
          </cell>
        </row>
      </sheetData>
      <sheetData sheetId="5">
        <row r="23">
          <cell r="Q23">
            <v>0</v>
          </cell>
        </row>
      </sheetData>
      <sheetData sheetId="6">
        <row r="48">
          <cell r="I48">
            <v>15754</v>
          </cell>
        </row>
        <row r="68">
          <cell r="I68">
            <v>21394</v>
          </cell>
        </row>
        <row r="118">
          <cell r="I118">
            <v>36571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41112"/>
      <sheetName val="Áll.tám."/>
      <sheetName val="869041"/>
      <sheetName val="841133"/>
      <sheetName val="841901"/>
      <sheetName val="889942"/>
      <sheetName val="841403"/>
      <sheetName val="841358"/>
      <sheetName val="Munka1"/>
    </sheetNames>
    <sheetDataSet>
      <sheetData sheetId="1">
        <row r="19">
          <cell r="G19">
            <v>3039</v>
          </cell>
        </row>
      </sheetData>
      <sheetData sheetId="8">
        <row r="5">
          <cell r="H5">
            <v>2720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kiadás"/>
      <sheetName val="bevétel"/>
      <sheetName val="PH+int.n.k.szakfelad"/>
      <sheetName val="közműórák"/>
      <sheetName val="Közétk. bér"/>
      <sheetName val="nyersanyagnorma"/>
      <sheetName val="Közétkeztetés"/>
      <sheetName val="Összesítőközétk"/>
      <sheetName val="Ovi"/>
      <sheetName val="Iskolai étkeztetés"/>
      <sheetName val="Iskolai"/>
      <sheetName val="Mhelyi vend."/>
      <sheetName val="Szoc.étk."/>
      <sheetName val="Nyugdíjas"/>
      <sheetName val="vendégtábor"/>
      <sheetName val="Telüzössz"/>
      <sheetName val="kisegmg"/>
      <sheetName val="utak"/>
      <sheetName val="községgazd"/>
      <sheetName val="temető"/>
      <sheetName val="hulladék"/>
      <sheetName val="fürdő"/>
      <sheetName val="bér"/>
      <sheetName val="Munka1"/>
    </sheetNames>
    <sheetDataSet>
      <sheetData sheetId="17">
        <row r="12">
          <cell r="C12">
            <v>0</v>
          </cell>
        </row>
        <row r="14">
          <cell r="C14">
            <v>0</v>
          </cell>
        </row>
        <row r="55">
          <cell r="E55">
            <v>0</v>
          </cell>
        </row>
      </sheetData>
      <sheetData sheetId="19">
        <row r="9">
          <cell r="E9">
            <v>0</v>
          </cell>
        </row>
        <row r="10">
          <cell r="C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2">
        <row r="36">
          <cell r="H36">
            <v>2400</v>
          </cell>
        </row>
      </sheetData>
      <sheetData sheetId="4">
        <row r="13">
          <cell r="G13">
            <v>120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ett kiadás"/>
      <sheetName val="Szf.össz."/>
      <sheetName val="kiadás megoszlás"/>
      <sheetName val="ktgössz"/>
      <sheetName val="841402"/>
      <sheetName val="841403"/>
      <sheetName val="890301"/>
      <sheetName val="889942"/>
      <sheetName val="850001"/>
      <sheetName val="9499001"/>
      <sheetName val="842155"/>
      <sheetName val="Támogatás"/>
      <sheetName val="949900"/>
      <sheetName val="910123"/>
      <sheetName val="910502"/>
      <sheetName val="370000"/>
      <sheetName val="882121"/>
      <sheetName val="882122"/>
      <sheetName val="882123"/>
      <sheetName val="882202"/>
      <sheetName val="882124"/>
      <sheetName val="882111"/>
      <sheetName val="890441"/>
      <sheetName val="854234"/>
      <sheetName val="882117"/>
      <sheetName val="882115"/>
      <sheetName val="882112"/>
      <sheetName val="882113"/>
      <sheetName val="882129"/>
      <sheetName val="889924"/>
      <sheetName val="889928"/>
      <sheetName val="750000"/>
      <sheetName val="862301"/>
      <sheetName val="862102"/>
      <sheetName val="869041"/>
      <sheetName val="862231"/>
      <sheetName val="862101"/>
      <sheetName val="841126"/>
      <sheetName val="791200"/>
      <sheetName val="682002"/>
      <sheetName val="682001"/>
      <sheetName val="841118"/>
      <sheetName val="841112"/>
      <sheetName val="Munka13"/>
    </sheetNames>
    <sheetDataSet>
      <sheetData sheetId="32">
        <row r="7">
          <cell r="G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Telüzössz"/>
      <sheetName val="zöldterületgondozás"/>
      <sheetName val="utak"/>
      <sheetName val="Építményüzemeltetés"/>
      <sheetName val="temető"/>
      <sheetName val="hulladék"/>
      <sheetName val="fürdő"/>
      <sheetName val="bér"/>
    </sheetNames>
    <sheetDataSet>
      <sheetData sheetId="6">
        <row r="28">
          <cell r="F2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nk.főössz."/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"/>
      <sheetName val="8. fejlesztés"/>
      <sheetName val="Munka1"/>
    </sheetNames>
    <sheetDataSet>
      <sheetData sheetId="6">
        <row r="12">
          <cell r="D12">
            <v>21424</v>
          </cell>
        </row>
      </sheetData>
      <sheetData sheetId="7">
        <row r="52">
          <cell r="C52">
            <v>5433</v>
          </cell>
          <cell r="E52">
            <v>80</v>
          </cell>
        </row>
        <row r="58">
          <cell r="C58">
            <v>1480</v>
          </cell>
          <cell r="E58">
            <v>22</v>
          </cell>
          <cell r="S58">
            <v>5687</v>
          </cell>
        </row>
        <row r="98">
          <cell r="S98">
            <v>2840.37</v>
          </cell>
          <cell r="AU98">
            <v>0</v>
          </cell>
        </row>
        <row r="107">
          <cell r="C107">
            <v>3665</v>
          </cell>
          <cell r="D107">
            <v>120</v>
          </cell>
          <cell r="E107">
            <v>2107</v>
          </cell>
        </row>
        <row r="109">
          <cell r="R109">
            <v>11776</v>
          </cell>
        </row>
        <row r="110">
          <cell r="C110">
            <v>23353</v>
          </cell>
        </row>
        <row r="111">
          <cell r="C111">
            <v>574</v>
          </cell>
        </row>
        <row r="112">
          <cell r="E112">
            <v>24815</v>
          </cell>
          <cell r="O112">
            <v>80</v>
          </cell>
        </row>
        <row r="126">
          <cell r="S126">
            <v>152</v>
          </cell>
        </row>
        <row r="132">
          <cell r="D132">
            <v>412</v>
          </cell>
          <cell r="E132">
            <v>26842</v>
          </cell>
        </row>
        <row r="135">
          <cell r="Q135">
            <v>334000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1">
        <row r="3">
          <cell r="C3" t="str">
            <v>2014. évi</v>
          </cell>
        </row>
      </sheetData>
      <sheetData sheetId="5">
        <row r="4">
          <cell r="C4" t="str">
            <v>2014. évi eredeti előirányzat</v>
          </cell>
          <cell r="D4" t="str">
            <v>2014. évi módosított előirányzat</v>
          </cell>
          <cell r="E4" t="str">
            <v>2014. évi teljesítés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Telek"/>
      <sheetName val="1.Bevétel"/>
      <sheetName val="3.Fejlesztés"/>
      <sheetName val="Létszám"/>
      <sheetName val="2. Kiadás"/>
      <sheetName val="Segélyl"/>
      <sheetName val="Pénzforg.jel."/>
      <sheetName val="ÁT"/>
      <sheetName val="Fejl.mérleg"/>
      <sheetName val="Műk-iMérleg"/>
      <sheetName val="PM"/>
      <sheetName val="Hitel"/>
      <sheetName val="Mérleg"/>
      <sheetName val="E.Mérleg"/>
      <sheetName val="Részes"/>
      <sheetName val="pénzm.felh."/>
    </sheetNames>
    <sheetDataSet>
      <sheetData sheetId="2">
        <row r="14">
          <cell r="K14">
            <v>1495</v>
          </cell>
        </row>
        <row r="25">
          <cell r="K25">
            <v>2151</v>
          </cell>
        </row>
        <row r="33">
          <cell r="K33">
            <v>11302</v>
          </cell>
        </row>
        <row r="34">
          <cell r="K34">
            <v>179</v>
          </cell>
        </row>
        <row r="62">
          <cell r="K62">
            <v>64722</v>
          </cell>
        </row>
      </sheetData>
      <sheetData sheetId="3">
        <row r="20">
          <cell r="J20">
            <v>319</v>
          </cell>
        </row>
        <row r="27">
          <cell r="J27">
            <v>3222</v>
          </cell>
        </row>
        <row r="28">
          <cell r="J28">
            <v>1575</v>
          </cell>
        </row>
        <row r="50">
          <cell r="J50">
            <v>1859</v>
          </cell>
        </row>
        <row r="51">
          <cell r="J51">
            <v>304</v>
          </cell>
        </row>
      </sheetData>
      <sheetData sheetId="5">
        <row r="18">
          <cell r="AW18">
            <v>50768</v>
          </cell>
        </row>
      </sheetData>
      <sheetData sheetId="7">
        <row r="7">
          <cell r="F7">
            <v>92854</v>
          </cell>
        </row>
        <row r="8">
          <cell r="F8">
            <v>28704</v>
          </cell>
        </row>
        <row r="9">
          <cell r="F9">
            <v>117974</v>
          </cell>
        </row>
        <row r="10">
          <cell r="F10">
            <v>52323</v>
          </cell>
        </row>
        <row r="11">
          <cell r="F11">
            <v>7587</v>
          </cell>
        </row>
        <row r="12">
          <cell r="F12">
            <v>8695</v>
          </cell>
        </row>
        <row r="13">
          <cell r="F13">
            <v>6057</v>
          </cell>
        </row>
        <row r="14">
          <cell r="F14">
            <v>3746</v>
          </cell>
        </row>
        <row r="15">
          <cell r="F15">
            <v>250</v>
          </cell>
        </row>
        <row r="24">
          <cell r="F24">
            <v>60208</v>
          </cell>
        </row>
        <row r="25">
          <cell r="F25">
            <v>178647</v>
          </cell>
        </row>
        <row r="26">
          <cell r="F26">
            <v>6697</v>
          </cell>
        </row>
        <row r="27">
          <cell r="F27">
            <v>5951</v>
          </cell>
        </row>
        <row r="28">
          <cell r="F28">
            <v>13941</v>
          </cell>
        </row>
        <row r="30">
          <cell r="F30">
            <v>205</v>
          </cell>
        </row>
        <row r="31">
          <cell r="F31">
            <v>1340</v>
          </cell>
        </row>
        <row r="32">
          <cell r="F32">
            <v>73267</v>
          </cell>
        </row>
        <row r="34">
          <cell r="F34">
            <v>3432</v>
          </cell>
        </row>
        <row r="37">
          <cell r="F37">
            <v>0</v>
          </cell>
        </row>
      </sheetData>
      <sheetData sheetId="8">
        <row r="53">
          <cell r="G53">
            <v>16960000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101"/>
  <sheetViews>
    <sheetView view="pageBreakPreview" zoomScale="80" zoomScaleSheetLayoutView="80" zoomScalePageLayoutView="0" workbookViewId="0" topLeftCell="A61">
      <selection activeCell="A2" sqref="A2:C2"/>
    </sheetView>
  </sheetViews>
  <sheetFormatPr defaultColWidth="9.140625" defaultRowHeight="15"/>
  <cols>
    <col min="1" max="1" width="9.140625" style="1" customWidth="1"/>
    <col min="2" max="2" width="10.28125" style="1" customWidth="1"/>
    <col min="3" max="3" width="31.140625" style="1" customWidth="1"/>
    <col min="4" max="4" width="10.8515625" style="1" bestFit="1" customWidth="1"/>
    <col min="5" max="11" width="9.140625" style="1" customWidth="1"/>
    <col min="12" max="15" width="10.00390625" style="1" customWidth="1"/>
    <col min="16" max="16384" width="9.140625" style="1" customWidth="1"/>
  </cols>
  <sheetData>
    <row r="2" spans="1:3" ht="15">
      <c r="A2" s="740" t="s">
        <v>2161</v>
      </c>
      <c r="B2" s="741"/>
      <c r="C2" s="742"/>
    </row>
    <row r="5" spans="1:3" ht="12.75">
      <c r="A5" s="192"/>
      <c r="B5" s="738" t="s">
        <v>530</v>
      </c>
      <c r="C5" s="739"/>
    </row>
    <row r="6" spans="2:10" s="193" customFormat="1" ht="12.75">
      <c r="B6" s="193" t="s">
        <v>564</v>
      </c>
      <c r="C6" s="193" t="s">
        <v>565</v>
      </c>
      <c r="D6" s="193" t="s">
        <v>566</v>
      </c>
      <c r="E6" s="193" t="s">
        <v>567</v>
      </c>
      <c r="F6" s="193" t="s">
        <v>568</v>
      </c>
      <c r="G6" s="193" t="s">
        <v>689</v>
      </c>
      <c r="H6" s="193" t="s">
        <v>599</v>
      </c>
      <c r="I6" s="193" t="s">
        <v>600</v>
      </c>
      <c r="J6" s="193" t="s">
        <v>601</v>
      </c>
    </row>
    <row r="7" spans="1:11" ht="25.5" customHeight="1">
      <c r="A7" s="1">
        <v>1</v>
      </c>
      <c r="B7" s="2" t="s">
        <v>531</v>
      </c>
      <c r="C7" s="2"/>
      <c r="D7" s="3">
        <v>41695</v>
      </c>
      <c r="E7" s="197" t="s">
        <v>1262</v>
      </c>
      <c r="F7" s="197" t="s">
        <v>1368</v>
      </c>
      <c r="G7" s="197" t="s">
        <v>1388</v>
      </c>
      <c r="H7" s="197" t="s">
        <v>1263</v>
      </c>
      <c r="I7" s="197" t="s">
        <v>1369</v>
      </c>
      <c r="J7" s="197" t="s">
        <v>1389</v>
      </c>
      <c r="K7" s="197"/>
    </row>
    <row r="8" ht="12.75">
      <c r="A8" s="1">
        <v>2</v>
      </c>
    </row>
    <row r="9" ht="12.75">
      <c r="A9" s="1">
        <v>3</v>
      </c>
    </row>
    <row r="10" spans="1:15" ht="12.75">
      <c r="A10" s="1">
        <v>4</v>
      </c>
      <c r="B10" s="1">
        <v>841901</v>
      </c>
      <c r="C10" s="1" t="s">
        <v>532</v>
      </c>
      <c r="D10" s="4">
        <v>3500</v>
      </c>
      <c r="E10" s="4">
        <f>3500+5250</f>
        <v>8750</v>
      </c>
      <c r="F10" s="4">
        <f>3500+5250</f>
        <v>8750</v>
      </c>
      <c r="G10" s="4">
        <v>8149</v>
      </c>
      <c r="I10" s="1">
        <v>5250</v>
      </c>
      <c r="J10" s="1">
        <v>8019</v>
      </c>
      <c r="L10" s="7"/>
      <c r="M10" s="7"/>
      <c r="N10" s="7"/>
      <c r="O10" s="7"/>
    </row>
    <row r="11" spans="1:15" ht="12.75">
      <c r="A11" s="1">
        <v>5</v>
      </c>
      <c r="C11" s="1" t="s">
        <v>1390</v>
      </c>
      <c r="D11" s="4"/>
      <c r="E11" s="4"/>
      <c r="F11" s="4"/>
      <c r="G11" s="4">
        <v>35</v>
      </c>
      <c r="J11" s="1">
        <v>35</v>
      </c>
      <c r="K11" s="1">
        <f>SUM(J10:J11)</f>
        <v>8054</v>
      </c>
      <c r="L11" s="7"/>
      <c r="M11" s="7"/>
      <c r="N11" s="7"/>
      <c r="O11" s="7"/>
    </row>
    <row r="12" spans="1:15" ht="12.75">
      <c r="A12" s="1">
        <v>6</v>
      </c>
      <c r="B12" s="1">
        <v>889942</v>
      </c>
      <c r="C12" s="1" t="s">
        <v>1264</v>
      </c>
      <c r="D12" s="4">
        <v>652</v>
      </c>
      <c r="E12" s="4">
        <v>652</v>
      </c>
      <c r="F12" s="4">
        <v>652</v>
      </c>
      <c r="G12" s="4">
        <v>537</v>
      </c>
      <c r="H12" s="1">
        <v>383</v>
      </c>
      <c r="I12" s="1">
        <v>549</v>
      </c>
      <c r="J12" s="1">
        <v>537</v>
      </c>
      <c r="L12" s="7"/>
      <c r="M12" s="7"/>
      <c r="N12" s="7"/>
      <c r="O12" s="7"/>
    </row>
    <row r="13" spans="1:15" ht="12.75">
      <c r="A13" s="1">
        <v>7</v>
      </c>
      <c r="B13" s="1">
        <v>1942</v>
      </c>
      <c r="C13" s="1" t="s">
        <v>1265</v>
      </c>
      <c r="D13" s="4">
        <v>19160</v>
      </c>
      <c r="E13" s="4">
        <v>19160</v>
      </c>
      <c r="F13" s="4">
        <v>19160</v>
      </c>
      <c r="G13" s="4">
        <v>19160</v>
      </c>
      <c r="L13" s="7"/>
      <c r="M13" s="7"/>
      <c r="N13" s="7"/>
      <c r="O13" s="7"/>
    </row>
    <row r="14" spans="1:15" ht="12.75">
      <c r="A14" s="1">
        <v>8</v>
      </c>
      <c r="B14" s="1">
        <v>841901</v>
      </c>
      <c r="C14" s="1" t="s">
        <v>533</v>
      </c>
      <c r="D14" s="4">
        <v>545</v>
      </c>
      <c r="E14" s="4">
        <v>545</v>
      </c>
      <c r="F14" s="4">
        <v>876</v>
      </c>
      <c r="G14" s="4">
        <v>876</v>
      </c>
      <c r="H14" s="1">
        <v>620</v>
      </c>
      <c r="I14" s="1">
        <v>754</v>
      </c>
      <c r="J14" s="1">
        <v>876</v>
      </c>
      <c r="L14" s="7"/>
      <c r="M14" s="7"/>
      <c r="N14" s="7"/>
      <c r="O14" s="7"/>
    </row>
    <row r="15" spans="1:15" ht="12.75">
      <c r="A15" s="1">
        <v>9</v>
      </c>
      <c r="B15" s="1">
        <v>370000</v>
      </c>
      <c r="C15" s="1" t="s">
        <v>1391</v>
      </c>
      <c r="D15" s="4"/>
      <c r="E15" s="4"/>
      <c r="F15" s="4"/>
      <c r="G15" s="4">
        <v>428</v>
      </c>
      <c r="J15" s="1">
        <v>428</v>
      </c>
      <c r="L15" s="7"/>
      <c r="M15" s="7"/>
      <c r="N15" s="7"/>
      <c r="O15" s="7"/>
    </row>
    <row r="16" spans="1:15" ht="12.75">
      <c r="A16" s="1">
        <v>10</v>
      </c>
      <c r="B16" s="1">
        <v>841126</v>
      </c>
      <c r="C16" s="1" t="s">
        <v>1370</v>
      </c>
      <c r="F16" s="1">
        <v>216</v>
      </c>
      <c r="G16" s="1">
        <v>216</v>
      </c>
      <c r="I16" s="1">
        <v>216</v>
      </c>
      <c r="J16" s="1">
        <v>216</v>
      </c>
      <c r="L16" s="7"/>
      <c r="M16" s="7"/>
      <c r="N16" s="7"/>
      <c r="O16" s="7"/>
    </row>
    <row r="17" spans="1:15" ht="12.75">
      <c r="A17" s="1">
        <v>11</v>
      </c>
      <c r="B17" s="1">
        <v>841126</v>
      </c>
      <c r="C17" s="1" t="s">
        <v>1371</v>
      </c>
      <c r="F17" s="1">
        <v>26451</v>
      </c>
      <c r="G17" s="1">
        <v>26451</v>
      </c>
      <c r="J17" s="1">
        <f>8031+18420</f>
        <v>26451</v>
      </c>
      <c r="L17" s="7"/>
      <c r="M17" s="7"/>
      <c r="N17" s="7"/>
      <c r="O17" s="7"/>
    </row>
    <row r="18" spans="1:15" ht="12.75">
      <c r="A18" s="1">
        <v>12</v>
      </c>
      <c r="B18" s="1">
        <v>841126</v>
      </c>
      <c r="C18" s="1" t="s">
        <v>1372</v>
      </c>
      <c r="D18" s="1">
        <v>3039</v>
      </c>
      <c r="E18" s="1">
        <v>3039</v>
      </c>
      <c r="F18" s="1">
        <v>3039</v>
      </c>
      <c r="G18" s="1">
        <v>3039</v>
      </c>
      <c r="I18" s="1">
        <v>3039</v>
      </c>
      <c r="J18" s="1">
        <v>3039</v>
      </c>
      <c r="L18" s="7"/>
      <c r="M18" s="7"/>
      <c r="N18" s="7"/>
      <c r="O18" s="7"/>
    </row>
    <row r="19" spans="1:15" ht="12.75">
      <c r="A19" s="1">
        <v>13</v>
      </c>
      <c r="L19" s="7"/>
      <c r="M19" s="7"/>
      <c r="N19" s="7"/>
      <c r="O19" s="7"/>
    </row>
    <row r="20" spans="1:15" ht="12.75">
      <c r="A20" s="1">
        <v>14</v>
      </c>
      <c r="B20" s="5"/>
      <c r="C20" s="5" t="s">
        <v>535</v>
      </c>
      <c r="D20" s="4">
        <f aca="true" t="shared" si="0" ref="D20:J20">SUM(D10:D19)</f>
        <v>26896</v>
      </c>
      <c r="E20" s="4">
        <f t="shared" si="0"/>
        <v>32146</v>
      </c>
      <c r="F20" s="4">
        <f t="shared" si="0"/>
        <v>59144</v>
      </c>
      <c r="G20" s="4">
        <f t="shared" si="0"/>
        <v>58891</v>
      </c>
      <c r="H20" s="4">
        <f t="shared" si="0"/>
        <v>1003</v>
      </c>
      <c r="I20" s="4">
        <f t="shared" si="0"/>
        <v>9808</v>
      </c>
      <c r="J20" s="4">
        <f t="shared" si="0"/>
        <v>39601</v>
      </c>
      <c r="K20" s="4"/>
      <c r="L20" s="7"/>
      <c r="M20" s="7"/>
      <c r="N20" s="7"/>
      <c r="O20" s="7"/>
    </row>
    <row r="21" spans="1:15" ht="12.75">
      <c r="A21" s="1">
        <v>15</v>
      </c>
      <c r="B21" s="5"/>
      <c r="C21" s="5"/>
      <c r="L21" s="7"/>
      <c r="M21" s="7"/>
      <c r="N21" s="7"/>
      <c r="O21" s="7"/>
    </row>
    <row r="22" spans="1:15" ht="12.75">
      <c r="A22" s="1">
        <v>16</v>
      </c>
      <c r="B22" s="2" t="s">
        <v>536</v>
      </c>
      <c r="C22" s="2"/>
      <c r="L22" s="7"/>
      <c r="M22" s="7"/>
      <c r="N22" s="7"/>
      <c r="O22" s="7"/>
    </row>
    <row r="23" spans="1:15" ht="12.75">
      <c r="A23" s="1">
        <v>17</v>
      </c>
      <c r="L23" s="7"/>
      <c r="M23" s="7"/>
      <c r="N23" s="7"/>
      <c r="O23" s="7"/>
    </row>
    <row r="24" spans="1:15" ht="12.75">
      <c r="A24" s="1">
        <v>18</v>
      </c>
      <c r="B24" s="1">
        <v>841901</v>
      </c>
      <c r="C24" s="1" t="s">
        <v>537</v>
      </c>
      <c r="D24" s="4">
        <v>93124</v>
      </c>
      <c r="E24" s="4">
        <f>93124+136+2024+12734+158</f>
        <v>108176</v>
      </c>
      <c r="F24" s="4">
        <v>109899</v>
      </c>
      <c r="G24" s="4">
        <f>114009-G25-G26</f>
        <v>111383</v>
      </c>
      <c r="H24" s="1">
        <v>63474</v>
      </c>
      <c r="I24" s="1">
        <v>87478</v>
      </c>
      <c r="J24" s="1">
        <v>111383</v>
      </c>
      <c r="L24" s="7"/>
      <c r="M24" s="7"/>
      <c r="N24" s="7"/>
      <c r="O24" s="7"/>
    </row>
    <row r="25" spans="1:15" ht="12.75">
      <c r="A25" s="1">
        <v>19</v>
      </c>
      <c r="C25" s="1" t="s">
        <v>538</v>
      </c>
      <c r="D25" s="4">
        <v>3132</v>
      </c>
      <c r="E25" s="4">
        <v>3132</v>
      </c>
      <c r="F25" s="4">
        <v>3132</v>
      </c>
      <c r="G25" s="4">
        <v>2571</v>
      </c>
      <c r="H25" s="1">
        <v>1718</v>
      </c>
      <c r="I25" s="1">
        <v>2163</v>
      </c>
      <c r="J25" s="1">
        <v>2571</v>
      </c>
      <c r="L25" s="7"/>
      <c r="M25" s="7"/>
      <c r="N25" s="7"/>
      <c r="O25" s="7"/>
    </row>
    <row r="26" spans="1:15" ht="12.75">
      <c r="A26" s="1">
        <v>20</v>
      </c>
      <c r="B26" s="1">
        <v>841126</v>
      </c>
      <c r="C26" s="1" t="s">
        <v>1266</v>
      </c>
      <c r="E26" s="1">
        <v>55</v>
      </c>
      <c r="F26" s="1">
        <v>55</v>
      </c>
      <c r="G26" s="1">
        <v>55</v>
      </c>
      <c r="H26" s="1">
        <v>55</v>
      </c>
      <c r="I26" s="1">
        <v>55</v>
      </c>
      <c r="J26" s="1">
        <v>55</v>
      </c>
      <c r="K26" s="1">
        <f>SUM(J24:J26)</f>
        <v>114009</v>
      </c>
      <c r="L26" s="7"/>
      <c r="M26" s="7"/>
      <c r="N26" s="7"/>
      <c r="O26" s="7"/>
    </row>
    <row r="27" spans="1:15" ht="12.75">
      <c r="A27" s="1">
        <v>21</v>
      </c>
      <c r="C27" s="1" t="s">
        <v>1462</v>
      </c>
      <c r="G27" s="1">
        <v>192</v>
      </c>
      <c r="J27" s="1">
        <v>191</v>
      </c>
      <c r="L27" s="7"/>
      <c r="M27" s="7"/>
      <c r="N27" s="7"/>
      <c r="O27" s="7"/>
    </row>
    <row r="28" spans="1:15" ht="12.75">
      <c r="A28" s="1">
        <v>22</v>
      </c>
      <c r="B28" s="1">
        <v>841133</v>
      </c>
      <c r="C28" s="1" t="s">
        <v>539</v>
      </c>
      <c r="D28" s="4">
        <v>91000</v>
      </c>
      <c r="E28" s="4">
        <v>91000</v>
      </c>
      <c r="F28" s="4">
        <v>91000</v>
      </c>
      <c r="G28" s="4">
        <v>91777</v>
      </c>
      <c r="H28" s="1">
        <v>53221</v>
      </c>
      <c r="I28" s="1">
        <v>83447</v>
      </c>
      <c r="J28" s="1">
        <v>91777</v>
      </c>
      <c r="K28" s="1">
        <f>SUM(J28:J35)</f>
        <v>152141</v>
      </c>
      <c r="L28" s="7"/>
      <c r="M28" s="7"/>
      <c r="N28" s="7"/>
      <c r="O28" s="7"/>
    </row>
    <row r="29" spans="1:15" ht="12.75">
      <c r="A29" s="1">
        <v>23</v>
      </c>
      <c r="C29" s="1" t="s">
        <v>540</v>
      </c>
      <c r="D29" s="4">
        <v>7400</v>
      </c>
      <c r="E29" s="4">
        <v>7400</v>
      </c>
      <c r="F29" s="4">
        <v>7400</v>
      </c>
      <c r="G29" s="4">
        <v>6652</v>
      </c>
      <c r="H29" s="1">
        <v>3783</v>
      </c>
      <c r="I29" s="1">
        <v>5740</v>
      </c>
      <c r="J29" s="1">
        <v>6652</v>
      </c>
      <c r="L29" s="7"/>
      <c r="M29" s="7"/>
      <c r="N29" s="7"/>
      <c r="O29" s="7"/>
    </row>
    <row r="30" spans="1:15" ht="12.75">
      <c r="A30" s="1">
        <v>24</v>
      </c>
      <c r="C30" s="1" t="s">
        <v>1267</v>
      </c>
      <c r="D30" s="4">
        <v>174</v>
      </c>
      <c r="E30" s="4">
        <v>174</v>
      </c>
      <c r="F30" s="4">
        <v>174</v>
      </c>
      <c r="G30" s="4">
        <v>180</v>
      </c>
      <c r="H30" s="1">
        <v>99</v>
      </c>
      <c r="I30" s="1">
        <v>156</v>
      </c>
      <c r="J30" s="1">
        <v>180</v>
      </c>
      <c r="K30" s="4">
        <f>SUM(D28:D35)</f>
        <v>140574</v>
      </c>
      <c r="L30" s="7">
        <f>SUM(G28:G35)</f>
        <v>152141</v>
      </c>
      <c r="M30" s="7"/>
      <c r="N30" s="7"/>
      <c r="O30" s="7"/>
    </row>
    <row r="31" spans="1:15" ht="12.75">
      <c r="A31" s="1">
        <v>25</v>
      </c>
      <c r="C31" s="1" t="s">
        <v>541</v>
      </c>
      <c r="D31" s="4">
        <v>17000</v>
      </c>
      <c r="E31" s="4">
        <v>17000</v>
      </c>
      <c r="F31" s="4">
        <v>17000</v>
      </c>
      <c r="G31" s="4">
        <v>23596</v>
      </c>
      <c r="H31" s="1">
        <v>2260</v>
      </c>
      <c r="I31" s="1">
        <v>18141</v>
      </c>
      <c r="J31" s="1">
        <v>23596</v>
      </c>
      <c r="L31" s="7"/>
      <c r="M31" s="7"/>
      <c r="N31" s="7"/>
      <c r="O31" s="7"/>
    </row>
    <row r="32" spans="1:15" ht="12.75">
      <c r="A32" s="1">
        <v>26</v>
      </c>
      <c r="C32" s="1" t="s">
        <v>542</v>
      </c>
      <c r="D32" s="4">
        <v>0</v>
      </c>
      <c r="E32" s="4">
        <v>0</v>
      </c>
      <c r="F32" s="4">
        <v>0</v>
      </c>
      <c r="G32" s="4">
        <v>12</v>
      </c>
      <c r="J32" s="1">
        <v>12</v>
      </c>
      <c r="L32" s="7"/>
      <c r="M32" s="7"/>
      <c r="N32" s="7"/>
      <c r="O32" s="7"/>
    </row>
    <row r="33" spans="1:15" ht="12.75">
      <c r="A33" s="1">
        <v>27</v>
      </c>
      <c r="C33" s="1" t="s">
        <v>1268</v>
      </c>
      <c r="D33" s="4">
        <v>24000</v>
      </c>
      <c r="E33" s="4">
        <v>24000</v>
      </c>
      <c r="F33" s="4">
        <v>24000</v>
      </c>
      <c r="G33" s="4">
        <v>28192</v>
      </c>
      <c r="H33" s="1">
        <v>10188</v>
      </c>
      <c r="I33" s="1">
        <v>23095</v>
      </c>
      <c r="J33" s="1">
        <v>28192</v>
      </c>
      <c r="L33" s="7"/>
      <c r="M33" s="7"/>
      <c r="N33" s="7"/>
      <c r="O33" s="7"/>
    </row>
    <row r="34" spans="1:15" ht="12.75">
      <c r="A34" s="1">
        <v>28</v>
      </c>
      <c r="C34" s="1" t="s">
        <v>1392</v>
      </c>
      <c r="D34" s="4"/>
      <c r="E34" s="4"/>
      <c r="F34" s="4"/>
      <c r="G34" s="4">
        <v>773</v>
      </c>
      <c r="J34" s="1">
        <v>773</v>
      </c>
      <c r="L34" s="7"/>
      <c r="M34" s="7"/>
      <c r="N34" s="7"/>
      <c r="O34" s="7"/>
    </row>
    <row r="35" spans="1:15" ht="12.75">
      <c r="A35" s="1">
        <v>29</v>
      </c>
      <c r="C35" s="1" t="s">
        <v>543</v>
      </c>
      <c r="D35" s="4">
        <v>1000</v>
      </c>
      <c r="E35" s="4">
        <v>1000</v>
      </c>
      <c r="F35" s="4">
        <v>1000</v>
      </c>
      <c r="G35" s="4">
        <v>959</v>
      </c>
      <c r="H35" s="1">
        <v>499</v>
      </c>
      <c r="I35" s="1">
        <v>681</v>
      </c>
      <c r="J35" s="1">
        <v>959</v>
      </c>
      <c r="L35" s="7"/>
      <c r="M35" s="7"/>
      <c r="N35" s="7"/>
      <c r="O35" s="7"/>
    </row>
    <row r="36" spans="1:15" ht="12.75">
      <c r="A36" s="1">
        <v>30</v>
      </c>
      <c r="C36" s="1" t="s">
        <v>1269</v>
      </c>
      <c r="D36" s="4">
        <v>4200</v>
      </c>
      <c r="E36" s="4">
        <v>4200</v>
      </c>
      <c r="F36" s="4">
        <v>4200</v>
      </c>
      <c r="G36" s="4">
        <v>4259</v>
      </c>
      <c r="H36" s="1">
        <v>2636</v>
      </c>
      <c r="I36" s="1">
        <v>2976</v>
      </c>
      <c r="J36" s="1">
        <v>4259</v>
      </c>
      <c r="L36" s="7"/>
      <c r="M36" s="7"/>
      <c r="N36" s="7"/>
      <c r="O36" s="7"/>
    </row>
    <row r="37" spans="1:15" ht="12.75">
      <c r="A37" s="1">
        <v>31</v>
      </c>
      <c r="C37" s="1" t="s">
        <v>1270</v>
      </c>
      <c r="D37" s="4"/>
      <c r="E37" s="4"/>
      <c r="F37" s="4"/>
      <c r="G37" s="1">
        <v>101</v>
      </c>
      <c r="H37" s="1">
        <f>41+7+24</f>
        <v>72</v>
      </c>
      <c r="I37" s="1">
        <v>72</v>
      </c>
      <c r="J37" s="1">
        <f>101+7</f>
        <v>108</v>
      </c>
      <c r="L37" s="7"/>
      <c r="M37" s="7"/>
      <c r="N37" s="7"/>
      <c r="O37" s="7"/>
    </row>
    <row r="38" spans="1:15" ht="12.75">
      <c r="A38" s="1">
        <v>32</v>
      </c>
      <c r="C38" s="1" t="s">
        <v>1271</v>
      </c>
      <c r="D38" s="4"/>
      <c r="E38" s="4"/>
      <c r="F38" s="4"/>
      <c r="G38" s="4">
        <v>80</v>
      </c>
      <c r="H38" s="1">
        <v>60</v>
      </c>
      <c r="I38" s="1">
        <v>80</v>
      </c>
      <c r="J38" s="1">
        <v>80</v>
      </c>
      <c r="L38" s="7"/>
      <c r="M38" s="7"/>
      <c r="N38" s="7"/>
      <c r="O38" s="7"/>
    </row>
    <row r="39" spans="1:15" ht="12.75">
      <c r="A39" s="1">
        <v>33</v>
      </c>
      <c r="C39" s="1" t="s">
        <v>1174</v>
      </c>
      <c r="D39" s="4"/>
      <c r="E39" s="4"/>
      <c r="F39" s="4"/>
      <c r="G39" s="4">
        <f>7+100+14+156</f>
        <v>277</v>
      </c>
      <c r="J39" s="1">
        <f>100+156</f>
        <v>256</v>
      </c>
      <c r="L39" s="7"/>
      <c r="M39" s="7"/>
      <c r="N39" s="7"/>
      <c r="O39" s="7"/>
    </row>
    <row r="40" spans="1:15" ht="12.75">
      <c r="A40" s="1">
        <v>34</v>
      </c>
      <c r="B40" s="1">
        <v>841112</v>
      </c>
      <c r="C40" s="1" t="s">
        <v>544</v>
      </c>
      <c r="D40" s="1">
        <v>500</v>
      </c>
      <c r="E40" s="1">
        <f>500+6825</f>
        <v>7325</v>
      </c>
      <c r="F40" s="1">
        <f>500+6825</f>
        <v>7325</v>
      </c>
      <c r="G40" s="1">
        <v>8028</v>
      </c>
      <c r="H40" s="1">
        <v>403</v>
      </c>
      <c r="I40" s="1">
        <v>7539</v>
      </c>
      <c r="J40" s="1">
        <v>8028</v>
      </c>
      <c r="L40" s="7"/>
      <c r="M40" s="7"/>
      <c r="N40" s="7"/>
      <c r="O40" s="7"/>
    </row>
    <row r="41" spans="1:15" ht="12.75">
      <c r="A41" s="1">
        <v>35</v>
      </c>
      <c r="C41" s="1" t="s">
        <v>1393</v>
      </c>
      <c r="G41" s="1">
        <v>4006</v>
      </c>
      <c r="J41" s="1">
        <v>4006</v>
      </c>
      <c r="L41" s="7"/>
      <c r="M41" s="7"/>
      <c r="N41" s="7"/>
      <c r="O41" s="7"/>
    </row>
    <row r="42" spans="1:15" ht="12.75">
      <c r="A42" s="1">
        <v>36</v>
      </c>
      <c r="B42" s="1">
        <v>841358</v>
      </c>
      <c r="C42" s="1" t="s">
        <v>1272</v>
      </c>
      <c r="D42" s="4">
        <v>2720</v>
      </c>
      <c r="E42" s="4">
        <v>2720</v>
      </c>
      <c r="F42" s="4">
        <v>2720</v>
      </c>
      <c r="G42" s="4">
        <v>2720</v>
      </c>
      <c r="H42" s="1">
        <v>2720</v>
      </c>
      <c r="I42" s="1">
        <v>2720</v>
      </c>
      <c r="J42" s="1">
        <v>2720</v>
      </c>
      <c r="L42" s="7"/>
      <c r="M42" s="7"/>
      <c r="N42" s="7"/>
      <c r="O42" s="7"/>
    </row>
    <row r="43" spans="1:15" ht="12.75">
      <c r="A43" s="1">
        <v>37</v>
      </c>
      <c r="B43" s="6">
        <v>869041</v>
      </c>
      <c r="C43" s="1" t="s">
        <v>545</v>
      </c>
      <c r="D43" s="4">
        <v>2257</v>
      </c>
      <c r="E43" s="4">
        <v>2257</v>
      </c>
      <c r="F43" s="4">
        <v>2257</v>
      </c>
      <c r="G43" s="4">
        <v>2299</v>
      </c>
      <c r="H43" s="1">
        <v>880</v>
      </c>
      <c r="I43" s="1">
        <v>1576</v>
      </c>
      <c r="J43" s="1">
        <v>2299</v>
      </c>
      <c r="L43" s="7"/>
      <c r="M43" s="7"/>
      <c r="N43" s="7"/>
      <c r="O43" s="7"/>
    </row>
    <row r="44" spans="1:15" ht="12.75">
      <c r="A44" s="1">
        <v>38</v>
      </c>
      <c r="B44" s="1">
        <v>841112</v>
      </c>
      <c r="C44" s="1" t="s">
        <v>1273</v>
      </c>
      <c r="E44" s="1">
        <v>440</v>
      </c>
      <c r="F44" s="1">
        <v>440</v>
      </c>
      <c r="G44" s="1">
        <v>500</v>
      </c>
      <c r="I44" s="1">
        <v>450</v>
      </c>
      <c r="J44" s="1">
        <v>500</v>
      </c>
      <c r="L44" s="7"/>
      <c r="M44" s="7"/>
      <c r="N44" s="7"/>
      <c r="O44" s="7"/>
    </row>
    <row r="45" spans="1:15" ht="12.75">
      <c r="A45" s="1">
        <v>39</v>
      </c>
      <c r="C45" s="1" t="s">
        <v>1373</v>
      </c>
      <c r="F45" s="1">
        <v>400</v>
      </c>
      <c r="G45" s="1">
        <v>500</v>
      </c>
      <c r="J45" s="1">
        <v>500</v>
      </c>
      <c r="L45" s="7"/>
      <c r="M45" s="7"/>
      <c r="N45" s="7"/>
      <c r="O45" s="7"/>
    </row>
    <row r="46" spans="1:15" ht="12.75">
      <c r="A46" s="1">
        <v>40</v>
      </c>
      <c r="C46" s="1" t="s">
        <v>1394</v>
      </c>
      <c r="G46" s="1">
        <v>299000</v>
      </c>
      <c r="J46" s="1">
        <v>299000</v>
      </c>
      <c r="L46" s="7"/>
      <c r="M46" s="7"/>
      <c r="N46" s="7"/>
      <c r="O46" s="7"/>
    </row>
    <row r="47" spans="1:15" ht="12.75">
      <c r="A47" s="1">
        <v>41</v>
      </c>
      <c r="B47" s="1">
        <v>841126</v>
      </c>
      <c r="C47" s="1" t="s">
        <v>1274</v>
      </c>
      <c r="D47" s="1">
        <v>56561</v>
      </c>
      <c r="E47" s="1">
        <v>56561</v>
      </c>
      <c r="F47" s="1">
        <v>61429</v>
      </c>
      <c r="G47" s="1">
        <v>48814</v>
      </c>
      <c r="I47" s="1">
        <v>61429</v>
      </c>
      <c r="J47" s="1">
        <v>48814</v>
      </c>
      <c r="L47" s="7"/>
      <c r="M47" s="7"/>
      <c r="N47" s="7"/>
      <c r="O47" s="7"/>
    </row>
    <row r="48" spans="1:15" ht="12.75">
      <c r="A48" s="1">
        <v>42</v>
      </c>
      <c r="C48" s="1" t="s">
        <v>1459</v>
      </c>
      <c r="J48" s="1">
        <v>3562</v>
      </c>
      <c r="L48" s="7"/>
      <c r="M48" s="7"/>
      <c r="N48" s="7"/>
      <c r="O48" s="7"/>
    </row>
    <row r="49" spans="1:15" ht="12.75">
      <c r="A49" s="1">
        <v>43</v>
      </c>
      <c r="B49" s="5" t="s">
        <v>546</v>
      </c>
      <c r="C49" s="5" t="s">
        <v>535</v>
      </c>
      <c r="D49" s="4">
        <f aca="true" t="shared" si="1" ref="D49:I49">SUM(D24:D47)</f>
        <v>303068</v>
      </c>
      <c r="E49" s="4">
        <f t="shared" si="1"/>
        <v>325440</v>
      </c>
      <c r="F49" s="4">
        <f t="shared" si="1"/>
        <v>332431</v>
      </c>
      <c r="G49" s="4">
        <f t="shared" si="1"/>
        <v>636926</v>
      </c>
      <c r="H49" s="4">
        <f t="shared" si="1"/>
        <v>142068</v>
      </c>
      <c r="I49" s="4">
        <f t="shared" si="1"/>
        <v>297798</v>
      </c>
      <c r="J49" s="4">
        <f>SUM(J24:J48)</f>
        <v>640473</v>
      </c>
      <c r="K49" s="4"/>
      <c r="L49" s="7"/>
      <c r="M49" s="7"/>
      <c r="N49" s="7"/>
      <c r="O49" s="7"/>
    </row>
    <row r="50" spans="1:15" ht="12.75">
      <c r="A50" s="1">
        <v>44</v>
      </c>
      <c r="L50" s="7"/>
      <c r="M50" s="7"/>
      <c r="N50" s="7"/>
      <c r="O50" s="7"/>
    </row>
    <row r="51" spans="1:15" ht="12.75">
      <c r="A51" s="1">
        <v>45</v>
      </c>
      <c r="B51" s="5" t="s">
        <v>547</v>
      </c>
      <c r="C51" s="5"/>
      <c r="D51" s="4">
        <f aca="true" t="shared" si="2" ref="D51:J51">SUM(D49+D20)</f>
        <v>329964</v>
      </c>
      <c r="E51" s="4">
        <f t="shared" si="2"/>
        <v>357586</v>
      </c>
      <c r="F51" s="4">
        <f t="shared" si="2"/>
        <v>391575</v>
      </c>
      <c r="G51" s="4">
        <f t="shared" si="2"/>
        <v>695817</v>
      </c>
      <c r="H51" s="4">
        <f t="shared" si="2"/>
        <v>143071</v>
      </c>
      <c r="I51" s="4">
        <f t="shared" si="2"/>
        <v>307606</v>
      </c>
      <c r="J51" s="4">
        <f t="shared" si="2"/>
        <v>680074</v>
      </c>
      <c r="K51" s="4">
        <f>J51-J47-J46-J18</f>
        <v>329221</v>
      </c>
      <c r="L51" s="7"/>
      <c r="M51" s="7"/>
      <c r="N51" s="7"/>
      <c r="O51" s="7"/>
    </row>
    <row r="52" spans="1:15" ht="12.75">
      <c r="A52" s="1">
        <v>46</v>
      </c>
      <c r="L52" s="7"/>
      <c r="M52" s="7"/>
      <c r="N52" s="7"/>
      <c r="O52" s="7"/>
    </row>
    <row r="53" spans="1:15" ht="12.75">
      <c r="A53" s="1">
        <v>47</v>
      </c>
      <c r="L53" s="7"/>
      <c r="M53" s="7"/>
      <c r="N53" s="7"/>
      <c r="O53" s="7"/>
    </row>
    <row r="54" spans="1:15" ht="12.75">
      <c r="A54" s="1">
        <v>48</v>
      </c>
      <c r="B54" s="744" t="s">
        <v>1275</v>
      </c>
      <c r="C54" s="745"/>
      <c r="G54" s="4"/>
      <c r="L54" s="7"/>
      <c r="M54" s="7"/>
      <c r="N54" s="7"/>
      <c r="O54" s="7"/>
    </row>
    <row r="55" spans="1:15" ht="12.75">
      <c r="A55" s="1">
        <v>49</v>
      </c>
      <c r="B55" s="1">
        <v>851011</v>
      </c>
      <c r="C55" s="1" t="s">
        <v>544</v>
      </c>
      <c r="E55" s="1">
        <v>1</v>
      </c>
      <c r="F55" s="1">
        <v>1</v>
      </c>
      <c r="G55" s="1">
        <v>2</v>
      </c>
      <c r="H55" s="1">
        <v>1</v>
      </c>
      <c r="I55" s="1">
        <v>1</v>
      </c>
      <c r="J55" s="1">
        <v>2</v>
      </c>
      <c r="L55" s="7"/>
      <c r="M55" s="7"/>
      <c r="N55" s="7"/>
      <c r="O55" s="7"/>
    </row>
    <row r="56" spans="1:15" ht="12.75">
      <c r="A56" s="1">
        <v>50</v>
      </c>
      <c r="C56" s="1" t="s">
        <v>1274</v>
      </c>
      <c r="F56" s="1">
        <v>847</v>
      </c>
      <c r="G56" s="1">
        <v>847</v>
      </c>
      <c r="I56" s="1">
        <v>847</v>
      </c>
      <c r="J56" s="1">
        <v>847</v>
      </c>
      <c r="L56" s="7"/>
      <c r="M56" s="7"/>
      <c r="N56" s="7"/>
      <c r="O56" s="7"/>
    </row>
    <row r="57" spans="1:15" ht="12.75">
      <c r="A57" s="1">
        <v>51</v>
      </c>
      <c r="B57" s="192" t="s">
        <v>1374</v>
      </c>
      <c r="C57" s="261"/>
      <c r="F57" s="1">
        <f>SUM(F55:F56)</f>
        <v>848</v>
      </c>
      <c r="G57" s="1">
        <f>SUM(G55:G56)</f>
        <v>849</v>
      </c>
      <c r="H57" s="1">
        <f>SUM(H55:H56)</f>
        <v>1</v>
      </c>
      <c r="I57" s="1">
        <f>SUM(I55:I56)</f>
        <v>848</v>
      </c>
      <c r="J57" s="1">
        <f>SUM(J55:J56)</f>
        <v>849</v>
      </c>
      <c r="L57" s="7"/>
      <c r="M57" s="7"/>
      <c r="N57" s="7"/>
      <c r="O57" s="7"/>
    </row>
    <row r="58" spans="1:15" ht="12.75">
      <c r="A58" s="1">
        <v>52</v>
      </c>
      <c r="L58" s="7"/>
      <c r="M58" s="7"/>
      <c r="N58" s="7"/>
      <c r="O58" s="7"/>
    </row>
    <row r="59" spans="1:15" ht="12.75">
      <c r="A59" s="1">
        <v>53</v>
      </c>
      <c r="B59" s="738" t="s">
        <v>548</v>
      </c>
      <c r="C59" s="743"/>
      <c r="L59" s="7"/>
      <c r="M59" s="7"/>
      <c r="N59" s="7"/>
      <c r="O59" s="7"/>
    </row>
    <row r="60" spans="1:15" ht="12.75">
      <c r="A60" s="1">
        <v>54</v>
      </c>
      <c r="L60" s="7"/>
      <c r="M60" s="7"/>
      <c r="N60" s="7"/>
      <c r="O60" s="7"/>
    </row>
    <row r="61" spans="1:15" ht="12.75">
      <c r="A61" s="1">
        <v>55</v>
      </c>
      <c r="B61" s="2" t="s">
        <v>536</v>
      </c>
      <c r="C61" s="2"/>
      <c r="L61" s="7"/>
      <c r="M61" s="7"/>
      <c r="N61" s="7"/>
      <c r="O61" s="7"/>
    </row>
    <row r="62" spans="1:15" ht="12.75">
      <c r="A62" s="1">
        <v>56</v>
      </c>
      <c r="K62" s="1" t="s">
        <v>703</v>
      </c>
      <c r="L62" s="7"/>
      <c r="M62" s="7"/>
      <c r="N62" s="7"/>
      <c r="O62" s="7"/>
    </row>
    <row r="63" spans="1:15" ht="12.75">
      <c r="A63" s="1">
        <v>57</v>
      </c>
      <c r="B63" s="1">
        <v>682001</v>
      </c>
      <c r="C63" s="1" t="s">
        <v>549</v>
      </c>
      <c r="D63" s="4">
        <v>2900</v>
      </c>
      <c r="E63" s="4">
        <v>2900</v>
      </c>
      <c r="F63" s="4">
        <v>2645</v>
      </c>
      <c r="G63" s="4">
        <v>2963</v>
      </c>
      <c r="H63" s="1">
        <f>1126+35</f>
        <v>1161</v>
      </c>
      <c r="I63" s="1">
        <v>2077</v>
      </c>
      <c r="J63" s="1">
        <f>2897+66</f>
        <v>2963</v>
      </c>
      <c r="K63" s="1" t="s">
        <v>703</v>
      </c>
      <c r="L63" s="7"/>
      <c r="M63" s="7"/>
      <c r="N63" s="7"/>
      <c r="O63" s="7"/>
    </row>
    <row r="64" spans="1:15" ht="12.75">
      <c r="A64" s="1">
        <v>58</v>
      </c>
      <c r="B64" s="1">
        <v>680002</v>
      </c>
      <c r="C64" s="1" t="s">
        <v>550</v>
      </c>
      <c r="D64" s="4">
        <v>6645</v>
      </c>
      <c r="E64" s="4">
        <v>6645</v>
      </c>
      <c r="F64" s="4">
        <v>6645</v>
      </c>
      <c r="G64" s="4">
        <v>8510</v>
      </c>
      <c r="H64" s="1">
        <v>4412</v>
      </c>
      <c r="I64" s="1">
        <v>7491</v>
      </c>
      <c r="J64" s="1">
        <v>8510</v>
      </c>
      <c r="L64" s="7"/>
      <c r="M64" s="7"/>
      <c r="N64" s="7"/>
      <c r="O64" s="7"/>
    </row>
    <row r="65" spans="1:15" ht="12.75">
      <c r="A65" s="1">
        <v>59</v>
      </c>
      <c r="B65" s="1">
        <v>680002</v>
      </c>
      <c r="C65" s="1" t="s">
        <v>1276</v>
      </c>
      <c r="D65" s="4">
        <v>200</v>
      </c>
      <c r="E65" s="4">
        <v>200</v>
      </c>
      <c r="F65" s="4">
        <v>200</v>
      </c>
      <c r="G65" s="4">
        <v>164</v>
      </c>
      <c r="J65" s="1">
        <v>164</v>
      </c>
      <c r="L65" s="7"/>
      <c r="M65" s="7"/>
      <c r="N65" s="7"/>
      <c r="O65" s="7"/>
    </row>
    <row r="66" spans="1:15" ht="12.75">
      <c r="A66" s="1">
        <v>60</v>
      </c>
      <c r="B66" s="1">
        <v>841403</v>
      </c>
      <c r="C66" s="1" t="s">
        <v>1277</v>
      </c>
      <c r="D66" s="4">
        <v>673</v>
      </c>
      <c r="E66" s="4">
        <v>673</v>
      </c>
      <c r="F66" s="4">
        <v>1896</v>
      </c>
      <c r="G66" s="4">
        <v>1896</v>
      </c>
      <c r="H66" s="1">
        <f>673+1223+25</f>
        <v>1921</v>
      </c>
      <c r="I66" s="1">
        <v>1921</v>
      </c>
      <c r="J66" s="1">
        <v>1896</v>
      </c>
      <c r="L66" s="7"/>
      <c r="M66" s="7"/>
      <c r="N66" s="7"/>
      <c r="O66" s="7"/>
    </row>
    <row r="67" spans="1:15" ht="12.75">
      <c r="A67" s="1">
        <v>61</v>
      </c>
      <c r="C67" s="1" t="s">
        <v>1395</v>
      </c>
      <c r="D67" s="4"/>
      <c r="E67" s="4"/>
      <c r="F67" s="4"/>
      <c r="G67" s="4">
        <v>214</v>
      </c>
      <c r="J67" s="1">
        <v>214</v>
      </c>
      <c r="K67" s="1" t="s">
        <v>703</v>
      </c>
      <c r="L67" s="7"/>
      <c r="M67" s="7"/>
      <c r="N67" s="7"/>
      <c r="O67" s="7"/>
    </row>
    <row r="68" spans="1:15" ht="12.75">
      <c r="A68" s="1">
        <v>62</v>
      </c>
      <c r="B68" s="1">
        <v>682002</v>
      </c>
      <c r="C68" s="1" t="s">
        <v>551</v>
      </c>
      <c r="D68" s="4">
        <v>4826</v>
      </c>
      <c r="E68" s="4">
        <v>4826</v>
      </c>
      <c r="F68" s="4">
        <v>4826</v>
      </c>
      <c r="G68" s="4">
        <v>4620</v>
      </c>
      <c r="H68" s="1">
        <v>1921</v>
      </c>
      <c r="I68" s="1">
        <v>3406</v>
      </c>
      <c r="J68" s="1">
        <f>4457+230-66-1</f>
        <v>4620</v>
      </c>
      <c r="L68" s="7"/>
      <c r="M68" s="7"/>
      <c r="N68" s="7"/>
      <c r="O68" s="7"/>
    </row>
    <row r="69" spans="1:15" ht="12.75">
      <c r="A69" s="1">
        <v>63</v>
      </c>
      <c r="B69" s="1">
        <v>682002</v>
      </c>
      <c r="C69" s="1" t="s">
        <v>552</v>
      </c>
      <c r="D69" s="4">
        <v>1500</v>
      </c>
      <c r="E69" s="4">
        <v>1500</v>
      </c>
      <c r="F69" s="4">
        <v>1500</v>
      </c>
      <c r="G69" s="4">
        <v>1500</v>
      </c>
      <c r="H69" s="1">
        <v>1800</v>
      </c>
      <c r="I69" s="1">
        <v>1500</v>
      </c>
      <c r="J69" s="1">
        <v>1500</v>
      </c>
      <c r="L69" s="7"/>
      <c r="M69" s="7"/>
      <c r="N69" s="7"/>
      <c r="O69" s="7"/>
    </row>
    <row r="70" spans="1:15" ht="12.75">
      <c r="A70" s="1">
        <v>64</v>
      </c>
      <c r="B70" s="1">
        <v>910502</v>
      </c>
      <c r="C70" s="1" t="s">
        <v>553</v>
      </c>
      <c r="D70" s="4">
        <v>380</v>
      </c>
      <c r="E70" s="4">
        <v>380</v>
      </c>
      <c r="F70" s="4">
        <v>380</v>
      </c>
      <c r="G70" s="4">
        <v>683</v>
      </c>
      <c r="H70" s="1">
        <v>175</v>
      </c>
      <c r="I70" s="1">
        <v>593</v>
      </c>
      <c r="J70" s="1">
        <v>683</v>
      </c>
      <c r="L70" s="7"/>
      <c r="M70" s="7"/>
      <c r="N70" s="7"/>
      <c r="O70" s="7"/>
    </row>
    <row r="71" spans="1:15" ht="12.75">
      <c r="A71" s="1">
        <v>65</v>
      </c>
      <c r="B71" s="1">
        <v>370000</v>
      </c>
      <c r="C71" s="1" t="s">
        <v>554</v>
      </c>
      <c r="D71" s="4">
        <v>7209</v>
      </c>
      <c r="E71" s="4">
        <v>7209</v>
      </c>
      <c r="F71" s="4">
        <v>10781</v>
      </c>
      <c r="G71" s="4">
        <v>10718</v>
      </c>
      <c r="H71" s="1">
        <v>7145</v>
      </c>
      <c r="I71" s="1">
        <v>8931</v>
      </c>
      <c r="J71" s="1">
        <v>10718</v>
      </c>
      <c r="K71" s="1" t="s">
        <v>703</v>
      </c>
      <c r="L71" s="7"/>
      <c r="M71" s="7"/>
      <c r="N71" s="7"/>
      <c r="O71" s="7"/>
    </row>
    <row r="72" spans="1:15" ht="12.75">
      <c r="A72" s="1">
        <v>66</v>
      </c>
      <c r="B72" s="1">
        <v>841154</v>
      </c>
      <c r="C72" s="1" t="s">
        <v>1375</v>
      </c>
      <c r="G72" s="1">
        <v>817</v>
      </c>
      <c r="H72" s="1">
        <v>39</v>
      </c>
      <c r="I72" s="1">
        <v>50</v>
      </c>
      <c r="J72" s="1">
        <v>817</v>
      </c>
      <c r="L72" s="7"/>
      <c r="M72" s="7"/>
      <c r="N72" s="7"/>
      <c r="O72" s="7"/>
    </row>
    <row r="73" spans="1:15" ht="12.75">
      <c r="A73" s="1">
        <v>67</v>
      </c>
      <c r="B73" s="1">
        <v>940000</v>
      </c>
      <c r="C73" s="1" t="s">
        <v>555</v>
      </c>
      <c r="D73" s="4">
        <v>475</v>
      </c>
      <c r="E73" s="4">
        <v>475</v>
      </c>
      <c r="F73" s="4">
        <v>475</v>
      </c>
      <c r="G73" s="4">
        <v>370</v>
      </c>
      <c r="H73" s="1">
        <v>65</v>
      </c>
      <c r="I73" s="1">
        <v>395</v>
      </c>
      <c r="J73" s="1">
        <v>370</v>
      </c>
      <c r="K73" s="1" t="s">
        <v>703</v>
      </c>
      <c r="L73" s="7"/>
      <c r="M73" s="7"/>
      <c r="N73" s="7"/>
      <c r="O73" s="7"/>
    </row>
    <row r="74" spans="1:15" ht="12.75">
      <c r="A74" s="1">
        <v>68</v>
      </c>
      <c r="B74" s="1">
        <v>862102</v>
      </c>
      <c r="C74" s="1" t="s">
        <v>1376</v>
      </c>
      <c r="D74" s="4"/>
      <c r="E74" s="4"/>
      <c r="F74" s="4"/>
      <c r="G74" s="4">
        <v>51</v>
      </c>
      <c r="I74" s="1">
        <v>51</v>
      </c>
      <c r="J74" s="1">
        <v>51</v>
      </c>
      <c r="L74" s="7"/>
      <c r="M74" s="7"/>
      <c r="N74" s="7"/>
      <c r="O74" s="7"/>
    </row>
    <row r="75" spans="1:15" ht="12.75">
      <c r="A75" s="1">
        <v>69</v>
      </c>
      <c r="B75" s="1">
        <v>852011</v>
      </c>
      <c r="C75" s="1" t="s">
        <v>1377</v>
      </c>
      <c r="D75" s="4"/>
      <c r="E75" s="4"/>
      <c r="F75" s="4"/>
      <c r="G75" s="4">
        <v>50</v>
      </c>
      <c r="I75" s="1">
        <v>30</v>
      </c>
      <c r="J75" s="1">
        <v>50</v>
      </c>
      <c r="L75" s="7"/>
      <c r="M75" s="7"/>
      <c r="N75" s="7"/>
      <c r="O75" s="7"/>
    </row>
    <row r="76" spans="1:15" ht="12.75">
      <c r="A76" s="1">
        <v>70</v>
      </c>
      <c r="B76" s="1">
        <v>841154</v>
      </c>
      <c r="C76" s="1" t="s">
        <v>1274</v>
      </c>
      <c r="D76" s="4">
        <v>15489</v>
      </c>
      <c r="E76" s="4">
        <v>15489</v>
      </c>
      <c r="F76" s="4">
        <v>19133</v>
      </c>
      <c r="G76" s="4">
        <v>15489</v>
      </c>
      <c r="H76" s="1">
        <v>15489</v>
      </c>
      <c r="I76" s="1">
        <v>19133</v>
      </c>
      <c r="J76" s="1">
        <v>15489</v>
      </c>
      <c r="L76" s="7"/>
      <c r="M76" s="7"/>
      <c r="N76" s="7"/>
      <c r="O76" s="7"/>
    </row>
    <row r="77" spans="1:15" ht="12.75">
      <c r="A77" s="1">
        <v>71</v>
      </c>
      <c r="B77" s="5"/>
      <c r="C77" s="5"/>
      <c r="L77" s="7"/>
      <c r="M77" s="7"/>
      <c r="N77" s="7"/>
      <c r="O77" s="7"/>
    </row>
    <row r="78" spans="1:15" ht="12.75">
      <c r="A78" s="1">
        <v>72</v>
      </c>
      <c r="B78" s="5"/>
      <c r="C78" s="5"/>
      <c r="L78" s="7"/>
      <c r="M78" s="7"/>
      <c r="N78" s="7"/>
      <c r="O78" s="7"/>
    </row>
    <row r="79" spans="1:15" ht="12.75">
      <c r="A79" s="1">
        <v>73</v>
      </c>
      <c r="B79" s="1">
        <v>562912</v>
      </c>
      <c r="C79" s="1" t="s">
        <v>556</v>
      </c>
      <c r="D79" s="7">
        <v>2098</v>
      </c>
      <c r="E79" s="7">
        <v>2098</v>
      </c>
      <c r="F79" s="7">
        <v>2098</v>
      </c>
      <c r="G79" s="7">
        <v>2195</v>
      </c>
      <c r="H79" s="1">
        <v>1279</v>
      </c>
      <c r="I79" s="1">
        <v>1669</v>
      </c>
      <c r="J79" s="1">
        <v>2195</v>
      </c>
      <c r="K79" s="1" t="s">
        <v>703</v>
      </c>
      <c r="L79" s="7"/>
      <c r="M79" s="7"/>
      <c r="N79" s="7"/>
      <c r="O79" s="7"/>
    </row>
    <row r="80" spans="1:15" ht="12.75">
      <c r="A80" s="1">
        <v>74</v>
      </c>
      <c r="B80" s="1">
        <v>562913</v>
      </c>
      <c r="C80" s="1" t="s">
        <v>557</v>
      </c>
      <c r="D80" s="4">
        <v>3861</v>
      </c>
      <c r="E80" s="4">
        <v>3861</v>
      </c>
      <c r="F80" s="4">
        <v>3861</v>
      </c>
      <c r="G80" s="4">
        <v>5620</v>
      </c>
      <c r="H80" s="1">
        <v>2959</v>
      </c>
      <c r="I80" s="1">
        <v>3704</v>
      </c>
      <c r="J80" s="1">
        <v>5621</v>
      </c>
      <c r="K80" s="1" t="s">
        <v>703</v>
      </c>
      <c r="L80" s="7"/>
      <c r="M80" s="7"/>
      <c r="N80" s="7"/>
      <c r="O80" s="7"/>
    </row>
    <row r="81" spans="1:15" ht="12.75">
      <c r="A81" s="1">
        <v>75</v>
      </c>
      <c r="B81" s="1">
        <v>562917</v>
      </c>
      <c r="C81" s="1" t="s">
        <v>558</v>
      </c>
      <c r="D81" s="1">
        <v>4467</v>
      </c>
      <c r="E81" s="1">
        <v>4467</v>
      </c>
      <c r="F81" s="1">
        <v>4467</v>
      </c>
      <c r="G81" s="1">
        <v>4577</v>
      </c>
      <c r="H81" s="1">
        <v>2433</v>
      </c>
      <c r="I81" s="1">
        <v>3382</v>
      </c>
      <c r="J81" s="1">
        <v>4577</v>
      </c>
      <c r="L81" s="7"/>
      <c r="M81" s="7"/>
      <c r="N81" s="7"/>
      <c r="O81" s="7"/>
    </row>
    <row r="82" spans="1:15" ht="12.75">
      <c r="A82" s="1">
        <v>76</v>
      </c>
      <c r="B82" s="1">
        <v>889921</v>
      </c>
      <c r="C82" s="1" t="s">
        <v>559</v>
      </c>
      <c r="D82" s="7">
        <v>1815</v>
      </c>
      <c r="E82" s="7">
        <v>1815</v>
      </c>
      <c r="F82" s="7">
        <v>1815</v>
      </c>
      <c r="G82" s="7">
        <v>2233</v>
      </c>
      <c r="H82" s="1">
        <v>1221</v>
      </c>
      <c r="I82" s="1">
        <v>1704</v>
      </c>
      <c r="J82" s="1">
        <v>2233</v>
      </c>
      <c r="K82" s="1" t="s">
        <v>703</v>
      </c>
      <c r="L82" s="7"/>
      <c r="M82" s="7"/>
      <c r="N82" s="7"/>
      <c r="O82" s="7"/>
    </row>
    <row r="83" spans="1:15" ht="12.75">
      <c r="A83" s="1">
        <v>77</v>
      </c>
      <c r="B83" s="1">
        <v>562916</v>
      </c>
      <c r="C83" s="1" t="s">
        <v>1278</v>
      </c>
      <c r="D83" s="7">
        <v>4798</v>
      </c>
      <c r="E83" s="7">
        <v>4798</v>
      </c>
      <c r="F83" s="7">
        <v>4798</v>
      </c>
      <c r="G83" s="7">
        <v>5750</v>
      </c>
      <c r="H83" s="1">
        <v>2616</v>
      </c>
      <c r="I83" s="1">
        <v>5305</v>
      </c>
      <c r="J83" s="1">
        <v>5750</v>
      </c>
      <c r="L83" s="7"/>
      <c r="M83" s="7"/>
      <c r="N83" s="7"/>
      <c r="O83" s="7"/>
    </row>
    <row r="84" spans="1:15" ht="12.75">
      <c r="A84" s="1">
        <v>78</v>
      </c>
      <c r="B84" s="1">
        <v>381103</v>
      </c>
      <c r="C84" s="1" t="s">
        <v>560</v>
      </c>
      <c r="D84" s="4">
        <v>2184</v>
      </c>
      <c r="E84" s="4">
        <v>2184</v>
      </c>
      <c r="F84" s="4">
        <v>2184</v>
      </c>
      <c r="G84" s="4">
        <v>3940</v>
      </c>
      <c r="H84" s="1">
        <f>27+1310</f>
        <v>1337</v>
      </c>
      <c r="I84" s="1">
        <v>2114</v>
      </c>
      <c r="J84" s="1">
        <v>3940</v>
      </c>
      <c r="L84" s="7"/>
      <c r="M84" s="7"/>
      <c r="N84" s="7"/>
      <c r="O84" s="7"/>
    </row>
    <row r="85" spans="1:15" ht="12.75">
      <c r="A85" s="1">
        <v>79</v>
      </c>
      <c r="B85" s="1">
        <v>813000</v>
      </c>
      <c r="C85" s="1" t="s">
        <v>761</v>
      </c>
      <c r="D85" s="4"/>
      <c r="E85" s="4"/>
      <c r="F85" s="4"/>
      <c r="G85" s="4">
        <v>280</v>
      </c>
      <c r="H85" s="1">
        <v>48</v>
      </c>
      <c r="I85" s="1">
        <v>244</v>
      </c>
      <c r="J85" s="1">
        <v>280</v>
      </c>
      <c r="L85" s="7"/>
      <c r="M85" s="7"/>
      <c r="N85" s="7"/>
      <c r="O85" s="7"/>
    </row>
    <row r="86" spans="1:15" ht="12.75">
      <c r="A86" s="1">
        <v>80</v>
      </c>
      <c r="B86" s="1">
        <v>811000</v>
      </c>
      <c r="C86" s="1" t="s">
        <v>1279</v>
      </c>
      <c r="D86" s="4"/>
      <c r="E86" s="4"/>
      <c r="F86" s="4">
        <v>610</v>
      </c>
      <c r="G86" s="4">
        <v>610</v>
      </c>
      <c r="H86" s="1">
        <v>610</v>
      </c>
      <c r="I86" s="1">
        <v>610</v>
      </c>
      <c r="J86" s="1">
        <v>610</v>
      </c>
      <c r="L86" s="7"/>
      <c r="M86" s="7"/>
      <c r="N86" s="7"/>
      <c r="O86" s="7"/>
    </row>
    <row r="87" spans="1:15" ht="12.75">
      <c r="A87" s="1">
        <v>81</v>
      </c>
      <c r="B87" s="1">
        <v>960302</v>
      </c>
      <c r="C87" s="1" t="s">
        <v>561</v>
      </c>
      <c r="D87" s="4">
        <v>150</v>
      </c>
      <c r="E87" s="4">
        <v>150</v>
      </c>
      <c r="F87" s="4">
        <v>150</v>
      </c>
      <c r="G87" s="4">
        <v>195</v>
      </c>
      <c r="H87" s="1">
        <v>89</v>
      </c>
      <c r="I87" s="1">
        <v>120</v>
      </c>
      <c r="J87" s="1">
        <v>195</v>
      </c>
      <c r="L87" s="7"/>
      <c r="M87" s="7"/>
      <c r="N87" s="7"/>
      <c r="O87" s="7"/>
    </row>
    <row r="88" spans="1:15" ht="12.75">
      <c r="A88" s="1">
        <v>82</v>
      </c>
      <c r="B88" s="1">
        <v>890442</v>
      </c>
      <c r="C88" s="1" t="s">
        <v>562</v>
      </c>
      <c r="D88" s="4">
        <v>3059</v>
      </c>
      <c r="E88" s="4">
        <v>3059</v>
      </c>
      <c r="F88" s="4">
        <v>3059</v>
      </c>
      <c r="G88" s="4">
        <v>6256</v>
      </c>
      <c r="H88" s="1">
        <v>2706</v>
      </c>
      <c r="I88" s="1">
        <v>4529</v>
      </c>
      <c r="J88" s="1">
        <v>6256</v>
      </c>
      <c r="K88" s="1" t="s">
        <v>703</v>
      </c>
      <c r="L88" s="7"/>
      <c r="M88" s="7"/>
      <c r="N88" s="7"/>
      <c r="O88" s="7"/>
    </row>
    <row r="89" spans="1:15" ht="12.75">
      <c r="A89" s="1">
        <v>83</v>
      </c>
      <c r="L89" s="7"/>
      <c r="M89" s="7"/>
      <c r="N89" s="7"/>
      <c r="O89" s="7"/>
    </row>
    <row r="90" spans="1:15" ht="12.75">
      <c r="A90" s="1">
        <v>84</v>
      </c>
      <c r="B90" s="5" t="s">
        <v>1280</v>
      </c>
      <c r="C90" s="5"/>
      <c r="D90" s="4">
        <f aca="true" t="shared" si="3" ref="D90:J90">SUM(D63:D89)</f>
        <v>62729</v>
      </c>
      <c r="E90" s="4">
        <f t="shared" si="3"/>
        <v>62729</v>
      </c>
      <c r="F90" s="4">
        <f t="shared" si="3"/>
        <v>71523</v>
      </c>
      <c r="G90" s="4">
        <f t="shared" si="3"/>
        <v>79701</v>
      </c>
      <c r="H90" s="4">
        <f t="shared" si="3"/>
        <v>49426</v>
      </c>
      <c r="I90" s="4">
        <f t="shared" si="3"/>
        <v>68959</v>
      </c>
      <c r="J90" s="4">
        <f t="shared" si="3"/>
        <v>79702</v>
      </c>
      <c r="K90" s="4"/>
      <c r="L90" s="7"/>
      <c r="M90" s="7"/>
      <c r="N90" s="7"/>
      <c r="O90" s="7"/>
    </row>
    <row r="91" spans="1:15" ht="12.75">
      <c r="A91" s="1">
        <v>85</v>
      </c>
      <c r="B91" s="5"/>
      <c r="C91" s="5"/>
      <c r="D91" s="4"/>
      <c r="E91" s="4"/>
      <c r="F91" s="4"/>
      <c r="G91" s="4"/>
      <c r="H91" s="4"/>
      <c r="I91" s="4"/>
      <c r="J91" s="4"/>
      <c r="K91" s="4"/>
      <c r="L91" s="7"/>
      <c r="M91" s="7"/>
      <c r="N91" s="7"/>
      <c r="O91" s="7"/>
    </row>
    <row r="92" spans="1:15" ht="12.75">
      <c r="A92" s="1">
        <v>86</v>
      </c>
      <c r="G92" s="4"/>
      <c r="J92" s="4"/>
      <c r="K92" s="4"/>
      <c r="L92" s="7"/>
      <c r="M92" s="7"/>
      <c r="N92" s="7"/>
      <c r="O92" s="7"/>
    </row>
    <row r="93" spans="1:15" ht="12.75">
      <c r="A93" s="1">
        <v>87</v>
      </c>
      <c r="B93" s="1" t="s">
        <v>1281</v>
      </c>
      <c r="D93" s="4">
        <f>D90+D55+D49</f>
        <v>365797</v>
      </c>
      <c r="E93" s="4">
        <f>E90+E55+E49</f>
        <v>388170</v>
      </c>
      <c r="F93" s="4">
        <f>F90+F57+F49</f>
        <v>404802</v>
      </c>
      <c r="G93" s="4">
        <f>G90+G57+G49</f>
        <v>717476</v>
      </c>
      <c r="H93" s="4">
        <f>H90+H55+H49</f>
        <v>191495</v>
      </c>
      <c r="I93" s="4">
        <f>I90+I55+I49</f>
        <v>366758</v>
      </c>
      <c r="J93" s="4">
        <f>J90+J57+J49</f>
        <v>721024</v>
      </c>
      <c r="K93" s="4"/>
      <c r="L93" s="7"/>
      <c r="M93" s="7"/>
      <c r="N93" s="7"/>
      <c r="O93" s="7"/>
    </row>
    <row r="94" spans="1:15" ht="12.75">
      <c r="A94" s="1">
        <v>88</v>
      </c>
      <c r="L94" s="7"/>
      <c r="M94" s="7"/>
      <c r="N94" s="7"/>
      <c r="O94" s="7"/>
    </row>
    <row r="95" spans="1:15" ht="12.75">
      <c r="A95" s="1">
        <v>89</v>
      </c>
      <c r="B95" s="1" t="s">
        <v>563</v>
      </c>
      <c r="D95" s="4">
        <f aca="true" t="shared" si="4" ref="D95:J95">D93+D20</f>
        <v>392693</v>
      </c>
      <c r="E95" s="4">
        <f t="shared" si="4"/>
        <v>420316</v>
      </c>
      <c r="F95" s="4">
        <f t="shared" si="4"/>
        <v>463946</v>
      </c>
      <c r="G95" s="4">
        <f t="shared" si="4"/>
        <v>776367</v>
      </c>
      <c r="H95" s="4">
        <f t="shared" si="4"/>
        <v>192498</v>
      </c>
      <c r="I95" s="4">
        <f t="shared" si="4"/>
        <v>376566</v>
      </c>
      <c r="J95" s="4">
        <f t="shared" si="4"/>
        <v>760625</v>
      </c>
      <c r="K95" s="4"/>
      <c r="L95" s="7"/>
      <c r="M95" s="7"/>
      <c r="N95" s="7"/>
      <c r="O95" s="7"/>
    </row>
    <row r="98" spans="6:11" ht="12.75">
      <c r="F98" s="4"/>
      <c r="G98" s="4"/>
      <c r="I98" s="4"/>
      <c r="J98" s="4"/>
      <c r="K98" s="4"/>
    </row>
    <row r="101" spans="6:11" ht="12.75">
      <c r="F101" s="4"/>
      <c r="G101" s="4"/>
      <c r="I101" s="4"/>
      <c r="J101" s="4"/>
      <c r="K101" s="4"/>
    </row>
  </sheetData>
  <sheetProtection/>
  <mergeCells count="4">
    <mergeCell ref="B5:C5"/>
    <mergeCell ref="A2:C2"/>
    <mergeCell ref="B59:C59"/>
    <mergeCell ref="B54:C54"/>
  </mergeCells>
  <printOptions/>
  <pageMargins left="0.7" right="0.7" top="0.75" bottom="0.75" header="0.3" footer="0.3"/>
  <pageSetup horizontalDpi="200" verticalDpi="200" orientation="portrait" paperSize="9" scale="69" r:id="rId1"/>
  <rowBreaks count="1" manualBreakCount="1">
    <brk id="5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F167"/>
  <sheetViews>
    <sheetView view="pageBreakPreview" zoomScale="60" zoomScalePageLayoutView="0" workbookViewId="0" topLeftCell="A1">
      <selection activeCell="B162" sqref="B162:F168"/>
    </sheetView>
  </sheetViews>
  <sheetFormatPr defaultColWidth="9.140625" defaultRowHeight="15"/>
  <cols>
    <col min="2" max="2" width="6.8515625" style="0" customWidth="1"/>
    <col min="3" max="3" width="35.57421875" style="0" customWidth="1"/>
    <col min="4" max="4" width="10.8515625" style="0" customWidth="1"/>
    <col min="6" max="6" width="10.8515625" style="0" customWidth="1"/>
  </cols>
  <sheetData>
    <row r="1" ht="15">
      <c r="B1" t="s">
        <v>447</v>
      </c>
    </row>
    <row r="2" spans="2:6" ht="42.75" customHeight="1">
      <c r="B2" s="771" t="s">
        <v>403</v>
      </c>
      <c r="C2" s="771"/>
      <c r="D2" s="771"/>
      <c r="E2" s="771"/>
      <c r="F2" s="771"/>
    </row>
    <row r="3" spans="2:6" ht="12.75" customHeight="1">
      <c r="B3" s="775"/>
      <c r="C3" s="775"/>
      <c r="D3" s="775"/>
      <c r="E3" s="775"/>
      <c r="F3" s="775"/>
    </row>
    <row r="4" spans="2:6" ht="30">
      <c r="B4" s="546"/>
      <c r="C4" s="546" t="s">
        <v>617</v>
      </c>
      <c r="D4" s="546" t="s">
        <v>273</v>
      </c>
      <c r="E4" s="546" t="s">
        <v>274</v>
      </c>
      <c r="F4" s="546" t="s">
        <v>275</v>
      </c>
    </row>
    <row r="5" spans="2:6" ht="15">
      <c r="B5" s="547" t="s">
        <v>1735</v>
      </c>
      <c r="C5" s="536" t="s">
        <v>118</v>
      </c>
      <c r="D5" s="548"/>
      <c r="E5" s="548"/>
      <c r="F5" s="548"/>
    </row>
    <row r="6" spans="2:6" ht="28.5" customHeight="1">
      <c r="B6" s="549" t="s">
        <v>235</v>
      </c>
      <c r="C6" s="532" t="s">
        <v>1736</v>
      </c>
      <c r="D6" s="533">
        <v>1398</v>
      </c>
      <c r="E6" s="533">
        <v>0</v>
      </c>
      <c r="F6" s="533">
        <v>0</v>
      </c>
    </row>
    <row r="7" spans="2:6" ht="27.75" customHeight="1">
      <c r="B7" s="549" t="s">
        <v>237</v>
      </c>
      <c r="C7" s="532" t="s">
        <v>1737</v>
      </c>
      <c r="D7" s="533">
        <v>38934</v>
      </c>
      <c r="E7" s="533">
        <v>0</v>
      </c>
      <c r="F7" s="533">
        <v>25501</v>
      </c>
    </row>
    <row r="8" spans="2:6" ht="29.25" customHeight="1">
      <c r="B8" s="549" t="s">
        <v>239</v>
      </c>
      <c r="C8" s="532" t="s">
        <v>1738</v>
      </c>
      <c r="D8" s="533">
        <v>0</v>
      </c>
      <c r="E8" s="533">
        <v>0</v>
      </c>
      <c r="F8" s="533">
        <v>0</v>
      </c>
    </row>
    <row r="9" spans="2:6" ht="30.75" customHeight="1">
      <c r="B9" s="547" t="s">
        <v>241</v>
      </c>
      <c r="C9" s="536" t="s">
        <v>1739</v>
      </c>
      <c r="D9" s="537">
        <f>SUM(D6:D8)</f>
        <v>40332</v>
      </c>
      <c r="E9" s="537">
        <f>SUM(E6:E8)</f>
        <v>0</v>
      </c>
      <c r="F9" s="537">
        <f>SUM(F6:F8)</f>
        <v>25501</v>
      </c>
    </row>
    <row r="10" spans="2:6" ht="37.5" customHeight="1">
      <c r="B10" s="549" t="s">
        <v>243</v>
      </c>
      <c r="C10" s="532" t="s">
        <v>1740</v>
      </c>
      <c r="D10" s="533">
        <v>3418859</v>
      </c>
      <c r="E10" s="533">
        <v>0</v>
      </c>
      <c r="F10" s="533">
        <v>3385100</v>
      </c>
    </row>
    <row r="11" spans="2:6" ht="35.25" customHeight="1">
      <c r="B11" s="549" t="s">
        <v>245</v>
      </c>
      <c r="C11" s="532" t="s">
        <v>1741</v>
      </c>
      <c r="D11" s="533">
        <v>19356</v>
      </c>
      <c r="E11" s="533">
        <v>0</v>
      </c>
      <c r="F11" s="533">
        <v>21829</v>
      </c>
    </row>
    <row r="12" spans="2:6" ht="27" customHeight="1">
      <c r="B12" s="549" t="s">
        <v>247</v>
      </c>
      <c r="C12" s="532" t="s">
        <v>1742</v>
      </c>
      <c r="D12" s="533">
        <v>0</v>
      </c>
      <c r="E12" s="533">
        <v>0</v>
      </c>
      <c r="F12" s="533">
        <v>0</v>
      </c>
    </row>
    <row r="13" spans="2:6" ht="30.75" customHeight="1">
      <c r="B13" s="549" t="s">
        <v>249</v>
      </c>
      <c r="C13" s="532" t="s">
        <v>1743</v>
      </c>
      <c r="D13" s="533">
        <v>2060</v>
      </c>
      <c r="E13" s="533">
        <v>0</v>
      </c>
      <c r="F13" s="533">
        <v>7557</v>
      </c>
    </row>
    <row r="14" spans="2:6" ht="25.5">
      <c r="B14" s="549" t="s">
        <v>251</v>
      </c>
      <c r="C14" s="532" t="s">
        <v>1744</v>
      </c>
      <c r="D14" s="533">
        <v>0</v>
      </c>
      <c r="E14" s="533">
        <v>0</v>
      </c>
      <c r="F14" s="533">
        <v>0</v>
      </c>
    </row>
    <row r="15" spans="2:6" ht="39.75" customHeight="1">
      <c r="B15" s="547" t="s">
        <v>1197</v>
      </c>
      <c r="C15" s="536" t="s">
        <v>1745</v>
      </c>
      <c r="D15" s="537">
        <f>SUM(D10:D14)</f>
        <v>3440275</v>
      </c>
      <c r="E15" s="537">
        <f>SUM(E10:E14)</f>
        <v>0</v>
      </c>
      <c r="F15" s="537">
        <f>SUM(F10:F14)</f>
        <v>3414486</v>
      </c>
    </row>
    <row r="16" spans="2:6" ht="36.75" customHeight="1">
      <c r="B16" s="549" t="s">
        <v>254</v>
      </c>
      <c r="C16" s="532" t="s">
        <v>1746</v>
      </c>
      <c r="D16" s="533">
        <v>24064</v>
      </c>
      <c r="E16" s="533">
        <v>0</v>
      </c>
      <c r="F16" s="533">
        <v>5644</v>
      </c>
    </row>
    <row r="17" spans="2:6" ht="38.25" customHeight="1">
      <c r="B17" s="550" t="s">
        <v>256</v>
      </c>
      <c r="C17" s="551" t="s">
        <v>1747</v>
      </c>
      <c r="D17" s="552">
        <v>0</v>
      </c>
      <c r="E17" s="552">
        <v>0</v>
      </c>
      <c r="F17" s="552">
        <v>0</v>
      </c>
    </row>
    <row r="18" spans="2:6" ht="31.5" customHeight="1">
      <c r="B18" s="550" t="s">
        <v>258</v>
      </c>
      <c r="C18" s="551" t="s">
        <v>1748</v>
      </c>
      <c r="D18" s="552">
        <v>0</v>
      </c>
      <c r="E18" s="552">
        <v>0</v>
      </c>
      <c r="F18" s="552">
        <v>0</v>
      </c>
    </row>
    <row r="19" spans="2:6" ht="32.25" customHeight="1">
      <c r="B19" s="550" t="s">
        <v>260</v>
      </c>
      <c r="C19" s="551" t="s">
        <v>1749</v>
      </c>
      <c r="D19" s="552">
        <v>5</v>
      </c>
      <c r="E19" s="552">
        <v>0</v>
      </c>
      <c r="F19" s="552">
        <v>5</v>
      </c>
    </row>
    <row r="20" spans="2:6" ht="27" customHeight="1">
      <c r="B20" s="550" t="s">
        <v>262</v>
      </c>
      <c r="C20" s="551" t="s">
        <v>1750</v>
      </c>
      <c r="D20" s="552">
        <v>0</v>
      </c>
      <c r="E20" s="552">
        <v>0</v>
      </c>
      <c r="F20" s="552">
        <v>0</v>
      </c>
    </row>
    <row r="21" spans="2:6" ht="36" customHeight="1">
      <c r="B21" s="550" t="s">
        <v>264</v>
      </c>
      <c r="C21" s="551" t="s">
        <v>1751</v>
      </c>
      <c r="D21" s="552">
        <v>0</v>
      </c>
      <c r="E21" s="552">
        <v>0</v>
      </c>
      <c r="F21" s="552">
        <v>0</v>
      </c>
    </row>
    <row r="22" spans="2:6" ht="32.25" customHeight="1">
      <c r="B22" s="549" t="s">
        <v>266</v>
      </c>
      <c r="C22" s="532" t="s">
        <v>1752</v>
      </c>
      <c r="D22" s="533"/>
      <c r="E22" s="533">
        <v>0</v>
      </c>
      <c r="F22" s="533"/>
    </row>
    <row r="23" spans="2:6" ht="39.75" customHeight="1">
      <c r="B23" s="547" t="s">
        <v>268</v>
      </c>
      <c r="C23" s="536" t="s">
        <v>1753</v>
      </c>
      <c r="D23" s="537">
        <f>SUM(D16:D22)</f>
        <v>24069</v>
      </c>
      <c r="E23" s="537">
        <f>SUM(E16:E22)</f>
        <v>0</v>
      </c>
      <c r="F23" s="537">
        <f>SUM(F16:F22)</f>
        <v>5649</v>
      </c>
    </row>
    <row r="24" spans="2:6" ht="33.75" customHeight="1">
      <c r="B24" s="549" t="s">
        <v>270</v>
      </c>
      <c r="C24" s="532" t="s">
        <v>1754</v>
      </c>
      <c r="D24" s="533">
        <v>0</v>
      </c>
      <c r="E24" s="533">
        <v>0</v>
      </c>
      <c r="F24" s="533">
        <v>0</v>
      </c>
    </row>
    <row r="25" spans="2:6" ht="45" customHeight="1">
      <c r="B25" s="549" t="s">
        <v>295</v>
      </c>
      <c r="C25" s="532" t="s">
        <v>1755</v>
      </c>
      <c r="D25" s="533">
        <v>0</v>
      </c>
      <c r="E25" s="533">
        <v>0</v>
      </c>
      <c r="F25" s="533">
        <v>0</v>
      </c>
    </row>
    <row r="26" spans="2:6" ht="44.25" customHeight="1">
      <c r="B26" s="547" t="s">
        <v>297</v>
      </c>
      <c r="C26" s="536" t="s">
        <v>1756</v>
      </c>
      <c r="D26" s="537">
        <v>0</v>
      </c>
      <c r="E26" s="537">
        <v>0</v>
      </c>
      <c r="F26" s="537">
        <v>0</v>
      </c>
    </row>
    <row r="27" spans="2:6" ht="55.5" customHeight="1">
      <c r="B27" s="547" t="s">
        <v>299</v>
      </c>
      <c r="C27" s="536" t="s">
        <v>1757</v>
      </c>
      <c r="D27" s="537">
        <f>D9+D15+D23+D26</f>
        <v>3504676</v>
      </c>
      <c r="E27" s="537">
        <f>E9+E15+E23+E26</f>
        <v>0</v>
      </c>
      <c r="F27" s="537">
        <f>F9+F15+F23+F26</f>
        <v>3445636</v>
      </c>
    </row>
    <row r="28" spans="2:6" ht="15">
      <c r="B28" s="549" t="s">
        <v>301</v>
      </c>
      <c r="C28" s="532" t="s">
        <v>1758</v>
      </c>
      <c r="D28" s="533">
        <v>431</v>
      </c>
      <c r="E28" s="533">
        <v>0</v>
      </c>
      <c r="F28" s="533">
        <v>762</v>
      </c>
    </row>
    <row r="29" spans="2:6" ht="33.75" customHeight="1">
      <c r="B29" s="550" t="s">
        <v>303</v>
      </c>
      <c r="C29" s="551" t="s">
        <v>1759</v>
      </c>
      <c r="D29" s="552">
        <v>0</v>
      </c>
      <c r="E29" s="552">
        <v>0</v>
      </c>
      <c r="F29" s="552">
        <v>0</v>
      </c>
    </row>
    <row r="30" spans="2:6" ht="26.25" customHeight="1">
      <c r="B30" s="550" t="s">
        <v>305</v>
      </c>
      <c r="C30" s="551" t="s">
        <v>1760</v>
      </c>
      <c r="D30" s="552">
        <v>0</v>
      </c>
      <c r="E30" s="552">
        <v>0</v>
      </c>
      <c r="F30" s="552">
        <v>0</v>
      </c>
    </row>
    <row r="31" spans="2:6" ht="30" customHeight="1">
      <c r="B31" s="550" t="s">
        <v>307</v>
      </c>
      <c r="C31" s="551" t="s">
        <v>1761</v>
      </c>
      <c r="D31" s="552">
        <v>0</v>
      </c>
      <c r="E31" s="552">
        <v>0</v>
      </c>
      <c r="F31" s="552">
        <v>0</v>
      </c>
    </row>
    <row r="32" spans="2:6" ht="18.75" customHeight="1">
      <c r="B32" s="550" t="s">
        <v>309</v>
      </c>
      <c r="C32" s="551" t="s">
        <v>1762</v>
      </c>
      <c r="D32" s="552">
        <v>0</v>
      </c>
      <c r="E32" s="552">
        <v>0</v>
      </c>
      <c r="F32" s="552">
        <v>0</v>
      </c>
    </row>
    <row r="33" spans="2:6" ht="28.5" customHeight="1">
      <c r="B33" s="547" t="s">
        <v>311</v>
      </c>
      <c r="C33" s="536" t="s">
        <v>1763</v>
      </c>
      <c r="D33" s="537">
        <f>SUM(D28:D32)</f>
        <v>431</v>
      </c>
      <c r="E33" s="537">
        <f>SUM(E28:E32)</f>
        <v>0</v>
      </c>
      <c r="F33" s="537">
        <f>SUM(F28:F32)</f>
        <v>762</v>
      </c>
    </row>
    <row r="34" spans="2:6" ht="18.75" customHeight="1">
      <c r="B34" s="549" t="s">
        <v>1707</v>
      </c>
      <c r="C34" s="532" t="s">
        <v>1764</v>
      </c>
      <c r="D34" s="533">
        <v>0</v>
      </c>
      <c r="E34" s="533">
        <v>0</v>
      </c>
      <c r="F34" s="533">
        <v>0</v>
      </c>
    </row>
    <row r="35" spans="2:6" ht="43.5" customHeight="1">
      <c r="B35" s="549" t="s">
        <v>1709</v>
      </c>
      <c r="C35" s="532" t="s">
        <v>1765</v>
      </c>
      <c r="D35" s="533">
        <v>10646</v>
      </c>
      <c r="E35" s="533">
        <v>0</v>
      </c>
      <c r="F35" s="533">
        <v>10646</v>
      </c>
    </row>
    <row r="36" spans="2:6" ht="19.5" customHeight="1">
      <c r="B36" s="550" t="s">
        <v>1711</v>
      </c>
      <c r="C36" s="551" t="s">
        <v>1766</v>
      </c>
      <c r="D36" s="552">
        <v>0</v>
      </c>
      <c r="E36" s="552">
        <v>0</v>
      </c>
      <c r="F36" s="552">
        <v>0</v>
      </c>
    </row>
    <row r="37" spans="2:6" ht="18.75" customHeight="1">
      <c r="B37" s="550" t="s">
        <v>1713</v>
      </c>
      <c r="C37" s="551" t="s">
        <v>1767</v>
      </c>
      <c r="D37" s="552">
        <v>0</v>
      </c>
      <c r="E37" s="552">
        <v>0</v>
      </c>
      <c r="F37" s="552">
        <v>0</v>
      </c>
    </row>
    <row r="38" spans="2:6" ht="18.75" customHeight="1">
      <c r="B38" s="550" t="s">
        <v>1715</v>
      </c>
      <c r="C38" s="551" t="s">
        <v>1768</v>
      </c>
      <c r="D38" s="552">
        <v>0</v>
      </c>
      <c r="E38" s="552">
        <v>0</v>
      </c>
      <c r="F38" s="552">
        <v>0</v>
      </c>
    </row>
    <row r="39" spans="2:6" ht="27" customHeight="1">
      <c r="B39" s="550" t="s">
        <v>1717</v>
      </c>
      <c r="C39" s="551" t="s">
        <v>1769</v>
      </c>
      <c r="D39" s="552">
        <v>0</v>
      </c>
      <c r="E39" s="552">
        <v>0</v>
      </c>
      <c r="F39" s="552">
        <v>0</v>
      </c>
    </row>
    <row r="40" spans="2:6" ht="19.5" customHeight="1">
      <c r="B40" s="550" t="s">
        <v>1719</v>
      </c>
      <c r="C40" s="551" t="s">
        <v>1770</v>
      </c>
      <c r="D40" s="552">
        <v>0</v>
      </c>
      <c r="E40" s="552">
        <v>0</v>
      </c>
      <c r="F40" s="552">
        <v>0</v>
      </c>
    </row>
    <row r="41" spans="2:6" ht="37.5" customHeight="1">
      <c r="B41" s="547" t="s">
        <v>1721</v>
      </c>
      <c r="C41" s="536" t="s">
        <v>1771</v>
      </c>
      <c r="D41" s="537">
        <f>SUM(D34:D40)</f>
        <v>10646</v>
      </c>
      <c r="E41" s="537">
        <f>SUM(E34:E40)</f>
        <v>0</v>
      </c>
      <c r="F41" s="537">
        <f>SUM(F34:F40)</f>
        <v>10646</v>
      </c>
    </row>
    <row r="42" spans="2:6" ht="39.75" customHeight="1">
      <c r="B42" s="547" t="s">
        <v>1723</v>
      </c>
      <c r="C42" s="536" t="s">
        <v>1772</v>
      </c>
      <c r="D42" s="537">
        <f>D41+D33</f>
        <v>11077</v>
      </c>
      <c r="E42" s="537">
        <f>E41+E33</f>
        <v>0</v>
      </c>
      <c r="F42" s="537">
        <f>F41+F33</f>
        <v>11408</v>
      </c>
    </row>
    <row r="43" spans="2:6" ht="18.75" customHeight="1">
      <c r="B43" s="549" t="s">
        <v>1725</v>
      </c>
      <c r="C43" s="532" t="s">
        <v>1773</v>
      </c>
      <c r="D43" s="533">
        <v>0</v>
      </c>
      <c r="E43" s="533">
        <v>0</v>
      </c>
      <c r="F43" s="533">
        <v>0</v>
      </c>
    </row>
    <row r="44" spans="2:6" ht="24.75" customHeight="1">
      <c r="B44" s="549" t="s">
        <v>1727</v>
      </c>
      <c r="C44" s="532" t="s">
        <v>1774</v>
      </c>
      <c r="D44" s="533">
        <v>1158</v>
      </c>
      <c r="E44" s="533">
        <v>0</v>
      </c>
      <c r="F44" s="533">
        <v>907</v>
      </c>
    </row>
    <row r="45" spans="2:6" ht="15.75" customHeight="1">
      <c r="B45" s="549" t="s">
        <v>1729</v>
      </c>
      <c r="C45" s="532" t="s">
        <v>1775</v>
      </c>
      <c r="D45" s="533">
        <v>78483</v>
      </c>
      <c r="E45" s="533"/>
      <c r="F45" s="533">
        <v>115231</v>
      </c>
    </row>
    <row r="46" spans="2:6" ht="20.25" customHeight="1">
      <c r="B46" s="549" t="s">
        <v>1731</v>
      </c>
      <c r="C46" s="532" t="s">
        <v>1776</v>
      </c>
      <c r="D46" s="533">
        <v>0</v>
      </c>
      <c r="E46" s="533">
        <v>0</v>
      </c>
      <c r="F46" s="533">
        <v>0</v>
      </c>
    </row>
    <row r="47" spans="2:6" ht="23.25" customHeight="1">
      <c r="B47" s="549" t="s">
        <v>1777</v>
      </c>
      <c r="C47" s="532" t="s">
        <v>1778</v>
      </c>
      <c r="D47" s="533">
        <v>293</v>
      </c>
      <c r="E47" s="533">
        <v>0</v>
      </c>
      <c r="F47" s="533">
        <v>155</v>
      </c>
    </row>
    <row r="48" spans="2:6" ht="33" customHeight="1">
      <c r="B48" s="547" t="s">
        <v>1779</v>
      </c>
      <c r="C48" s="536" t="s">
        <v>1780</v>
      </c>
      <c r="D48" s="537">
        <f>SUM(D43:D47)</f>
        <v>79934</v>
      </c>
      <c r="E48" s="537">
        <f>SUM(E43:E47)</f>
        <v>0</v>
      </c>
      <c r="F48" s="537">
        <f>SUM(F43:F47)</f>
        <v>116293</v>
      </c>
    </row>
    <row r="49" spans="2:6" ht="54" customHeight="1">
      <c r="B49" s="550" t="s">
        <v>1781</v>
      </c>
      <c r="C49" s="551" t="s">
        <v>1782</v>
      </c>
      <c r="D49" s="552">
        <v>0</v>
      </c>
      <c r="E49" s="552">
        <v>0</v>
      </c>
      <c r="F49" s="552">
        <v>0</v>
      </c>
    </row>
    <row r="50" spans="2:6" ht="54.75" customHeight="1">
      <c r="B50" s="550" t="s">
        <v>1783</v>
      </c>
      <c r="C50" s="551" t="s">
        <v>1784</v>
      </c>
      <c r="D50" s="552">
        <v>0</v>
      </c>
      <c r="E50" s="552">
        <v>0</v>
      </c>
      <c r="F50" s="552">
        <v>0</v>
      </c>
    </row>
    <row r="51" spans="2:6" ht="49.5" customHeight="1">
      <c r="B51" s="550" t="s">
        <v>1785</v>
      </c>
      <c r="C51" s="551" t="s">
        <v>1786</v>
      </c>
      <c r="D51" s="552">
        <v>0</v>
      </c>
      <c r="E51" s="552">
        <v>0</v>
      </c>
      <c r="F51" s="552">
        <v>0</v>
      </c>
    </row>
    <row r="52" spans="2:6" ht="49.5" customHeight="1">
      <c r="B52" s="550" t="s">
        <v>1787</v>
      </c>
      <c r="C52" s="551" t="s">
        <v>1788</v>
      </c>
      <c r="D52" s="552">
        <v>0</v>
      </c>
      <c r="E52" s="552">
        <v>0</v>
      </c>
      <c r="F52" s="552">
        <v>0</v>
      </c>
    </row>
    <row r="53" spans="2:6" ht="34.5" customHeight="1">
      <c r="B53" s="549" t="s">
        <v>1789</v>
      </c>
      <c r="C53" s="532" t="s">
        <v>1790</v>
      </c>
      <c r="D53" s="533"/>
      <c r="E53" s="533">
        <v>0</v>
      </c>
      <c r="F53" s="533">
        <v>10747</v>
      </c>
    </row>
    <row r="54" spans="2:6" ht="35.25" customHeight="1">
      <c r="B54" s="549" t="s">
        <v>1791</v>
      </c>
      <c r="C54" s="532" t="s">
        <v>1792</v>
      </c>
      <c r="D54" s="533">
        <v>5144</v>
      </c>
      <c r="E54" s="533">
        <v>0</v>
      </c>
      <c r="F54" s="533">
        <v>875</v>
      </c>
    </row>
    <row r="55" spans="2:6" ht="33" customHeight="1">
      <c r="B55" s="549" t="s">
        <v>1793</v>
      </c>
      <c r="C55" s="532" t="s">
        <v>1794</v>
      </c>
      <c r="D55" s="533">
        <v>0</v>
      </c>
      <c r="E55" s="533">
        <v>0</v>
      </c>
      <c r="F55" s="533">
        <v>0</v>
      </c>
    </row>
    <row r="56" spans="2:6" ht="37.5" customHeight="1">
      <c r="B56" s="549" t="s">
        <v>1795</v>
      </c>
      <c r="C56" s="532" t="s">
        <v>1796</v>
      </c>
      <c r="D56" s="533">
        <v>0</v>
      </c>
      <c r="E56" s="533">
        <v>0</v>
      </c>
      <c r="F56" s="533">
        <v>0</v>
      </c>
    </row>
    <row r="57" spans="2:6" ht="54" customHeight="1">
      <c r="B57" s="549" t="s">
        <v>1797</v>
      </c>
      <c r="C57" s="532" t="s">
        <v>1798</v>
      </c>
      <c r="D57" s="533">
        <v>0</v>
      </c>
      <c r="E57" s="533">
        <v>0</v>
      </c>
      <c r="F57" s="533">
        <v>0</v>
      </c>
    </row>
    <row r="58" spans="2:6" ht="41.25" customHeight="1">
      <c r="B58" s="549" t="s">
        <v>1799</v>
      </c>
      <c r="C58" s="532" t="s">
        <v>1800</v>
      </c>
      <c r="D58" s="533">
        <v>0</v>
      </c>
      <c r="E58" s="533">
        <v>0</v>
      </c>
      <c r="F58" s="533">
        <v>20870</v>
      </c>
    </row>
    <row r="59" spans="2:6" ht="57" customHeight="1">
      <c r="B59" s="549" t="s">
        <v>1801</v>
      </c>
      <c r="C59" s="532" t="s">
        <v>1802</v>
      </c>
      <c r="D59" s="533">
        <v>0</v>
      </c>
      <c r="E59" s="533">
        <v>0</v>
      </c>
      <c r="F59" s="533">
        <v>0</v>
      </c>
    </row>
    <row r="60" spans="2:6" ht="44.25" customHeight="1">
      <c r="B60" s="549" t="s">
        <v>1803</v>
      </c>
      <c r="C60" s="532" t="s">
        <v>1804</v>
      </c>
      <c r="D60" s="533">
        <v>0</v>
      </c>
      <c r="E60" s="533">
        <v>0</v>
      </c>
      <c r="F60" s="533">
        <v>0</v>
      </c>
    </row>
    <row r="61" spans="2:6" ht="40.5" customHeight="1">
      <c r="B61" s="549" t="s">
        <v>1805</v>
      </c>
      <c r="C61" s="532" t="s">
        <v>1806</v>
      </c>
      <c r="D61" s="533">
        <v>0</v>
      </c>
      <c r="E61" s="533">
        <v>0</v>
      </c>
      <c r="F61" s="533">
        <v>0</v>
      </c>
    </row>
    <row r="62" spans="2:6" ht="39" customHeight="1">
      <c r="B62" s="547" t="s">
        <v>1807</v>
      </c>
      <c r="C62" s="536" t="s">
        <v>1808</v>
      </c>
      <c r="D62" s="537">
        <f>SUM(D49+D51+D53+D54+D55+D56+D58+D60)</f>
        <v>5144</v>
      </c>
      <c r="E62" s="537">
        <f>SUM(E49+E51+E53+E54+E55+E56+E58+E60)</f>
        <v>0</v>
      </c>
      <c r="F62" s="537">
        <f>SUM(F49+F51+F53+F54+F55+F56+F58+F60)</f>
        <v>32492</v>
      </c>
    </row>
    <row r="63" spans="2:6" ht="51" customHeight="1">
      <c r="B63" s="550" t="s">
        <v>1809</v>
      </c>
      <c r="C63" s="551" t="s">
        <v>1810</v>
      </c>
      <c r="D63" s="552">
        <v>0</v>
      </c>
      <c r="E63" s="552">
        <v>0</v>
      </c>
      <c r="F63" s="552">
        <v>0</v>
      </c>
    </row>
    <row r="64" spans="2:6" ht="63.75" customHeight="1">
      <c r="B64" s="550" t="s">
        <v>1811</v>
      </c>
      <c r="C64" s="551" t="s">
        <v>1812</v>
      </c>
      <c r="D64" s="552">
        <v>0</v>
      </c>
      <c r="E64" s="552">
        <v>0</v>
      </c>
      <c r="F64" s="552">
        <v>0</v>
      </c>
    </row>
    <row r="65" spans="2:6" ht="50.25" customHeight="1">
      <c r="B65" s="550" t="s">
        <v>1813</v>
      </c>
      <c r="C65" s="551" t="s">
        <v>1814</v>
      </c>
      <c r="D65" s="552">
        <v>0</v>
      </c>
      <c r="E65" s="552">
        <v>0</v>
      </c>
      <c r="F65" s="552">
        <v>0</v>
      </c>
    </row>
    <row r="66" spans="2:6" ht="61.5" customHeight="1">
      <c r="B66" s="550" t="s">
        <v>1815</v>
      </c>
      <c r="C66" s="551" t="s">
        <v>1816</v>
      </c>
      <c r="D66" s="552">
        <v>0</v>
      </c>
      <c r="E66" s="552">
        <v>0</v>
      </c>
      <c r="F66" s="552">
        <v>0</v>
      </c>
    </row>
    <row r="67" spans="2:6" ht="32.25" customHeight="1">
      <c r="B67" s="550" t="s">
        <v>1817</v>
      </c>
      <c r="C67" s="551" t="s">
        <v>1818</v>
      </c>
      <c r="D67" s="552">
        <v>13751</v>
      </c>
      <c r="E67" s="552">
        <v>0</v>
      </c>
      <c r="F67" s="552">
        <v>0</v>
      </c>
    </row>
    <row r="68" spans="2:6" ht="33.75" customHeight="1">
      <c r="B68" s="549" t="s">
        <v>1819</v>
      </c>
      <c r="C68" s="532" t="s">
        <v>1820</v>
      </c>
      <c r="D68" s="533">
        <v>0</v>
      </c>
      <c r="E68" s="533">
        <v>0</v>
      </c>
      <c r="F68" s="533">
        <v>85</v>
      </c>
    </row>
    <row r="69" spans="2:6" ht="39" customHeight="1">
      <c r="B69" s="549" t="s">
        <v>1821</v>
      </c>
      <c r="C69" s="532" t="s">
        <v>1822</v>
      </c>
      <c r="D69" s="533">
        <v>0</v>
      </c>
      <c r="E69" s="533">
        <v>0</v>
      </c>
      <c r="F69" s="533">
        <v>0</v>
      </c>
    </row>
    <row r="70" spans="2:6" ht="47.25" customHeight="1">
      <c r="B70" s="549" t="s">
        <v>1823</v>
      </c>
      <c r="C70" s="532" t="s">
        <v>1824</v>
      </c>
      <c r="D70" s="533">
        <v>0</v>
      </c>
      <c r="E70" s="533">
        <v>0</v>
      </c>
      <c r="F70" s="533">
        <v>0</v>
      </c>
    </row>
    <row r="71" spans="2:6" ht="64.5" customHeight="1">
      <c r="B71" s="549" t="s">
        <v>1825</v>
      </c>
      <c r="C71" s="532" t="s">
        <v>1826</v>
      </c>
      <c r="D71" s="533">
        <v>0</v>
      </c>
      <c r="E71" s="533">
        <v>0</v>
      </c>
      <c r="F71" s="533">
        <v>0</v>
      </c>
    </row>
    <row r="72" spans="2:6" ht="39.75" customHeight="1">
      <c r="B72" s="549" t="s">
        <v>1827</v>
      </c>
      <c r="C72" s="532" t="s">
        <v>1828</v>
      </c>
      <c r="D72" s="533">
        <v>27275</v>
      </c>
      <c r="E72" s="533">
        <v>0</v>
      </c>
      <c r="F72" s="533">
        <v>4564</v>
      </c>
    </row>
    <row r="73" spans="2:6" ht="66.75" customHeight="1">
      <c r="B73" s="549" t="s">
        <v>1829</v>
      </c>
      <c r="C73" s="532" t="s">
        <v>1830</v>
      </c>
      <c r="D73" s="533">
        <v>27275</v>
      </c>
      <c r="E73" s="533">
        <v>0</v>
      </c>
      <c r="F73" s="533">
        <v>4564</v>
      </c>
    </row>
    <row r="74" spans="2:6" ht="45.75" customHeight="1">
      <c r="B74" s="550" t="s">
        <v>1831</v>
      </c>
      <c r="C74" s="551" t="s">
        <v>1832</v>
      </c>
      <c r="D74" s="552">
        <v>0</v>
      </c>
      <c r="E74" s="552">
        <v>0</v>
      </c>
      <c r="F74" s="552">
        <v>0</v>
      </c>
    </row>
    <row r="75" spans="2:6" ht="57.75" customHeight="1">
      <c r="B75" s="550" t="s">
        <v>1833</v>
      </c>
      <c r="C75" s="551" t="s">
        <v>1834</v>
      </c>
      <c r="D75" s="552">
        <v>0</v>
      </c>
      <c r="E75" s="552">
        <v>0</v>
      </c>
      <c r="F75" s="552">
        <v>0</v>
      </c>
    </row>
    <row r="76" spans="2:6" ht="57" customHeight="1">
      <c r="B76" s="547" t="s">
        <v>1835</v>
      </c>
      <c r="C76" s="536" t="s">
        <v>1836</v>
      </c>
      <c r="D76" s="537">
        <f>D63+D65+D67+D68+D69+D70+D72+D74</f>
        <v>41026</v>
      </c>
      <c r="E76" s="537">
        <f>E63+E65+E67+E68+E69+E70+E72+E74</f>
        <v>0</v>
      </c>
      <c r="F76" s="537">
        <f>F63+F65+F67+F68+F69+F70+F72+F74</f>
        <v>4649</v>
      </c>
    </row>
    <row r="77" spans="2:6" ht="33" customHeight="1">
      <c r="B77" s="549" t="s">
        <v>1837</v>
      </c>
      <c r="C77" s="532" t="s">
        <v>1838</v>
      </c>
      <c r="D77" s="533">
        <v>5416</v>
      </c>
      <c r="E77" s="533">
        <v>0</v>
      </c>
      <c r="F77" s="533">
        <v>69</v>
      </c>
    </row>
    <row r="78" spans="2:6" ht="35.25" customHeight="1">
      <c r="B78" s="549" t="s">
        <v>1839</v>
      </c>
      <c r="C78" s="532" t="s">
        <v>1840</v>
      </c>
      <c r="D78" s="533">
        <v>0</v>
      </c>
      <c r="E78" s="533">
        <v>0</v>
      </c>
      <c r="F78" s="533">
        <v>0</v>
      </c>
    </row>
    <row r="79" spans="2:6" ht="31.5" customHeight="1">
      <c r="B79" s="549" t="s">
        <v>1841</v>
      </c>
      <c r="C79" s="532" t="s">
        <v>1842</v>
      </c>
      <c r="D79" s="533">
        <v>0</v>
      </c>
      <c r="E79" s="533">
        <v>0</v>
      </c>
      <c r="F79" s="533">
        <v>0</v>
      </c>
    </row>
    <row r="80" spans="2:6" ht="29.25" customHeight="1">
      <c r="B80" s="549" t="s">
        <v>1843</v>
      </c>
      <c r="C80" s="532" t="s">
        <v>1844</v>
      </c>
      <c r="D80" s="533">
        <v>0</v>
      </c>
      <c r="E80" s="533">
        <v>0</v>
      </c>
      <c r="F80" s="533">
        <v>2334</v>
      </c>
    </row>
    <row r="81" spans="2:6" ht="30.75" customHeight="1">
      <c r="B81" s="549" t="s">
        <v>1845</v>
      </c>
      <c r="C81" s="532" t="s">
        <v>1846</v>
      </c>
      <c r="D81" s="533">
        <v>0</v>
      </c>
      <c r="E81" s="533">
        <v>0</v>
      </c>
      <c r="F81" s="533">
        <v>80</v>
      </c>
    </row>
    <row r="82" spans="2:6" ht="24.75" customHeight="1">
      <c r="B82" s="549" t="s">
        <v>1847</v>
      </c>
      <c r="C82" s="532" t="s">
        <v>1848</v>
      </c>
      <c r="D82" s="533">
        <v>5416</v>
      </c>
      <c r="E82" s="533">
        <v>0</v>
      </c>
      <c r="F82" s="533">
        <v>68</v>
      </c>
    </row>
    <row r="83" spans="2:6" ht="33" customHeight="1">
      <c r="B83" s="550" t="s">
        <v>1849</v>
      </c>
      <c r="C83" s="551" t="s">
        <v>1850</v>
      </c>
      <c r="D83" s="552">
        <v>0</v>
      </c>
      <c r="E83" s="552">
        <v>0</v>
      </c>
      <c r="F83" s="552">
        <v>0</v>
      </c>
    </row>
    <row r="84" spans="2:6" ht="28.5" customHeight="1">
      <c r="B84" s="550" t="s">
        <v>1851</v>
      </c>
      <c r="C84" s="551" t="s">
        <v>1852</v>
      </c>
      <c r="D84" s="552">
        <v>0</v>
      </c>
      <c r="E84" s="552">
        <v>0</v>
      </c>
      <c r="F84" s="552">
        <v>0</v>
      </c>
    </row>
    <row r="85" spans="2:6" ht="21" customHeight="1">
      <c r="B85" s="550" t="s">
        <v>1853</v>
      </c>
      <c r="C85" s="551" t="s">
        <v>1854</v>
      </c>
      <c r="D85" s="552">
        <v>0</v>
      </c>
      <c r="E85" s="552">
        <v>0</v>
      </c>
      <c r="F85" s="552">
        <v>100</v>
      </c>
    </row>
    <row r="86" spans="2:6" ht="39.75" customHeight="1">
      <c r="B86" s="550" t="s">
        <v>1855</v>
      </c>
      <c r="C86" s="551" t="s">
        <v>1856</v>
      </c>
      <c r="D86" s="552">
        <v>0</v>
      </c>
      <c r="E86" s="552">
        <v>0</v>
      </c>
      <c r="F86" s="552">
        <v>0</v>
      </c>
    </row>
    <row r="87" spans="2:6" ht="42.75" customHeight="1">
      <c r="B87" s="550" t="s">
        <v>1857</v>
      </c>
      <c r="C87" s="551" t="s">
        <v>1858</v>
      </c>
      <c r="D87" s="552">
        <v>0</v>
      </c>
      <c r="E87" s="552">
        <v>0</v>
      </c>
      <c r="F87" s="552">
        <v>0</v>
      </c>
    </row>
    <row r="88" spans="2:6" ht="44.25" customHeight="1">
      <c r="B88" s="550" t="s">
        <v>1859</v>
      </c>
      <c r="C88" s="551" t="s">
        <v>1860</v>
      </c>
      <c r="D88" s="552">
        <v>0</v>
      </c>
      <c r="E88" s="552">
        <v>0</v>
      </c>
      <c r="F88" s="552">
        <v>0</v>
      </c>
    </row>
    <row r="89" spans="2:6" ht="44.25" customHeight="1">
      <c r="B89" s="547" t="s">
        <v>1861</v>
      </c>
      <c r="C89" s="536" t="s">
        <v>1862</v>
      </c>
      <c r="D89" s="537">
        <f>D77+D83+D84+D85+D86+D87+D88</f>
        <v>5416</v>
      </c>
      <c r="E89" s="537">
        <f>E77+E83+E84+E85+E86+E87+E88</f>
        <v>0</v>
      </c>
      <c r="F89" s="537">
        <f>F77+F83+F84+F85+F86+F87+F88</f>
        <v>169</v>
      </c>
    </row>
    <row r="90" spans="2:6" ht="31.5" customHeight="1">
      <c r="B90" s="547" t="s">
        <v>1863</v>
      </c>
      <c r="C90" s="536" t="s">
        <v>1864</v>
      </c>
      <c r="D90" s="537">
        <f>D62+D76+D89</f>
        <v>51586</v>
      </c>
      <c r="E90" s="537">
        <f>E62+E76+E89</f>
        <v>0</v>
      </c>
      <c r="F90" s="537">
        <f>F62+F76+F89</f>
        <v>37310</v>
      </c>
    </row>
    <row r="91" spans="2:6" ht="30.75" customHeight="1">
      <c r="B91" s="547" t="s">
        <v>1865</v>
      </c>
      <c r="C91" s="536" t="s">
        <v>1866</v>
      </c>
      <c r="D91" s="537">
        <v>0</v>
      </c>
      <c r="E91" s="537">
        <v>0</v>
      </c>
      <c r="F91" s="537">
        <v>5600</v>
      </c>
    </row>
    <row r="92" spans="2:6" ht="30.75" customHeight="1">
      <c r="B92" s="549" t="s">
        <v>1867</v>
      </c>
      <c r="C92" s="532" t="s">
        <v>1868</v>
      </c>
      <c r="D92" s="533">
        <v>0</v>
      </c>
      <c r="E92" s="533">
        <v>0</v>
      </c>
      <c r="F92" s="533">
        <v>0</v>
      </c>
    </row>
    <row r="93" spans="2:6" ht="29.25" customHeight="1">
      <c r="B93" s="549" t="s">
        <v>1869</v>
      </c>
      <c r="C93" s="532" t="s">
        <v>1870</v>
      </c>
      <c r="D93" s="533">
        <v>0</v>
      </c>
      <c r="E93" s="533">
        <v>0</v>
      </c>
      <c r="F93" s="533">
        <v>0</v>
      </c>
    </row>
    <row r="94" spans="2:6" ht="24" customHeight="1">
      <c r="B94" s="549" t="s">
        <v>1871</v>
      </c>
      <c r="C94" s="532" t="s">
        <v>1872</v>
      </c>
      <c r="D94" s="533">
        <v>0</v>
      </c>
      <c r="E94" s="533">
        <v>0</v>
      </c>
      <c r="F94" s="533">
        <v>0</v>
      </c>
    </row>
    <row r="95" spans="2:6" ht="42.75" customHeight="1">
      <c r="B95" s="547" t="s">
        <v>1873</v>
      </c>
      <c r="C95" s="536" t="s">
        <v>1874</v>
      </c>
      <c r="D95" s="537">
        <f>SUM(D92:D94)</f>
        <v>0</v>
      </c>
      <c r="E95" s="537">
        <f>SUM(E92:E94)</f>
        <v>0</v>
      </c>
      <c r="F95" s="537">
        <f>SUM(F92:F94)</f>
        <v>0</v>
      </c>
    </row>
    <row r="96" spans="2:6" ht="41.25" customHeight="1">
      <c r="B96" s="547" t="s">
        <v>1875</v>
      </c>
      <c r="C96" s="536" t="s">
        <v>1876</v>
      </c>
      <c r="D96" s="537">
        <f>D27+D42+D48+D90+D91+D95</f>
        <v>3647273</v>
      </c>
      <c r="E96" s="537">
        <f>E27+E42+E48+E90+E91+E95</f>
        <v>0</v>
      </c>
      <c r="F96" s="537">
        <f>F27+F42+F48+F90+F91+F95</f>
        <v>3616247</v>
      </c>
    </row>
    <row r="97" spans="2:6" ht="15">
      <c r="B97" s="547" t="s">
        <v>1735</v>
      </c>
      <c r="C97" s="536" t="s">
        <v>1877</v>
      </c>
      <c r="D97" s="548"/>
      <c r="E97" s="548"/>
      <c r="F97" s="548"/>
    </row>
    <row r="98" spans="2:6" ht="30" customHeight="1">
      <c r="B98" s="549" t="s">
        <v>1878</v>
      </c>
      <c r="C98" s="532" t="s">
        <v>1879</v>
      </c>
      <c r="D98" s="533">
        <v>3593391</v>
      </c>
      <c r="E98" s="533">
        <v>0</v>
      </c>
      <c r="F98" s="533">
        <v>3593391</v>
      </c>
    </row>
    <row r="99" spans="2:6" ht="22.5" customHeight="1">
      <c r="B99" s="549" t="s">
        <v>1880</v>
      </c>
      <c r="C99" s="532" t="s">
        <v>1881</v>
      </c>
      <c r="D99" s="533">
        <v>0</v>
      </c>
      <c r="E99" s="533">
        <v>0</v>
      </c>
      <c r="F99" s="533">
        <v>0</v>
      </c>
    </row>
    <row r="100" spans="2:6" ht="29.25" customHeight="1">
      <c r="B100" s="549" t="s">
        <v>1882</v>
      </c>
      <c r="C100" s="532" t="s">
        <v>1883</v>
      </c>
      <c r="D100" s="533">
        <v>79641</v>
      </c>
      <c r="E100" s="533">
        <v>0</v>
      </c>
      <c r="F100" s="533">
        <v>79641</v>
      </c>
    </row>
    <row r="101" spans="2:6" ht="25.5" customHeight="1">
      <c r="B101" s="549" t="s">
        <v>1884</v>
      </c>
      <c r="C101" s="532" t="s">
        <v>1885</v>
      </c>
      <c r="D101" s="533">
        <v>-36818</v>
      </c>
      <c r="E101" s="533">
        <v>0</v>
      </c>
      <c r="F101" s="533">
        <v>-36818</v>
      </c>
    </row>
    <row r="102" spans="2:6" ht="33" customHeight="1">
      <c r="B102" s="549" t="s">
        <v>1886</v>
      </c>
      <c r="C102" s="532" t="s">
        <v>1887</v>
      </c>
      <c r="D102" s="533"/>
      <c r="E102" s="533">
        <v>0</v>
      </c>
      <c r="F102" s="533"/>
    </row>
    <row r="103" spans="2:6" ht="18" customHeight="1">
      <c r="B103" s="549" t="s">
        <v>1888</v>
      </c>
      <c r="C103" s="532" t="s">
        <v>1889</v>
      </c>
      <c r="D103" s="533">
        <v>0</v>
      </c>
      <c r="E103" s="533">
        <v>0</v>
      </c>
      <c r="F103" s="533">
        <v>-42812</v>
      </c>
    </row>
    <row r="104" spans="2:6" ht="29.25" customHeight="1">
      <c r="B104" s="547" t="s">
        <v>1890</v>
      </c>
      <c r="C104" s="536" t="s">
        <v>1891</v>
      </c>
      <c r="D104" s="537">
        <f>SUM(D98:D103)</f>
        <v>3636214</v>
      </c>
      <c r="E104" s="537">
        <f>SUM(E98:E103)</f>
        <v>0</v>
      </c>
      <c r="F104" s="537">
        <f>SUM(F98:F103)</f>
        <v>3593402</v>
      </c>
    </row>
    <row r="105" spans="2:6" ht="33.75" customHeight="1">
      <c r="B105" s="549" t="s">
        <v>1892</v>
      </c>
      <c r="C105" s="532" t="s">
        <v>1893</v>
      </c>
      <c r="D105" s="533">
        <v>0</v>
      </c>
      <c r="E105" s="533">
        <v>0</v>
      </c>
      <c r="F105" s="533">
        <v>0</v>
      </c>
    </row>
    <row r="106" spans="2:6" ht="55.5" customHeight="1">
      <c r="B106" s="549" t="s">
        <v>1894</v>
      </c>
      <c r="C106" s="532" t="s">
        <v>1895</v>
      </c>
      <c r="D106" s="533">
        <v>0</v>
      </c>
      <c r="E106" s="533">
        <v>0</v>
      </c>
      <c r="F106" s="533">
        <v>2233</v>
      </c>
    </row>
    <row r="107" spans="2:6" ht="31.5" customHeight="1">
      <c r="B107" s="549" t="s">
        <v>1896</v>
      </c>
      <c r="C107" s="532" t="s">
        <v>1897</v>
      </c>
      <c r="D107" s="533">
        <v>21</v>
      </c>
      <c r="E107" s="533">
        <v>0</v>
      </c>
      <c r="F107" s="533">
        <v>862</v>
      </c>
    </row>
    <row r="108" spans="2:6" ht="42.75" customHeight="1">
      <c r="B108" s="549" t="s">
        <v>1898</v>
      </c>
      <c r="C108" s="532" t="s">
        <v>1899</v>
      </c>
      <c r="D108" s="533">
        <v>0</v>
      </c>
      <c r="E108" s="533">
        <v>0</v>
      </c>
      <c r="F108" s="533">
        <v>0</v>
      </c>
    </row>
    <row r="109" spans="2:6" ht="42" customHeight="1">
      <c r="B109" s="549" t="s">
        <v>1900</v>
      </c>
      <c r="C109" s="532" t="s">
        <v>1901</v>
      </c>
      <c r="D109" s="533">
        <v>449</v>
      </c>
      <c r="E109" s="533">
        <v>0</v>
      </c>
      <c r="F109" s="533">
        <v>80</v>
      </c>
    </row>
    <row r="110" spans="2:6" ht="54.75" customHeight="1">
      <c r="B110" s="549" t="s">
        <v>1902</v>
      </c>
      <c r="C110" s="532" t="s">
        <v>1903</v>
      </c>
      <c r="D110" s="533">
        <v>0</v>
      </c>
      <c r="E110" s="533">
        <v>0</v>
      </c>
      <c r="F110" s="533">
        <v>0</v>
      </c>
    </row>
    <row r="111" spans="2:6" ht="39" customHeight="1">
      <c r="B111" s="549" t="s">
        <v>1904</v>
      </c>
      <c r="C111" s="532" t="s">
        <v>1905</v>
      </c>
      <c r="D111" s="533">
        <v>0</v>
      </c>
      <c r="E111" s="533">
        <v>0</v>
      </c>
      <c r="F111" s="533">
        <v>0</v>
      </c>
    </row>
    <row r="112" spans="2:6" ht="34.5" customHeight="1">
      <c r="B112" s="549" t="s">
        <v>1906</v>
      </c>
      <c r="C112" s="532" t="s">
        <v>1907</v>
      </c>
      <c r="D112" s="533">
        <v>0</v>
      </c>
      <c r="E112" s="533">
        <v>0</v>
      </c>
      <c r="F112" s="533">
        <v>0</v>
      </c>
    </row>
    <row r="113" spans="2:6" ht="44.25" customHeight="1">
      <c r="B113" s="549" t="s">
        <v>1908</v>
      </c>
      <c r="C113" s="532" t="s">
        <v>1909</v>
      </c>
      <c r="D113" s="533">
        <v>0</v>
      </c>
      <c r="E113" s="533">
        <v>0</v>
      </c>
      <c r="F113" s="533">
        <v>0</v>
      </c>
    </row>
    <row r="114" spans="2:6" ht="68.25" customHeight="1">
      <c r="B114" s="549" t="s">
        <v>1910</v>
      </c>
      <c r="C114" s="532" t="s">
        <v>1911</v>
      </c>
      <c r="D114" s="533">
        <v>0</v>
      </c>
      <c r="E114" s="533">
        <v>0</v>
      </c>
      <c r="F114" s="533">
        <v>0</v>
      </c>
    </row>
    <row r="115" spans="2:6" ht="41.25" customHeight="1">
      <c r="B115" s="549" t="s">
        <v>1912</v>
      </c>
      <c r="C115" s="532" t="s">
        <v>312</v>
      </c>
      <c r="D115" s="533">
        <v>0</v>
      </c>
      <c r="E115" s="533">
        <v>0</v>
      </c>
      <c r="F115" s="533">
        <v>0</v>
      </c>
    </row>
    <row r="116" spans="2:6" ht="36" customHeight="1">
      <c r="B116" s="550" t="s">
        <v>313</v>
      </c>
      <c r="C116" s="551" t="s">
        <v>314</v>
      </c>
      <c r="D116" s="552">
        <v>0</v>
      </c>
      <c r="E116" s="552">
        <v>0</v>
      </c>
      <c r="F116" s="552">
        <v>0</v>
      </c>
    </row>
    <row r="117" spans="2:6" ht="38.25" customHeight="1">
      <c r="B117" s="550" t="s">
        <v>315</v>
      </c>
      <c r="C117" s="551" t="s">
        <v>316</v>
      </c>
      <c r="D117" s="552">
        <v>0</v>
      </c>
      <c r="E117" s="552">
        <v>0</v>
      </c>
      <c r="F117" s="552">
        <v>0</v>
      </c>
    </row>
    <row r="118" spans="2:6" ht="49.5" customHeight="1">
      <c r="B118" s="550" t="s">
        <v>317</v>
      </c>
      <c r="C118" s="551" t="s">
        <v>318</v>
      </c>
      <c r="D118" s="552">
        <v>0</v>
      </c>
      <c r="E118" s="552">
        <v>0</v>
      </c>
      <c r="F118" s="552">
        <v>0</v>
      </c>
    </row>
    <row r="119" spans="2:6" ht="42.75" customHeight="1">
      <c r="B119" s="549" t="s">
        <v>319</v>
      </c>
      <c r="C119" s="532" t="s">
        <v>320</v>
      </c>
      <c r="D119" s="533">
        <v>0</v>
      </c>
      <c r="E119" s="533">
        <v>0</v>
      </c>
      <c r="F119" s="533">
        <v>0</v>
      </c>
    </row>
    <row r="120" spans="2:6" ht="35.25" customHeight="1">
      <c r="B120" s="550" t="s">
        <v>321</v>
      </c>
      <c r="C120" s="551" t="s">
        <v>322</v>
      </c>
      <c r="D120" s="552">
        <v>0</v>
      </c>
      <c r="E120" s="552">
        <v>0</v>
      </c>
      <c r="F120" s="552">
        <v>0</v>
      </c>
    </row>
    <row r="121" spans="2:6" ht="41.25" customHeight="1">
      <c r="B121" s="550" t="s">
        <v>323</v>
      </c>
      <c r="C121" s="551" t="s">
        <v>324</v>
      </c>
      <c r="D121" s="552">
        <v>0</v>
      </c>
      <c r="E121" s="552">
        <v>0</v>
      </c>
      <c r="F121" s="552">
        <v>0</v>
      </c>
    </row>
    <row r="122" spans="2:6" ht="39" customHeight="1">
      <c r="B122" s="549" t="s">
        <v>325</v>
      </c>
      <c r="C122" s="532" t="s">
        <v>326</v>
      </c>
      <c r="D122" s="533">
        <v>0</v>
      </c>
      <c r="E122" s="533">
        <v>0</v>
      </c>
      <c r="F122" s="533">
        <v>0</v>
      </c>
    </row>
    <row r="123" spans="2:6" ht="36" customHeight="1">
      <c r="B123" s="550" t="s">
        <v>327</v>
      </c>
      <c r="C123" s="551" t="s">
        <v>328</v>
      </c>
      <c r="D123" s="552">
        <v>0</v>
      </c>
      <c r="E123" s="552">
        <v>0</v>
      </c>
      <c r="F123" s="552">
        <v>0</v>
      </c>
    </row>
    <row r="124" spans="2:6" ht="43.5" customHeight="1">
      <c r="B124" s="547" t="s">
        <v>329</v>
      </c>
      <c r="C124" s="536" t="s">
        <v>330</v>
      </c>
      <c r="D124" s="537">
        <v>470</v>
      </c>
      <c r="E124" s="537">
        <v>0</v>
      </c>
      <c r="F124" s="537">
        <v>942</v>
      </c>
    </row>
    <row r="125" spans="2:6" ht="40.5" customHeight="1">
      <c r="B125" s="550" t="s">
        <v>331</v>
      </c>
      <c r="C125" s="551" t="s">
        <v>332</v>
      </c>
      <c r="D125" s="552">
        <v>0</v>
      </c>
      <c r="E125" s="552">
        <v>0</v>
      </c>
      <c r="F125" s="552">
        <v>0</v>
      </c>
    </row>
    <row r="126" spans="2:6" ht="51.75" customHeight="1">
      <c r="B126" s="550" t="s">
        <v>333</v>
      </c>
      <c r="C126" s="551" t="s">
        <v>334</v>
      </c>
      <c r="D126" s="552">
        <v>0</v>
      </c>
      <c r="E126" s="552">
        <v>0</v>
      </c>
      <c r="F126" s="552">
        <v>0</v>
      </c>
    </row>
    <row r="127" spans="2:6" ht="38.25" customHeight="1">
      <c r="B127" s="549" t="s">
        <v>335</v>
      </c>
      <c r="C127" s="532" t="s">
        <v>336</v>
      </c>
      <c r="D127" s="533">
        <v>2444</v>
      </c>
      <c r="E127" s="533">
        <v>0</v>
      </c>
      <c r="F127" s="533">
        <v>8</v>
      </c>
    </row>
    <row r="128" spans="2:6" ht="40.5" customHeight="1">
      <c r="B128" s="549" t="s">
        <v>337</v>
      </c>
      <c r="C128" s="532" t="s">
        <v>338</v>
      </c>
      <c r="D128" s="533">
        <v>0</v>
      </c>
      <c r="E128" s="533">
        <v>0</v>
      </c>
      <c r="F128" s="533">
        <v>0</v>
      </c>
    </row>
    <row r="129" spans="2:6" ht="42" customHeight="1">
      <c r="B129" s="549" t="s">
        <v>339</v>
      </c>
      <c r="C129" s="532" t="s">
        <v>340</v>
      </c>
      <c r="D129" s="533">
        <v>0</v>
      </c>
      <c r="E129" s="533">
        <v>0</v>
      </c>
      <c r="F129" s="533"/>
    </row>
    <row r="130" spans="2:6" ht="66" customHeight="1">
      <c r="B130" s="549" t="s">
        <v>341</v>
      </c>
      <c r="C130" s="532" t="s">
        <v>342</v>
      </c>
      <c r="D130" s="533">
        <v>0</v>
      </c>
      <c r="E130" s="533">
        <v>0</v>
      </c>
      <c r="F130" s="533"/>
    </row>
    <row r="131" spans="2:6" ht="30.75" customHeight="1">
      <c r="B131" s="549" t="s">
        <v>343</v>
      </c>
      <c r="C131" s="532" t="s">
        <v>344</v>
      </c>
      <c r="D131" s="533">
        <v>0</v>
      </c>
      <c r="E131" s="533">
        <v>0</v>
      </c>
      <c r="F131" s="533">
        <v>0</v>
      </c>
    </row>
    <row r="132" spans="2:6" ht="30.75" customHeight="1">
      <c r="B132" s="550" t="s">
        <v>345</v>
      </c>
      <c r="C132" s="551" t="s">
        <v>346</v>
      </c>
      <c r="D132" s="552">
        <v>0</v>
      </c>
      <c r="E132" s="552">
        <v>0</v>
      </c>
      <c r="F132" s="552">
        <v>0</v>
      </c>
    </row>
    <row r="133" spans="2:6" ht="40.5" customHeight="1">
      <c r="B133" s="550" t="s">
        <v>347</v>
      </c>
      <c r="C133" s="551" t="s">
        <v>348</v>
      </c>
      <c r="D133" s="552">
        <v>0</v>
      </c>
      <c r="E133" s="552">
        <v>0</v>
      </c>
      <c r="F133" s="552">
        <v>0</v>
      </c>
    </row>
    <row r="134" spans="2:6" ht="63" customHeight="1">
      <c r="B134" s="550" t="s">
        <v>349</v>
      </c>
      <c r="C134" s="551" t="s">
        <v>350</v>
      </c>
      <c r="D134" s="552">
        <v>0</v>
      </c>
      <c r="E134" s="552">
        <v>0</v>
      </c>
      <c r="F134" s="552">
        <v>0</v>
      </c>
    </row>
    <row r="135" spans="2:6" ht="41.25" customHeight="1">
      <c r="B135" s="549" t="s">
        <v>351</v>
      </c>
      <c r="C135" s="532" t="s">
        <v>352</v>
      </c>
      <c r="D135" s="533">
        <v>0</v>
      </c>
      <c r="E135" s="533">
        <v>0</v>
      </c>
      <c r="F135" s="533">
        <v>3562</v>
      </c>
    </row>
    <row r="136" spans="2:6" ht="54" customHeight="1">
      <c r="B136" s="549" t="s">
        <v>353</v>
      </c>
      <c r="C136" s="532" t="s">
        <v>354</v>
      </c>
      <c r="D136" s="533">
        <v>0</v>
      </c>
      <c r="E136" s="533">
        <v>0</v>
      </c>
      <c r="F136" s="533">
        <v>3562</v>
      </c>
    </row>
    <row r="137" spans="2:6" ht="36" customHeight="1">
      <c r="B137" s="550" t="s">
        <v>355</v>
      </c>
      <c r="C137" s="551" t="s">
        <v>356</v>
      </c>
      <c r="D137" s="552">
        <v>0</v>
      </c>
      <c r="E137" s="552">
        <v>0</v>
      </c>
      <c r="F137" s="552">
        <v>0</v>
      </c>
    </row>
    <row r="138" spans="2:6" ht="52.5" customHeight="1">
      <c r="B138" s="550" t="s">
        <v>357</v>
      </c>
      <c r="C138" s="551" t="s">
        <v>358</v>
      </c>
      <c r="D138" s="552">
        <v>0</v>
      </c>
      <c r="E138" s="552">
        <v>0</v>
      </c>
      <c r="F138" s="552">
        <v>0</v>
      </c>
    </row>
    <row r="139" spans="2:6" ht="37.5" customHeight="1">
      <c r="B139" s="550" t="s">
        <v>359</v>
      </c>
      <c r="C139" s="551" t="s">
        <v>360</v>
      </c>
      <c r="D139" s="552">
        <v>0</v>
      </c>
      <c r="E139" s="552">
        <v>0</v>
      </c>
      <c r="F139" s="552">
        <v>0</v>
      </c>
    </row>
    <row r="140" spans="2:6" ht="34.5" customHeight="1">
      <c r="B140" s="550" t="s">
        <v>361</v>
      </c>
      <c r="C140" s="551" t="s">
        <v>362</v>
      </c>
      <c r="D140" s="552">
        <v>0</v>
      </c>
      <c r="E140" s="552">
        <v>0</v>
      </c>
      <c r="F140" s="552">
        <v>0</v>
      </c>
    </row>
    <row r="141" spans="2:6" ht="47.25" customHeight="1">
      <c r="B141" s="550" t="s">
        <v>363</v>
      </c>
      <c r="C141" s="551" t="s">
        <v>364</v>
      </c>
      <c r="D141" s="552">
        <v>0</v>
      </c>
      <c r="E141" s="552">
        <v>0</v>
      </c>
      <c r="F141" s="552">
        <v>0</v>
      </c>
    </row>
    <row r="142" spans="2:6" ht="48.75" customHeight="1">
      <c r="B142" s="550" t="s">
        <v>365</v>
      </c>
      <c r="C142" s="551" t="s">
        <v>366</v>
      </c>
      <c r="D142" s="552">
        <v>0</v>
      </c>
      <c r="E142" s="552">
        <v>0</v>
      </c>
      <c r="F142" s="552">
        <v>0</v>
      </c>
    </row>
    <row r="143" spans="2:6" ht="40.5" customHeight="1">
      <c r="B143" s="550" t="s">
        <v>367</v>
      </c>
      <c r="C143" s="551" t="s">
        <v>368</v>
      </c>
      <c r="D143" s="552">
        <v>0</v>
      </c>
      <c r="E143" s="552">
        <v>0</v>
      </c>
      <c r="F143" s="552">
        <v>0</v>
      </c>
    </row>
    <row r="144" spans="2:6" ht="53.25" customHeight="1">
      <c r="B144" s="547" t="s">
        <v>369</v>
      </c>
      <c r="C144" s="536" t="s">
        <v>370</v>
      </c>
      <c r="D144" s="537">
        <f>D125+D126+D127+D128+D129+D131+D132+D133+D135</f>
        <v>2444</v>
      </c>
      <c r="E144" s="537">
        <f>E125+E126+E127+E128+E129+E131+E132+E133+E135</f>
        <v>0</v>
      </c>
      <c r="F144" s="537">
        <f>F125+F126+F127+F128+F129+F131+F132+F133+F135</f>
        <v>3570</v>
      </c>
    </row>
    <row r="145" spans="2:6" ht="21.75" customHeight="1">
      <c r="B145" s="549" t="s">
        <v>371</v>
      </c>
      <c r="C145" s="532" t="s">
        <v>372</v>
      </c>
      <c r="D145" s="533">
        <v>7852</v>
      </c>
      <c r="E145" s="533">
        <v>0</v>
      </c>
      <c r="F145" s="533">
        <v>8615</v>
      </c>
    </row>
    <row r="146" spans="2:6" ht="33.75" customHeight="1">
      <c r="B146" s="549" t="s">
        <v>373</v>
      </c>
      <c r="C146" s="532" t="s">
        <v>374</v>
      </c>
      <c r="D146" s="533">
        <v>0</v>
      </c>
      <c r="E146" s="533">
        <v>0</v>
      </c>
      <c r="F146" s="533">
        <v>0</v>
      </c>
    </row>
    <row r="147" spans="2:6" ht="27" customHeight="1">
      <c r="B147" s="549" t="s">
        <v>375</v>
      </c>
      <c r="C147" s="532" t="s">
        <v>376</v>
      </c>
      <c r="D147" s="533"/>
      <c r="E147" s="533">
        <v>0</v>
      </c>
      <c r="F147" s="533"/>
    </row>
    <row r="148" spans="2:6" ht="25.5" customHeight="1">
      <c r="B148" s="549" t="s">
        <v>377</v>
      </c>
      <c r="C148" s="532" t="s">
        <v>378</v>
      </c>
      <c r="D148" s="533">
        <v>0</v>
      </c>
      <c r="E148" s="533">
        <v>0</v>
      </c>
      <c r="F148" s="533">
        <v>0</v>
      </c>
    </row>
    <row r="149" spans="2:6" ht="38.25" customHeight="1">
      <c r="B149" s="549" t="s">
        <v>379</v>
      </c>
      <c r="C149" s="532" t="s">
        <v>380</v>
      </c>
      <c r="D149" s="533">
        <v>0</v>
      </c>
      <c r="E149" s="533">
        <v>0</v>
      </c>
      <c r="F149" s="533"/>
    </row>
    <row r="150" spans="2:6" ht="36.75" customHeight="1">
      <c r="B150" s="550" t="s">
        <v>381</v>
      </c>
      <c r="C150" s="551" t="s">
        <v>382</v>
      </c>
      <c r="D150" s="552">
        <v>0</v>
      </c>
      <c r="E150" s="552">
        <v>0</v>
      </c>
      <c r="F150" s="552">
        <v>0</v>
      </c>
    </row>
    <row r="151" spans="2:6" ht="36.75" customHeight="1">
      <c r="B151" s="550" t="s">
        <v>383</v>
      </c>
      <c r="C151" s="551" t="s">
        <v>384</v>
      </c>
      <c r="D151" s="552">
        <v>0</v>
      </c>
      <c r="E151" s="552">
        <v>0</v>
      </c>
      <c r="F151" s="552">
        <v>0</v>
      </c>
    </row>
    <row r="152" spans="2:6" ht="37.5" customHeight="1">
      <c r="B152" s="549" t="s">
        <v>385</v>
      </c>
      <c r="C152" s="532" t="s">
        <v>386</v>
      </c>
      <c r="D152" s="533">
        <f>SUM(D145:D151)</f>
        <v>7852</v>
      </c>
      <c r="E152" s="533">
        <f>SUM(E145:E151)</f>
        <v>0</v>
      </c>
      <c r="F152" s="533">
        <f>SUM(F145:F151)</f>
        <v>8615</v>
      </c>
    </row>
    <row r="153" spans="2:6" ht="26.25" customHeight="1">
      <c r="B153" s="547" t="s">
        <v>387</v>
      </c>
      <c r="C153" s="536" t="s">
        <v>388</v>
      </c>
      <c r="D153" s="537">
        <f>D124+D144+D152</f>
        <v>10766</v>
      </c>
      <c r="E153" s="537">
        <f>E124+E144+E152</f>
        <v>0</v>
      </c>
      <c r="F153" s="537">
        <f>F124+F144+F152</f>
        <v>13127</v>
      </c>
    </row>
    <row r="154" spans="2:6" ht="27" customHeight="1">
      <c r="B154" s="547" t="s">
        <v>389</v>
      </c>
      <c r="C154" s="536" t="s">
        <v>390</v>
      </c>
      <c r="D154" s="537">
        <v>293</v>
      </c>
      <c r="E154" s="537">
        <v>0</v>
      </c>
      <c r="F154" s="537">
        <v>155</v>
      </c>
    </row>
    <row r="155" spans="2:6" ht="39.75" customHeight="1">
      <c r="B155" s="547" t="s">
        <v>391</v>
      </c>
      <c r="C155" s="536" t="s">
        <v>392</v>
      </c>
      <c r="D155" s="537">
        <v>0</v>
      </c>
      <c r="E155" s="537">
        <v>0</v>
      </c>
      <c r="F155" s="537">
        <v>0</v>
      </c>
    </row>
    <row r="156" spans="2:6" ht="27.75" customHeight="1">
      <c r="B156" s="549" t="s">
        <v>393</v>
      </c>
      <c r="C156" s="532" t="s">
        <v>394</v>
      </c>
      <c r="D156" s="533">
        <v>0</v>
      </c>
      <c r="E156" s="533">
        <v>0</v>
      </c>
      <c r="F156" s="533">
        <v>0</v>
      </c>
    </row>
    <row r="157" spans="2:6" ht="30.75" customHeight="1">
      <c r="B157" s="549" t="s">
        <v>395</v>
      </c>
      <c r="C157" s="532" t="s">
        <v>396</v>
      </c>
      <c r="D157" s="533">
        <v>0</v>
      </c>
      <c r="E157" s="533">
        <v>0</v>
      </c>
      <c r="F157" s="533">
        <v>9563</v>
      </c>
    </row>
    <row r="158" spans="2:6" ht="29.25" customHeight="1">
      <c r="B158" s="549" t="s">
        <v>397</v>
      </c>
      <c r="C158" s="532" t="s">
        <v>398</v>
      </c>
      <c r="D158" s="533">
        <v>0</v>
      </c>
      <c r="E158" s="533">
        <v>0</v>
      </c>
      <c r="F158" s="533">
        <v>0</v>
      </c>
    </row>
    <row r="159" spans="2:6" ht="41.25" customHeight="1">
      <c r="B159" s="547" t="s">
        <v>399</v>
      </c>
      <c r="C159" s="536" t="s">
        <v>400</v>
      </c>
      <c r="D159" s="537">
        <f>SUM(D156:D158)</f>
        <v>0</v>
      </c>
      <c r="E159" s="537">
        <f>SUM(E156:E158)</f>
        <v>0</v>
      </c>
      <c r="F159" s="537">
        <f>SUM(F156:F158)</f>
        <v>9563</v>
      </c>
    </row>
    <row r="160" spans="2:6" ht="32.25" customHeight="1">
      <c r="B160" s="547" t="s">
        <v>401</v>
      </c>
      <c r="C160" s="536" t="s">
        <v>402</v>
      </c>
      <c r="D160" s="537">
        <f>D104+D153+D154+D155+D159</f>
        <v>3647273</v>
      </c>
      <c r="E160" s="537">
        <f>E104+E153+E154+E155+E159</f>
        <v>0</v>
      </c>
      <c r="F160" s="537">
        <f>F104+F153+F154+F155+F159</f>
        <v>3616247</v>
      </c>
    </row>
    <row r="161" spans="2:6" ht="15">
      <c r="B161" s="577"/>
      <c r="C161" s="577"/>
      <c r="D161" s="577"/>
      <c r="E161" s="577"/>
      <c r="F161" s="577"/>
    </row>
    <row r="162" spans="2:6" ht="15">
      <c r="B162" s="577"/>
      <c r="C162" s="577"/>
      <c r="D162" s="577"/>
      <c r="E162" s="577"/>
      <c r="F162" s="577"/>
    </row>
    <row r="163" spans="2:6" ht="15">
      <c r="B163" s="577"/>
      <c r="C163" s="577"/>
      <c r="D163" s="577"/>
      <c r="E163" s="577"/>
      <c r="F163" s="577"/>
    </row>
    <row r="164" spans="2:6" ht="15">
      <c r="B164" s="577"/>
      <c r="C164" s="577"/>
      <c r="D164" s="577"/>
      <c r="E164" s="577"/>
      <c r="F164" s="577"/>
    </row>
    <row r="165" spans="2:6" ht="15">
      <c r="B165" s="577"/>
      <c r="C165" s="577"/>
      <c r="D165" s="577"/>
      <c r="E165" s="577"/>
      <c r="F165" s="577"/>
    </row>
    <row r="166" spans="2:6" ht="15">
      <c r="B166" s="577"/>
      <c r="C166" s="577"/>
      <c r="D166" s="577"/>
      <c r="E166" s="577"/>
      <c r="F166" s="577"/>
    </row>
    <row r="167" spans="2:6" ht="15">
      <c r="B167" s="577"/>
      <c r="C167" s="577"/>
      <c r="D167" s="577"/>
      <c r="E167" s="577"/>
      <c r="F167" s="577"/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E42"/>
  <sheetViews>
    <sheetView view="pageBreakPreview" zoomScale="60" zoomScalePageLayoutView="0" workbookViewId="0" topLeftCell="A1">
      <selection activeCell="E39" sqref="E39"/>
    </sheetView>
  </sheetViews>
  <sheetFormatPr defaultColWidth="9.140625" defaultRowHeight="15"/>
  <cols>
    <col min="2" max="2" width="59.421875" style="0" bestFit="1" customWidth="1"/>
    <col min="3" max="3" width="11.140625" style="0" customWidth="1"/>
    <col min="5" max="5" width="11.421875" style="0" customWidth="1"/>
  </cols>
  <sheetData>
    <row r="1" ht="15">
      <c r="B1" t="s">
        <v>448</v>
      </c>
    </row>
    <row r="2" spans="2:5" ht="54" customHeight="1">
      <c r="B2" s="573" t="s">
        <v>438</v>
      </c>
      <c r="C2" s="573"/>
      <c r="D2" s="573"/>
      <c r="E2" s="573"/>
    </row>
    <row r="3" spans="2:5" ht="36.75" customHeight="1">
      <c r="B3" s="574"/>
      <c r="C3" s="574"/>
      <c r="D3" s="574"/>
      <c r="E3" s="574"/>
    </row>
    <row r="4" spans="2:5" ht="15.75" thickBot="1">
      <c r="B4" s="553"/>
      <c r="C4" s="553"/>
      <c r="D4" s="553"/>
      <c r="E4" s="553"/>
    </row>
    <row r="5" spans="2:5" ht="30.75" thickBot="1">
      <c r="B5" s="554" t="s">
        <v>617</v>
      </c>
      <c r="C5" s="554" t="s">
        <v>404</v>
      </c>
      <c r="D5" s="554" t="s">
        <v>405</v>
      </c>
      <c r="E5" s="555" t="s">
        <v>406</v>
      </c>
    </row>
    <row r="6" spans="2:5" ht="15">
      <c r="B6" s="556" t="s">
        <v>407</v>
      </c>
      <c r="C6" s="557">
        <f>SUM(C7:C10)</f>
        <v>3504676</v>
      </c>
      <c r="D6" s="557">
        <f>SUM(D7:D10)</f>
        <v>0</v>
      </c>
      <c r="E6" s="558">
        <f>SUM(E7:E10)</f>
        <v>3445636</v>
      </c>
    </row>
    <row r="7" spans="2:5" ht="15">
      <c r="B7" s="559" t="s">
        <v>408</v>
      </c>
      <c r="C7" s="560">
        <f>'4. mérleg'!D9</f>
        <v>40332</v>
      </c>
      <c r="D7" s="560">
        <v>0</v>
      </c>
      <c r="E7" s="560">
        <f>'4. mérleg'!F9</f>
        <v>25501</v>
      </c>
    </row>
    <row r="8" spans="2:5" ht="15">
      <c r="B8" s="559" t="s">
        <v>409</v>
      </c>
      <c r="C8" s="560">
        <f>'4. mérleg'!D15</f>
        <v>3440275</v>
      </c>
      <c r="D8" s="560">
        <v>0</v>
      </c>
      <c r="E8" s="560">
        <f>'4. mérleg'!F15</f>
        <v>3414486</v>
      </c>
    </row>
    <row r="9" spans="2:5" ht="15">
      <c r="B9" s="559" t="s">
        <v>410</v>
      </c>
      <c r="C9" s="560">
        <f>'4. mérleg'!D23</f>
        <v>24069</v>
      </c>
      <c r="D9" s="560">
        <v>0</v>
      </c>
      <c r="E9" s="560">
        <f>'4. mérleg'!F23</f>
        <v>5649</v>
      </c>
    </row>
    <row r="10" spans="2:5" ht="15">
      <c r="B10" s="559" t="s">
        <v>192</v>
      </c>
      <c r="C10" s="560">
        <v>0</v>
      </c>
      <c r="D10" s="560">
        <v>0</v>
      </c>
      <c r="E10" s="560">
        <v>0</v>
      </c>
    </row>
    <row r="11" spans="2:5" ht="15">
      <c r="B11" s="562" t="s">
        <v>411</v>
      </c>
      <c r="C11" s="563">
        <f>SUM(C12:C13)</f>
        <v>11077</v>
      </c>
      <c r="D11" s="563">
        <f>SUM(D12:D13)</f>
        <v>0</v>
      </c>
      <c r="E11" s="564">
        <f>SUM(E12:E13)</f>
        <v>11408</v>
      </c>
    </row>
    <row r="12" spans="2:5" ht="15">
      <c r="B12" s="559" t="s">
        <v>196</v>
      </c>
      <c r="C12" s="560">
        <f>'4. mérleg'!D33</f>
        <v>431</v>
      </c>
      <c r="D12" s="560">
        <v>0</v>
      </c>
      <c r="E12" s="560">
        <f>'4. mérleg'!F33</f>
        <v>762</v>
      </c>
    </row>
    <row r="13" spans="2:5" ht="15">
      <c r="B13" s="559" t="s">
        <v>198</v>
      </c>
      <c r="C13" s="560">
        <f>'4. mérleg'!D41</f>
        <v>10646</v>
      </c>
      <c r="D13" s="560">
        <v>0</v>
      </c>
      <c r="E13" s="560">
        <f>'4. mérleg'!F41</f>
        <v>10646</v>
      </c>
    </row>
    <row r="14" spans="2:5" ht="15">
      <c r="B14" s="562" t="s">
        <v>412</v>
      </c>
      <c r="C14" s="563">
        <f>SUM(C15:C19)</f>
        <v>79934</v>
      </c>
      <c r="D14" s="563">
        <f>SUM(D15:D19)</f>
        <v>0</v>
      </c>
      <c r="E14" s="564">
        <f>SUM(E15:E19)</f>
        <v>116293</v>
      </c>
    </row>
    <row r="15" spans="2:5" ht="15">
      <c r="B15" s="559" t="s">
        <v>413</v>
      </c>
      <c r="C15" s="560">
        <v>0</v>
      </c>
      <c r="D15" s="560">
        <v>0</v>
      </c>
      <c r="E15" s="561">
        <v>0</v>
      </c>
    </row>
    <row r="16" spans="2:5" ht="15">
      <c r="B16" s="559" t="s">
        <v>204</v>
      </c>
      <c r="C16" s="560">
        <f>'4. mérleg'!D44</f>
        <v>1158</v>
      </c>
      <c r="D16" s="560">
        <v>0</v>
      </c>
      <c r="E16" s="560">
        <f>'4. mérleg'!F44</f>
        <v>907</v>
      </c>
    </row>
    <row r="17" spans="2:5" ht="15">
      <c r="B17" s="559" t="s">
        <v>206</v>
      </c>
      <c r="C17" s="560">
        <f>'4. mérleg'!D45</f>
        <v>78483</v>
      </c>
      <c r="D17" s="560">
        <v>0</v>
      </c>
      <c r="E17" s="560">
        <f>'4. mérleg'!F45</f>
        <v>115231</v>
      </c>
    </row>
    <row r="18" spans="2:5" ht="15">
      <c r="B18" s="559" t="s">
        <v>208</v>
      </c>
      <c r="C18" s="560">
        <v>0</v>
      </c>
      <c r="D18" s="560">
        <v>0</v>
      </c>
      <c r="E18" s="561">
        <v>0</v>
      </c>
    </row>
    <row r="19" spans="2:5" ht="15">
      <c r="B19" s="559" t="s">
        <v>414</v>
      </c>
      <c r="C19" s="560">
        <f>'4. mérleg'!D47</f>
        <v>293</v>
      </c>
      <c r="D19" s="560">
        <v>0</v>
      </c>
      <c r="E19" s="560">
        <f>'4. mérleg'!F47</f>
        <v>155</v>
      </c>
    </row>
    <row r="20" spans="2:5" ht="15">
      <c r="B20" s="562" t="s">
        <v>415</v>
      </c>
      <c r="C20" s="563">
        <f>SUM(C21:C23)</f>
        <v>51586</v>
      </c>
      <c r="D20" s="563">
        <f>SUM(D21:D23)</f>
        <v>0</v>
      </c>
      <c r="E20" s="564">
        <f>SUM(E21:E23)</f>
        <v>37310</v>
      </c>
    </row>
    <row r="21" spans="2:5" ht="15">
      <c r="B21" s="559" t="s">
        <v>212</v>
      </c>
      <c r="C21" s="560">
        <f>'4. mérleg'!D62</f>
        <v>5144</v>
      </c>
      <c r="D21" s="560">
        <v>0</v>
      </c>
      <c r="E21" s="560">
        <f>'4. mérleg'!F62</f>
        <v>32492</v>
      </c>
    </row>
    <row r="22" spans="2:5" ht="15">
      <c r="B22" s="559" t="s">
        <v>214</v>
      </c>
      <c r="C22" s="560">
        <f>'4. mérleg'!D76</f>
        <v>41026</v>
      </c>
      <c r="D22" s="560">
        <v>0</v>
      </c>
      <c r="E22" s="560">
        <f>'4. mérleg'!F76</f>
        <v>4649</v>
      </c>
    </row>
    <row r="23" spans="2:5" ht="15">
      <c r="B23" s="559" t="s">
        <v>216</v>
      </c>
      <c r="C23" s="560">
        <f>'4. mérleg'!D89</f>
        <v>5416</v>
      </c>
      <c r="D23" s="560">
        <v>0</v>
      </c>
      <c r="E23" s="560">
        <f>'4. mérleg'!F89</f>
        <v>169</v>
      </c>
    </row>
    <row r="24" spans="2:5" ht="15">
      <c r="B24" s="562" t="s">
        <v>416</v>
      </c>
      <c r="C24" s="563">
        <f>'4. mérleg'!D91</f>
        <v>0</v>
      </c>
      <c r="D24" s="563">
        <v>0</v>
      </c>
      <c r="E24" s="563">
        <f>'4. mérleg'!F91</f>
        <v>5600</v>
      </c>
    </row>
    <row r="25" spans="2:5" ht="15.75" thickBot="1">
      <c r="B25" s="565" t="s">
        <v>417</v>
      </c>
      <c r="C25" s="566">
        <f>'4. mérleg'!D95</f>
        <v>0</v>
      </c>
      <c r="D25" s="566">
        <v>0</v>
      </c>
      <c r="E25" s="566">
        <v>0</v>
      </c>
    </row>
    <row r="26" spans="2:5" ht="15.75" thickBot="1">
      <c r="B26" s="567" t="s">
        <v>418</v>
      </c>
      <c r="C26" s="568">
        <f>C6+C11+C14+C20+C24+C25</f>
        <v>3647273</v>
      </c>
      <c r="D26" s="568">
        <f>D6+D11+D14+D20+D24+D25</f>
        <v>0</v>
      </c>
      <c r="E26" s="569">
        <f>E6+E11+E14+E20+E24+E25</f>
        <v>3616247</v>
      </c>
    </row>
    <row r="27" spans="2:5" ht="15">
      <c r="B27" s="570"/>
      <c r="C27" s="571"/>
      <c r="D27" s="571"/>
      <c r="E27" s="572"/>
    </row>
    <row r="28" spans="2:5" ht="15">
      <c r="B28" s="562" t="s">
        <v>419</v>
      </c>
      <c r="C28" s="563">
        <f>SUM(C29:C34)</f>
        <v>3636214</v>
      </c>
      <c r="D28" s="563">
        <f>SUM(D29:D34)</f>
        <v>0</v>
      </c>
      <c r="E28" s="564">
        <f>SUM(E29:E34)</f>
        <v>3593402</v>
      </c>
    </row>
    <row r="29" spans="2:5" ht="15">
      <c r="B29" s="559" t="s">
        <v>420</v>
      </c>
      <c r="C29" s="560">
        <f>'4. mérleg'!D98</f>
        <v>3593391</v>
      </c>
      <c r="D29" s="560">
        <v>0</v>
      </c>
      <c r="E29" s="560">
        <f>'4. mérleg'!F98</f>
        <v>3593391</v>
      </c>
    </row>
    <row r="30" spans="2:5" ht="15">
      <c r="B30" s="559" t="s">
        <v>421</v>
      </c>
      <c r="C30" s="560">
        <v>0</v>
      </c>
      <c r="D30" s="560">
        <v>0</v>
      </c>
      <c r="E30" s="561">
        <v>0</v>
      </c>
    </row>
    <row r="31" spans="2:5" ht="15">
      <c r="B31" s="559" t="s">
        <v>422</v>
      </c>
      <c r="C31" s="560">
        <f>'4. mérleg'!D100</f>
        <v>79641</v>
      </c>
      <c r="D31" s="560">
        <v>0</v>
      </c>
      <c r="E31" s="560">
        <f>'4. mérleg'!F100</f>
        <v>79641</v>
      </c>
    </row>
    <row r="32" spans="2:5" ht="15">
      <c r="B32" s="559" t="s">
        <v>423</v>
      </c>
      <c r="C32" s="560">
        <f>'4. mérleg'!D101</f>
        <v>-36818</v>
      </c>
      <c r="D32" s="560">
        <v>0</v>
      </c>
      <c r="E32" s="560">
        <f>'4. mérleg'!F101</f>
        <v>-36818</v>
      </c>
    </row>
    <row r="33" spans="2:5" ht="15">
      <c r="B33" s="559" t="s">
        <v>424</v>
      </c>
      <c r="C33" s="560">
        <v>0</v>
      </c>
      <c r="D33" s="560">
        <v>0</v>
      </c>
      <c r="E33" s="561">
        <v>0</v>
      </c>
    </row>
    <row r="34" spans="2:5" ht="15">
      <c r="B34" s="559" t="s">
        <v>425</v>
      </c>
      <c r="C34" s="560">
        <f>'4. mérleg'!D103</f>
        <v>0</v>
      </c>
      <c r="D34" s="560">
        <v>0</v>
      </c>
      <c r="E34" s="560">
        <f>'4. mérleg'!F103</f>
        <v>-42812</v>
      </c>
    </row>
    <row r="35" spans="2:5" ht="15">
      <c r="B35" s="562" t="s">
        <v>426</v>
      </c>
      <c r="C35" s="563">
        <f>SUM(C36:C38)</f>
        <v>10766</v>
      </c>
      <c r="D35" s="563">
        <f>SUM(D36:D38)</f>
        <v>0</v>
      </c>
      <c r="E35" s="564">
        <f>SUM(E36:E38)</f>
        <v>13127</v>
      </c>
    </row>
    <row r="36" spans="2:5" ht="15">
      <c r="B36" s="559" t="s">
        <v>427</v>
      </c>
      <c r="C36" s="560">
        <f>'4. mérleg'!D124</f>
        <v>470</v>
      </c>
      <c r="D36" s="560">
        <v>0</v>
      </c>
      <c r="E36" s="560">
        <f>'4. mérleg'!F124</f>
        <v>942</v>
      </c>
    </row>
    <row r="37" spans="2:5" ht="15">
      <c r="B37" s="559" t="s">
        <v>428</v>
      </c>
      <c r="C37" s="560">
        <f>'4. mérleg'!D144</f>
        <v>2444</v>
      </c>
      <c r="D37" s="560">
        <v>0</v>
      </c>
      <c r="E37" s="560">
        <f>'4. mérleg'!F144</f>
        <v>3570</v>
      </c>
    </row>
    <row r="38" spans="2:5" ht="15">
      <c r="B38" s="559" t="s">
        <v>429</v>
      </c>
      <c r="C38" s="560">
        <f>'4. mérleg'!D152</f>
        <v>7852</v>
      </c>
      <c r="D38" s="560">
        <v>0</v>
      </c>
      <c r="E38" s="560">
        <f>'4. mérleg'!F152</f>
        <v>8615</v>
      </c>
    </row>
    <row r="39" spans="2:5" ht="15">
      <c r="B39" s="562" t="s">
        <v>430</v>
      </c>
      <c r="C39" s="563">
        <f>'4. mérleg'!D154</f>
        <v>293</v>
      </c>
      <c r="D39" s="563">
        <v>0</v>
      </c>
      <c r="E39" s="563">
        <f>'4. mérleg'!F154</f>
        <v>155</v>
      </c>
    </row>
    <row r="40" spans="2:5" ht="15">
      <c r="B40" s="562" t="s">
        <v>431</v>
      </c>
      <c r="C40" s="563">
        <f>'4. mérleg'!D155</f>
        <v>0</v>
      </c>
      <c r="D40" s="563">
        <v>0</v>
      </c>
      <c r="E40" s="563">
        <v>0</v>
      </c>
    </row>
    <row r="41" spans="2:5" ht="15.75" thickBot="1">
      <c r="B41" s="565" t="s">
        <v>432</v>
      </c>
      <c r="C41" s="566">
        <f>'4. mérleg'!D159</f>
        <v>0</v>
      </c>
      <c r="D41" s="566">
        <v>0</v>
      </c>
      <c r="E41" s="566">
        <f>'4. mérleg'!F159</f>
        <v>9563</v>
      </c>
    </row>
    <row r="42" spans="2:5" ht="15.75" thickBot="1">
      <c r="B42" s="567" t="s">
        <v>433</v>
      </c>
      <c r="C42" s="568">
        <f>C28+C35+C39+C40+C41</f>
        <v>3647273</v>
      </c>
      <c r="D42" s="568">
        <f>D28+D35+D39+D40+D41</f>
        <v>0</v>
      </c>
      <c r="E42" s="569">
        <f>E28+E35+E39+E40+E41</f>
        <v>3616247</v>
      </c>
    </row>
  </sheetData>
  <sheetProtection/>
  <printOptions/>
  <pageMargins left="0.7" right="0.7" top="0.75" bottom="0.75" header="0.3" footer="0.3"/>
  <pageSetup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9"/>
  <sheetViews>
    <sheetView view="pageBreakPreview" zoomScale="60" zoomScalePageLayoutView="0" workbookViewId="0" topLeftCell="A1">
      <selection activeCell="H567" sqref="H567"/>
    </sheetView>
  </sheetViews>
  <sheetFormatPr defaultColWidth="9.140625" defaultRowHeight="15"/>
  <cols>
    <col min="1" max="1" width="5.00390625" style="642" customWidth="1"/>
    <col min="2" max="2" width="62.140625" style="644" customWidth="1"/>
    <col min="3" max="3" width="9.421875" style="654" customWidth="1"/>
    <col min="4" max="4" width="11.7109375" style="654" customWidth="1"/>
    <col min="5" max="5" width="11.421875" style="654" customWidth="1"/>
    <col min="6" max="6" width="9.140625" style="581" customWidth="1"/>
    <col min="7" max="11" width="20.8515625" style="582" customWidth="1"/>
    <col min="12" max="16384" width="9.140625" style="582" customWidth="1"/>
  </cols>
  <sheetData>
    <row r="1" ht="15">
      <c r="B1" t="s">
        <v>1700</v>
      </c>
    </row>
    <row r="2" spans="1:5" ht="14.25">
      <c r="A2" s="778" t="s">
        <v>460</v>
      </c>
      <c r="B2" s="779"/>
      <c r="C2" s="779"/>
      <c r="D2" s="779"/>
      <c r="E2" s="779"/>
    </row>
    <row r="3" spans="1:5" ht="31.5" customHeight="1">
      <c r="A3" s="779"/>
      <c r="B3" s="779"/>
      <c r="C3" s="779"/>
      <c r="D3" s="779"/>
      <c r="E3" s="779"/>
    </row>
    <row r="4" spans="1:5" s="584" customFormat="1" ht="27.75" customHeight="1" thickBot="1">
      <c r="A4" s="583"/>
      <c r="B4" s="780" t="s">
        <v>461</v>
      </c>
      <c r="C4" s="781"/>
      <c r="D4" s="781"/>
      <c r="E4" s="781"/>
    </row>
    <row r="5" spans="1:16" s="584" customFormat="1" ht="26.25" thickBot="1">
      <c r="A5" s="585"/>
      <c r="B5" s="586" t="s">
        <v>617</v>
      </c>
      <c r="C5" s="587" t="s">
        <v>436</v>
      </c>
      <c r="D5" s="587" t="s">
        <v>462</v>
      </c>
      <c r="E5" s="588" t="s">
        <v>463</v>
      </c>
      <c r="G5" s="589"/>
      <c r="H5" s="589"/>
      <c r="I5" s="589"/>
      <c r="J5" s="589"/>
      <c r="K5" s="589"/>
      <c r="L5" s="589" t="s">
        <v>464</v>
      </c>
      <c r="M5" s="589" t="s">
        <v>462</v>
      </c>
      <c r="N5" s="589" t="s">
        <v>465</v>
      </c>
      <c r="O5" s="589" t="s">
        <v>466</v>
      </c>
      <c r="P5" s="589" t="s">
        <v>463</v>
      </c>
    </row>
    <row r="6" spans="1:16" ht="18" customHeight="1">
      <c r="A6" s="590" t="s">
        <v>467</v>
      </c>
      <c r="B6" s="591" t="s">
        <v>468</v>
      </c>
      <c r="C6" s="592">
        <v>22605</v>
      </c>
      <c r="D6" s="593">
        <v>22605</v>
      </c>
      <c r="E6" s="594">
        <v>22605</v>
      </c>
      <c r="F6" s="582"/>
      <c r="G6" s="595"/>
      <c r="H6" s="595"/>
      <c r="I6" s="595"/>
      <c r="J6" s="595"/>
      <c r="K6" s="595"/>
      <c r="L6" s="595">
        <v>22605</v>
      </c>
      <c r="M6" s="595">
        <v>22605</v>
      </c>
      <c r="N6" s="595">
        <v>22605</v>
      </c>
      <c r="O6" s="595">
        <v>0</v>
      </c>
      <c r="P6" s="595">
        <v>22605</v>
      </c>
    </row>
    <row r="7" spans="1:16" ht="15.75" customHeight="1">
      <c r="A7" s="596" t="s">
        <v>469</v>
      </c>
      <c r="B7" s="597" t="s">
        <v>470</v>
      </c>
      <c r="C7" s="598">
        <v>23781</v>
      </c>
      <c r="D7" s="598">
        <v>24111</v>
      </c>
      <c r="E7" s="599">
        <v>24111</v>
      </c>
      <c r="F7" s="582"/>
      <c r="G7" s="595"/>
      <c r="H7" s="595"/>
      <c r="I7" s="595"/>
      <c r="J7" s="595"/>
      <c r="K7" s="595"/>
      <c r="L7" s="595">
        <v>23781</v>
      </c>
      <c r="M7" s="595">
        <v>24111</v>
      </c>
      <c r="N7" s="595">
        <v>24111</v>
      </c>
      <c r="O7" s="595">
        <v>0</v>
      </c>
      <c r="P7" s="595">
        <v>24111</v>
      </c>
    </row>
    <row r="8" spans="1:16" ht="29.25" customHeight="1">
      <c r="A8" s="596" t="s">
        <v>471</v>
      </c>
      <c r="B8" s="600" t="s">
        <v>472</v>
      </c>
      <c r="C8" s="598">
        <v>21599</v>
      </c>
      <c r="D8" s="598">
        <v>24445</v>
      </c>
      <c r="E8" s="599">
        <v>24445</v>
      </c>
      <c r="F8" s="582"/>
      <c r="G8" s="595"/>
      <c r="H8" s="595"/>
      <c r="I8" s="595"/>
      <c r="J8" s="595"/>
      <c r="K8" s="595"/>
      <c r="L8" s="595">
        <v>21599</v>
      </c>
      <c r="M8" s="595">
        <v>24445</v>
      </c>
      <c r="N8" s="595">
        <v>24445</v>
      </c>
      <c r="O8" s="595">
        <v>0</v>
      </c>
      <c r="P8" s="595">
        <v>24445</v>
      </c>
    </row>
    <row r="9" spans="1:16" ht="18" customHeight="1">
      <c r="A9" s="596" t="s">
        <v>473</v>
      </c>
      <c r="B9" s="600" t="s">
        <v>474</v>
      </c>
      <c r="C9" s="598">
        <v>1604</v>
      </c>
      <c r="D9" s="598">
        <v>1604</v>
      </c>
      <c r="E9" s="599">
        <v>1604</v>
      </c>
      <c r="F9" s="582"/>
      <c r="G9" s="595"/>
      <c r="H9" s="595"/>
      <c r="I9" s="595"/>
      <c r="J9" s="595"/>
      <c r="K9" s="595"/>
      <c r="L9" s="595">
        <v>1604</v>
      </c>
      <c r="M9" s="595">
        <v>1604</v>
      </c>
      <c r="N9" s="595">
        <v>1604</v>
      </c>
      <c r="O9" s="595">
        <v>0</v>
      </c>
      <c r="P9" s="595">
        <v>1604</v>
      </c>
    </row>
    <row r="10" spans="1:16" ht="14.25">
      <c r="A10" s="596" t="s">
        <v>437</v>
      </c>
      <c r="B10" s="601" t="s">
        <v>475</v>
      </c>
      <c r="C10" s="598">
        <v>23518</v>
      </c>
      <c r="D10" s="598">
        <v>36817</v>
      </c>
      <c r="E10" s="599">
        <v>36817</v>
      </c>
      <c r="F10" s="582"/>
      <c r="G10" s="595"/>
      <c r="H10" s="595"/>
      <c r="I10" s="595"/>
      <c r="J10" s="595"/>
      <c r="K10" s="595"/>
      <c r="L10" s="595">
        <v>23518</v>
      </c>
      <c r="M10" s="595">
        <v>36817</v>
      </c>
      <c r="N10" s="595">
        <v>36817</v>
      </c>
      <c r="O10" s="595">
        <v>0</v>
      </c>
      <c r="P10" s="595">
        <v>36817</v>
      </c>
    </row>
    <row r="11" spans="1:16" ht="14.25">
      <c r="A11" s="596" t="s">
        <v>476</v>
      </c>
      <c r="B11" s="601" t="s">
        <v>477</v>
      </c>
      <c r="C11" s="598"/>
      <c r="D11" s="598">
        <v>4427</v>
      </c>
      <c r="E11" s="599">
        <v>4427</v>
      </c>
      <c r="F11" s="582"/>
      <c r="G11" s="595"/>
      <c r="H11" s="595"/>
      <c r="I11" s="595"/>
      <c r="J11" s="595"/>
      <c r="K11" s="595"/>
      <c r="L11" s="595">
        <v>0</v>
      </c>
      <c r="M11" s="595">
        <v>4427</v>
      </c>
      <c r="N11" s="595">
        <v>4427</v>
      </c>
      <c r="O11" s="595">
        <v>0</v>
      </c>
      <c r="P11" s="595">
        <v>4427</v>
      </c>
    </row>
    <row r="12" spans="1:16" ht="15">
      <c r="A12" s="602" t="s">
        <v>928</v>
      </c>
      <c r="B12" s="603" t="s">
        <v>1469</v>
      </c>
      <c r="C12" s="598">
        <f>SUM(C6:C11)</f>
        <v>93107</v>
      </c>
      <c r="D12" s="598">
        <f>SUM(D6:D11)</f>
        <v>114009</v>
      </c>
      <c r="E12" s="599">
        <f>SUM(E6:E11)</f>
        <v>114009</v>
      </c>
      <c r="F12" s="582"/>
      <c r="G12" s="604"/>
      <c r="H12" s="604"/>
      <c r="I12" s="604"/>
      <c r="J12" s="604"/>
      <c r="K12" s="604"/>
      <c r="L12" s="604">
        <v>93107</v>
      </c>
      <c r="M12" s="604">
        <v>114009</v>
      </c>
      <c r="N12" s="604">
        <v>114009</v>
      </c>
      <c r="O12" s="604">
        <v>0</v>
      </c>
      <c r="P12" s="604">
        <v>114009</v>
      </c>
    </row>
    <row r="13" spans="1:16" ht="25.5" customHeight="1">
      <c r="A13" s="596" t="s">
        <v>478</v>
      </c>
      <c r="B13" s="600" t="s">
        <v>479</v>
      </c>
      <c r="C13" s="598">
        <v>4997</v>
      </c>
      <c r="D13" s="598">
        <v>15473</v>
      </c>
      <c r="E13" s="599">
        <v>15472</v>
      </c>
      <c r="F13" s="582"/>
      <c r="G13" s="595"/>
      <c r="H13" s="595"/>
      <c r="I13" s="595"/>
      <c r="J13" s="595"/>
      <c r="K13" s="595"/>
      <c r="L13" s="595">
        <v>4977</v>
      </c>
      <c r="M13" s="595">
        <v>15473</v>
      </c>
      <c r="N13" s="595">
        <v>15472</v>
      </c>
      <c r="O13" s="595">
        <v>0</v>
      </c>
      <c r="P13" s="595">
        <v>15472</v>
      </c>
    </row>
    <row r="14" spans="1:16" ht="15" customHeight="1">
      <c r="A14" s="602" t="s">
        <v>480</v>
      </c>
      <c r="B14" s="603" t="s">
        <v>481</v>
      </c>
      <c r="C14" s="598">
        <f>SUM(C13)</f>
        <v>4997</v>
      </c>
      <c r="D14" s="598">
        <f>SUM(D13)</f>
        <v>15473</v>
      </c>
      <c r="E14" s="599">
        <f>SUM(E13)</f>
        <v>15472</v>
      </c>
      <c r="F14" s="582"/>
      <c r="G14" s="604"/>
      <c r="H14" s="604"/>
      <c r="I14" s="604"/>
      <c r="J14" s="604"/>
      <c r="K14" s="604"/>
      <c r="L14" s="604">
        <v>98084</v>
      </c>
      <c r="M14" s="604">
        <v>129482</v>
      </c>
      <c r="N14" s="604">
        <v>129481</v>
      </c>
      <c r="O14" s="604">
        <v>0</v>
      </c>
      <c r="P14" s="604">
        <v>129481</v>
      </c>
    </row>
    <row r="15" spans="1:16" s="606" customFormat="1" ht="18.75" customHeight="1">
      <c r="A15" s="602" t="s">
        <v>482</v>
      </c>
      <c r="B15" s="605" t="s">
        <v>483</v>
      </c>
      <c r="C15" s="598"/>
      <c r="D15" s="598">
        <v>0</v>
      </c>
      <c r="E15" s="599">
        <v>0</v>
      </c>
      <c r="G15" s="607"/>
      <c r="H15" s="607"/>
      <c r="I15" s="607"/>
      <c r="J15" s="607"/>
      <c r="K15" s="607"/>
      <c r="L15" s="607">
        <v>0</v>
      </c>
      <c r="M15" s="607">
        <v>0</v>
      </c>
      <c r="N15" s="607">
        <v>0</v>
      </c>
      <c r="O15" s="607">
        <v>0</v>
      </c>
      <c r="P15" s="607">
        <v>0</v>
      </c>
    </row>
    <row r="16" spans="1:16" s="606" customFormat="1" ht="14.25" hidden="1">
      <c r="A16" s="596"/>
      <c r="B16" s="600" t="s">
        <v>484</v>
      </c>
      <c r="C16" s="598"/>
      <c r="D16" s="598">
        <v>0</v>
      </c>
      <c r="E16" s="599">
        <v>0</v>
      </c>
      <c r="G16" s="608"/>
      <c r="H16" s="608"/>
      <c r="I16" s="608"/>
      <c r="J16" s="608"/>
      <c r="K16" s="608"/>
      <c r="L16" s="608">
        <v>0</v>
      </c>
      <c r="M16" s="608">
        <v>0</v>
      </c>
      <c r="N16" s="608">
        <v>0</v>
      </c>
      <c r="O16" s="608">
        <v>0</v>
      </c>
      <c r="P16" s="608">
        <v>0</v>
      </c>
    </row>
    <row r="17" spans="1:16" s="606" customFormat="1" ht="14.25" hidden="1">
      <c r="A17" s="596"/>
      <c r="B17" s="600" t="s">
        <v>485</v>
      </c>
      <c r="C17" s="598"/>
      <c r="D17" s="598">
        <v>0</v>
      </c>
      <c r="E17" s="599">
        <v>0</v>
      </c>
      <c r="G17" s="608"/>
      <c r="H17" s="608"/>
      <c r="I17" s="608"/>
      <c r="J17" s="608"/>
      <c r="K17" s="608"/>
      <c r="L17" s="608">
        <v>0</v>
      </c>
      <c r="M17" s="608">
        <v>0</v>
      </c>
      <c r="N17" s="608">
        <v>0</v>
      </c>
      <c r="O17" s="608">
        <v>0</v>
      </c>
      <c r="P17" s="608">
        <v>0</v>
      </c>
    </row>
    <row r="18" spans="1:16" s="606" customFormat="1" ht="24" hidden="1">
      <c r="A18" s="596"/>
      <c r="B18" s="600" t="s">
        <v>486</v>
      </c>
      <c r="C18" s="598"/>
      <c r="D18" s="598">
        <v>0</v>
      </c>
      <c r="E18" s="599">
        <v>0</v>
      </c>
      <c r="G18" s="608"/>
      <c r="H18" s="608"/>
      <c r="I18" s="608"/>
      <c r="J18" s="608"/>
      <c r="K18" s="608"/>
      <c r="L18" s="608">
        <v>0</v>
      </c>
      <c r="M18" s="608">
        <v>0</v>
      </c>
      <c r="N18" s="608">
        <v>0</v>
      </c>
      <c r="O18" s="608">
        <v>0</v>
      </c>
      <c r="P18" s="608">
        <v>0</v>
      </c>
    </row>
    <row r="19" spans="1:16" s="606" customFormat="1" ht="24" hidden="1">
      <c r="A19" s="596"/>
      <c r="B19" s="600" t="s">
        <v>487</v>
      </c>
      <c r="C19" s="598"/>
      <c r="D19" s="598">
        <v>0</v>
      </c>
      <c r="E19" s="599">
        <v>0</v>
      </c>
      <c r="G19" s="608"/>
      <c r="H19" s="608"/>
      <c r="I19" s="608"/>
      <c r="J19" s="608"/>
      <c r="K19" s="608"/>
      <c r="L19" s="608">
        <v>0</v>
      </c>
      <c r="M19" s="608">
        <v>0</v>
      </c>
      <c r="N19" s="608">
        <v>0</v>
      </c>
      <c r="O19" s="608">
        <v>0</v>
      </c>
      <c r="P19" s="608">
        <v>0</v>
      </c>
    </row>
    <row r="20" spans="1:16" s="606" customFormat="1" ht="14.25" hidden="1">
      <c r="A20" s="596"/>
      <c r="B20" s="600" t="s">
        <v>488</v>
      </c>
      <c r="C20" s="598"/>
      <c r="D20" s="598">
        <v>0</v>
      </c>
      <c r="E20" s="599">
        <v>0</v>
      </c>
      <c r="G20" s="608"/>
      <c r="H20" s="608"/>
      <c r="I20" s="608"/>
      <c r="J20" s="608"/>
      <c r="K20" s="608"/>
      <c r="L20" s="608">
        <v>0</v>
      </c>
      <c r="M20" s="608">
        <v>0</v>
      </c>
      <c r="N20" s="608">
        <v>0</v>
      </c>
      <c r="O20" s="608">
        <v>0</v>
      </c>
      <c r="P20" s="608">
        <v>0</v>
      </c>
    </row>
    <row r="21" spans="1:16" s="606" customFormat="1" ht="15" hidden="1">
      <c r="A21" s="596"/>
      <c r="B21" s="600" t="s">
        <v>489</v>
      </c>
      <c r="C21" s="609"/>
      <c r="D21" s="609">
        <v>0</v>
      </c>
      <c r="E21" s="610">
        <v>0</v>
      </c>
      <c r="G21" s="608"/>
      <c r="H21" s="608"/>
      <c r="I21" s="608"/>
      <c r="J21" s="608"/>
      <c r="K21" s="608"/>
      <c r="L21" s="608">
        <v>0</v>
      </c>
      <c r="M21" s="608">
        <v>0</v>
      </c>
      <c r="N21" s="608">
        <v>0</v>
      </c>
      <c r="O21" s="608">
        <v>0</v>
      </c>
      <c r="P21" s="608">
        <v>0</v>
      </c>
    </row>
    <row r="22" spans="1:16" s="606" customFormat="1" ht="14.25" hidden="1">
      <c r="A22" s="596"/>
      <c r="B22" s="600" t="s">
        <v>490</v>
      </c>
      <c r="C22" s="598"/>
      <c r="D22" s="598">
        <v>0</v>
      </c>
      <c r="E22" s="599">
        <v>0</v>
      </c>
      <c r="G22" s="608"/>
      <c r="H22" s="608"/>
      <c r="I22" s="608"/>
      <c r="J22" s="608"/>
      <c r="K22" s="608"/>
      <c r="L22" s="608">
        <v>0</v>
      </c>
      <c r="M22" s="608">
        <v>0</v>
      </c>
      <c r="N22" s="608">
        <v>0</v>
      </c>
      <c r="O22" s="608">
        <v>0</v>
      </c>
      <c r="P22" s="608">
        <v>0</v>
      </c>
    </row>
    <row r="23" spans="1:16" s="606" customFormat="1" ht="14.25" hidden="1">
      <c r="A23" s="596"/>
      <c r="B23" s="600" t="s">
        <v>491</v>
      </c>
      <c r="C23" s="598"/>
      <c r="D23" s="598">
        <v>0</v>
      </c>
      <c r="E23" s="599">
        <v>0</v>
      </c>
      <c r="G23" s="608"/>
      <c r="H23" s="608"/>
      <c r="I23" s="608"/>
      <c r="J23" s="608"/>
      <c r="K23" s="608"/>
      <c r="L23" s="608">
        <v>0</v>
      </c>
      <c r="M23" s="608">
        <v>0</v>
      </c>
      <c r="N23" s="608">
        <v>0</v>
      </c>
      <c r="O23" s="608">
        <v>0</v>
      </c>
      <c r="P23" s="608">
        <v>0</v>
      </c>
    </row>
    <row r="24" spans="1:16" s="606" customFormat="1" ht="14.25" hidden="1">
      <c r="A24" s="596"/>
      <c r="B24" s="600" t="s">
        <v>492</v>
      </c>
      <c r="C24" s="598"/>
      <c r="D24" s="598">
        <v>0</v>
      </c>
      <c r="E24" s="599">
        <v>0</v>
      </c>
      <c r="G24" s="608"/>
      <c r="H24" s="608"/>
      <c r="I24" s="608"/>
      <c r="J24" s="608"/>
      <c r="K24" s="608"/>
      <c r="L24" s="608">
        <v>0</v>
      </c>
      <c r="M24" s="608">
        <v>0</v>
      </c>
      <c r="N24" s="608">
        <v>0</v>
      </c>
      <c r="O24" s="608">
        <v>0</v>
      </c>
      <c r="P24" s="608">
        <v>0</v>
      </c>
    </row>
    <row r="25" spans="1:16" s="606" customFormat="1" ht="15" hidden="1">
      <c r="A25" s="596"/>
      <c r="B25" s="600" t="s">
        <v>493</v>
      </c>
      <c r="C25" s="609"/>
      <c r="D25" s="609">
        <v>0</v>
      </c>
      <c r="E25" s="610">
        <v>0</v>
      </c>
      <c r="G25" s="608"/>
      <c r="H25" s="608"/>
      <c r="I25" s="608"/>
      <c r="J25" s="608"/>
      <c r="K25" s="608"/>
      <c r="L25" s="608">
        <v>0</v>
      </c>
      <c r="M25" s="608">
        <v>0</v>
      </c>
      <c r="N25" s="608">
        <v>0</v>
      </c>
      <c r="O25" s="608">
        <v>0</v>
      </c>
      <c r="P25" s="608">
        <v>0</v>
      </c>
    </row>
    <row r="26" spans="1:16" s="606" customFormat="1" ht="15" hidden="1">
      <c r="A26" s="596"/>
      <c r="B26" s="600" t="s">
        <v>494</v>
      </c>
      <c r="C26" s="609"/>
      <c r="D26" s="609">
        <v>0</v>
      </c>
      <c r="E26" s="610">
        <v>0</v>
      </c>
      <c r="G26" s="608"/>
      <c r="H26" s="608"/>
      <c r="I26" s="608"/>
      <c r="J26" s="608"/>
      <c r="K26" s="608"/>
      <c r="L26" s="608">
        <v>0</v>
      </c>
      <c r="M26" s="608">
        <v>0</v>
      </c>
      <c r="N26" s="608">
        <v>0</v>
      </c>
      <c r="O26" s="608">
        <v>0</v>
      </c>
      <c r="P26" s="608">
        <v>0</v>
      </c>
    </row>
    <row r="27" spans="1:16" s="606" customFormat="1" ht="15" hidden="1">
      <c r="A27" s="596"/>
      <c r="B27" s="600" t="s">
        <v>495</v>
      </c>
      <c r="C27" s="609"/>
      <c r="D27" s="609">
        <v>0</v>
      </c>
      <c r="E27" s="610">
        <v>0</v>
      </c>
      <c r="G27" s="608"/>
      <c r="H27" s="608"/>
      <c r="I27" s="608"/>
      <c r="J27" s="608"/>
      <c r="K27" s="608"/>
      <c r="L27" s="608">
        <v>0</v>
      </c>
      <c r="M27" s="608">
        <v>0</v>
      </c>
      <c r="N27" s="608">
        <v>0</v>
      </c>
      <c r="O27" s="608">
        <v>0</v>
      </c>
      <c r="P27" s="608">
        <v>0</v>
      </c>
    </row>
    <row r="28" spans="1:16" s="606" customFormat="1" ht="14.25" hidden="1">
      <c r="A28" s="596"/>
      <c r="B28" s="600" t="s">
        <v>496</v>
      </c>
      <c r="C28" s="598"/>
      <c r="D28" s="598">
        <v>0</v>
      </c>
      <c r="E28" s="599">
        <v>0</v>
      </c>
      <c r="G28" s="608"/>
      <c r="H28" s="608"/>
      <c r="I28" s="608"/>
      <c r="J28" s="608"/>
      <c r="K28" s="608"/>
      <c r="L28" s="608">
        <v>0</v>
      </c>
      <c r="M28" s="608">
        <v>0</v>
      </c>
      <c r="N28" s="608">
        <v>0</v>
      </c>
      <c r="O28" s="608">
        <v>0</v>
      </c>
      <c r="P28" s="608">
        <v>0</v>
      </c>
    </row>
    <row r="29" spans="1:16" s="606" customFormat="1" ht="14.25">
      <c r="A29" s="602" t="s">
        <v>497</v>
      </c>
      <c r="B29" s="605" t="s">
        <v>498</v>
      </c>
      <c r="C29" s="598"/>
      <c r="D29" s="598">
        <f>D16+D20</f>
        <v>0</v>
      </c>
      <c r="E29" s="599">
        <f>E16+E20</f>
        <v>0</v>
      </c>
      <c r="G29" s="607"/>
      <c r="H29" s="607"/>
      <c r="I29" s="607"/>
      <c r="J29" s="607"/>
      <c r="K29" s="607"/>
      <c r="L29" s="607">
        <v>0</v>
      </c>
      <c r="M29" s="607">
        <v>0</v>
      </c>
      <c r="N29" s="607">
        <v>0</v>
      </c>
      <c r="O29" s="607">
        <v>0</v>
      </c>
      <c r="P29" s="607">
        <v>0</v>
      </c>
    </row>
    <row r="30" spans="1:16" s="606" customFormat="1" ht="14.25" hidden="1">
      <c r="A30" s="596"/>
      <c r="B30" s="600" t="s">
        <v>499</v>
      </c>
      <c r="C30" s="598"/>
      <c r="D30" s="598">
        <v>0</v>
      </c>
      <c r="E30" s="599">
        <v>0</v>
      </c>
      <c r="G30" s="608"/>
      <c r="H30" s="608"/>
      <c r="I30" s="608"/>
      <c r="J30" s="608"/>
      <c r="K30" s="608"/>
      <c r="L30" s="608">
        <v>0</v>
      </c>
      <c r="M30" s="608">
        <v>0</v>
      </c>
      <c r="N30" s="608">
        <v>0</v>
      </c>
      <c r="O30" s="608">
        <v>0</v>
      </c>
      <c r="P30" s="608">
        <v>0</v>
      </c>
    </row>
    <row r="31" spans="1:16" s="606" customFormat="1" ht="14.25" hidden="1">
      <c r="A31" s="596"/>
      <c r="B31" s="600" t="s">
        <v>500</v>
      </c>
      <c r="C31" s="598"/>
      <c r="D31" s="598">
        <v>0</v>
      </c>
      <c r="E31" s="599">
        <v>0</v>
      </c>
      <c r="G31" s="608"/>
      <c r="H31" s="608"/>
      <c r="I31" s="608"/>
      <c r="J31" s="608"/>
      <c r="K31" s="608"/>
      <c r="L31" s="608">
        <v>0</v>
      </c>
      <c r="M31" s="608">
        <v>0</v>
      </c>
      <c r="N31" s="608">
        <v>0</v>
      </c>
      <c r="O31" s="608">
        <v>0</v>
      </c>
      <c r="P31" s="608">
        <v>0</v>
      </c>
    </row>
    <row r="32" spans="1:16" s="606" customFormat="1" ht="24" hidden="1">
      <c r="A32" s="596"/>
      <c r="B32" s="600" t="s">
        <v>501</v>
      </c>
      <c r="C32" s="598"/>
      <c r="D32" s="598">
        <v>0</v>
      </c>
      <c r="E32" s="599">
        <v>0</v>
      </c>
      <c r="G32" s="608"/>
      <c r="H32" s="608"/>
      <c r="I32" s="608"/>
      <c r="J32" s="608"/>
      <c r="K32" s="608"/>
      <c r="L32" s="608">
        <v>0</v>
      </c>
      <c r="M32" s="608">
        <v>0</v>
      </c>
      <c r="N32" s="608">
        <v>0</v>
      </c>
      <c r="O32" s="608">
        <v>0</v>
      </c>
      <c r="P32" s="608">
        <v>0</v>
      </c>
    </row>
    <row r="33" spans="1:16" s="612" customFormat="1" ht="14.25" hidden="1">
      <c r="A33" s="596"/>
      <c r="B33" s="611" t="s">
        <v>502</v>
      </c>
      <c r="C33" s="598"/>
      <c r="D33" s="598">
        <v>0</v>
      </c>
      <c r="E33" s="599">
        <v>0</v>
      </c>
      <c r="G33" s="613"/>
      <c r="H33" s="613"/>
      <c r="I33" s="613"/>
      <c r="J33" s="613"/>
      <c r="K33" s="613"/>
      <c r="L33" s="613">
        <v>0</v>
      </c>
      <c r="M33" s="613">
        <v>0</v>
      </c>
      <c r="N33" s="613">
        <v>0</v>
      </c>
      <c r="O33" s="613">
        <v>0</v>
      </c>
      <c r="P33" s="613">
        <v>0</v>
      </c>
    </row>
    <row r="34" spans="1:16" s="612" customFormat="1" ht="14.25" hidden="1">
      <c r="A34" s="596"/>
      <c r="B34" s="611" t="s">
        <v>503</v>
      </c>
      <c r="C34" s="598"/>
      <c r="D34" s="598">
        <v>0</v>
      </c>
      <c r="E34" s="599">
        <v>0</v>
      </c>
      <c r="G34" s="613"/>
      <c r="H34" s="613"/>
      <c r="I34" s="613"/>
      <c r="J34" s="613"/>
      <c r="K34" s="613"/>
      <c r="L34" s="613">
        <v>0</v>
      </c>
      <c r="M34" s="613">
        <v>0</v>
      </c>
      <c r="N34" s="613">
        <v>0</v>
      </c>
      <c r="O34" s="613">
        <v>0</v>
      </c>
      <c r="P34" s="613">
        <v>0</v>
      </c>
    </row>
    <row r="35" spans="1:16" s="612" customFormat="1" ht="14.25" hidden="1">
      <c r="A35" s="596"/>
      <c r="B35" s="611" t="s">
        <v>504</v>
      </c>
      <c r="C35" s="598"/>
      <c r="D35" s="598">
        <v>0</v>
      </c>
      <c r="E35" s="599">
        <v>0</v>
      </c>
      <c r="G35" s="613"/>
      <c r="H35" s="613"/>
      <c r="I35" s="613"/>
      <c r="J35" s="613"/>
      <c r="K35" s="613"/>
      <c r="L35" s="613">
        <v>0</v>
      </c>
      <c r="M35" s="613">
        <v>0</v>
      </c>
      <c r="N35" s="613">
        <v>0</v>
      </c>
      <c r="O35" s="613">
        <v>0</v>
      </c>
      <c r="P35" s="613">
        <v>0</v>
      </c>
    </row>
    <row r="36" spans="1:16" s="612" customFormat="1" ht="14.25" hidden="1">
      <c r="A36" s="596"/>
      <c r="B36" s="611" t="s">
        <v>505</v>
      </c>
      <c r="C36" s="598"/>
      <c r="D36" s="598">
        <v>0</v>
      </c>
      <c r="E36" s="599">
        <v>0</v>
      </c>
      <c r="G36" s="613"/>
      <c r="H36" s="613"/>
      <c r="I36" s="613"/>
      <c r="J36" s="613"/>
      <c r="K36" s="613"/>
      <c r="L36" s="613">
        <v>0</v>
      </c>
      <c r="M36" s="613">
        <v>0</v>
      </c>
      <c r="N36" s="613">
        <v>0</v>
      </c>
      <c r="O36" s="613">
        <v>0</v>
      </c>
      <c r="P36" s="613">
        <v>0</v>
      </c>
    </row>
    <row r="37" spans="1:16" s="612" customFormat="1" ht="14.25" hidden="1">
      <c r="A37" s="596"/>
      <c r="B37" s="611" t="s">
        <v>506</v>
      </c>
      <c r="C37" s="598"/>
      <c r="D37" s="598">
        <v>0</v>
      </c>
      <c r="E37" s="599">
        <v>0</v>
      </c>
      <c r="G37" s="613"/>
      <c r="H37" s="613"/>
      <c r="I37" s="613"/>
      <c r="J37" s="613"/>
      <c r="K37" s="613"/>
      <c r="L37" s="613">
        <v>0</v>
      </c>
      <c r="M37" s="613">
        <v>0</v>
      </c>
      <c r="N37" s="613">
        <v>0</v>
      </c>
      <c r="O37" s="613">
        <v>0</v>
      </c>
      <c r="P37" s="613">
        <v>0</v>
      </c>
    </row>
    <row r="38" spans="1:16" s="612" customFormat="1" ht="15" hidden="1">
      <c r="A38" s="596"/>
      <c r="B38" s="611" t="s">
        <v>507</v>
      </c>
      <c r="C38" s="609"/>
      <c r="D38" s="609">
        <v>0</v>
      </c>
      <c r="E38" s="610">
        <v>0</v>
      </c>
      <c r="G38" s="613"/>
      <c r="H38" s="613"/>
      <c r="I38" s="613"/>
      <c r="J38" s="613"/>
      <c r="K38" s="613"/>
      <c r="L38" s="613">
        <v>0</v>
      </c>
      <c r="M38" s="613">
        <v>0</v>
      </c>
      <c r="N38" s="613">
        <v>0</v>
      </c>
      <c r="O38" s="613">
        <v>0</v>
      </c>
      <c r="P38" s="613">
        <v>0</v>
      </c>
    </row>
    <row r="39" spans="1:16" s="612" customFormat="1" ht="14.25" hidden="1">
      <c r="A39" s="596"/>
      <c r="B39" s="611" t="s">
        <v>508</v>
      </c>
      <c r="C39" s="598"/>
      <c r="D39" s="598">
        <v>0</v>
      </c>
      <c r="E39" s="599">
        <v>0</v>
      </c>
      <c r="G39" s="613"/>
      <c r="H39" s="613"/>
      <c r="I39" s="613"/>
      <c r="J39" s="613"/>
      <c r="K39" s="613"/>
      <c r="L39" s="613">
        <v>0</v>
      </c>
      <c r="M39" s="613">
        <v>0</v>
      </c>
      <c r="N39" s="613">
        <v>0</v>
      </c>
      <c r="O39" s="613">
        <v>0</v>
      </c>
      <c r="P39" s="613">
        <v>0</v>
      </c>
    </row>
    <row r="40" spans="1:16" s="612" customFormat="1" ht="14.25" hidden="1">
      <c r="A40" s="596"/>
      <c r="B40" s="611" t="s">
        <v>509</v>
      </c>
      <c r="C40" s="598"/>
      <c r="D40" s="598">
        <v>0</v>
      </c>
      <c r="E40" s="599">
        <v>0</v>
      </c>
      <c r="G40" s="613"/>
      <c r="H40" s="613"/>
      <c r="I40" s="613"/>
      <c r="J40" s="613"/>
      <c r="K40" s="613"/>
      <c r="L40" s="613">
        <v>0</v>
      </c>
      <c r="M40" s="613">
        <v>0</v>
      </c>
      <c r="N40" s="613">
        <v>0</v>
      </c>
      <c r="O40" s="613">
        <v>0</v>
      </c>
      <c r="P40" s="613">
        <v>0</v>
      </c>
    </row>
    <row r="41" spans="1:16" s="612" customFormat="1" ht="15" hidden="1">
      <c r="A41" s="596"/>
      <c r="B41" s="611" t="s">
        <v>510</v>
      </c>
      <c r="C41" s="609"/>
      <c r="D41" s="609">
        <v>0</v>
      </c>
      <c r="E41" s="610">
        <v>0</v>
      </c>
      <c r="G41" s="613"/>
      <c r="H41" s="613"/>
      <c r="I41" s="613"/>
      <c r="J41" s="613"/>
      <c r="K41" s="613"/>
      <c r="L41" s="613">
        <v>0</v>
      </c>
      <c r="M41" s="613">
        <v>0</v>
      </c>
      <c r="N41" s="613">
        <v>0</v>
      </c>
      <c r="O41" s="613">
        <v>0</v>
      </c>
      <c r="P41" s="613">
        <v>0</v>
      </c>
    </row>
    <row r="42" spans="1:16" s="612" customFormat="1" ht="14.25" hidden="1">
      <c r="A42" s="596"/>
      <c r="B42" s="611" t="s">
        <v>511</v>
      </c>
      <c r="C42" s="598"/>
      <c r="D42" s="598">
        <v>0</v>
      </c>
      <c r="E42" s="599">
        <v>0</v>
      </c>
      <c r="G42" s="613"/>
      <c r="H42" s="613"/>
      <c r="I42" s="613"/>
      <c r="J42" s="613"/>
      <c r="K42" s="613"/>
      <c r="L42" s="613">
        <v>0</v>
      </c>
      <c r="M42" s="613">
        <v>0</v>
      </c>
      <c r="N42" s="613">
        <v>0</v>
      </c>
      <c r="O42" s="613">
        <v>0</v>
      </c>
      <c r="P42" s="613">
        <v>0</v>
      </c>
    </row>
    <row r="43" spans="1:16" s="612" customFormat="1" ht="14.25" hidden="1">
      <c r="A43" s="596"/>
      <c r="B43" s="611" t="s">
        <v>1915</v>
      </c>
      <c r="C43" s="598"/>
      <c r="D43" s="598">
        <v>0</v>
      </c>
      <c r="E43" s="599">
        <v>0</v>
      </c>
      <c r="G43" s="613"/>
      <c r="H43" s="613"/>
      <c r="I43" s="613"/>
      <c r="J43" s="613"/>
      <c r="K43" s="613"/>
      <c r="L43" s="613">
        <v>0</v>
      </c>
      <c r="M43" s="613">
        <v>0</v>
      </c>
      <c r="N43" s="613">
        <v>0</v>
      </c>
      <c r="O43" s="613">
        <v>0</v>
      </c>
      <c r="P43" s="613">
        <v>0</v>
      </c>
    </row>
    <row r="44" spans="1:16" s="612" customFormat="1" ht="14.25" hidden="1">
      <c r="A44" s="596"/>
      <c r="B44" s="611" t="s">
        <v>1916</v>
      </c>
      <c r="C44" s="598"/>
      <c r="D44" s="598">
        <v>0</v>
      </c>
      <c r="E44" s="599">
        <v>0</v>
      </c>
      <c r="G44" s="613"/>
      <c r="H44" s="613"/>
      <c r="I44" s="613"/>
      <c r="J44" s="613"/>
      <c r="K44" s="613"/>
      <c r="L44" s="613">
        <v>0</v>
      </c>
      <c r="M44" s="613">
        <v>0</v>
      </c>
      <c r="N44" s="613">
        <v>0</v>
      </c>
      <c r="O44" s="613">
        <v>0</v>
      </c>
      <c r="P44" s="613">
        <v>0</v>
      </c>
    </row>
    <row r="45" spans="1:16" s="614" customFormat="1" ht="15">
      <c r="A45" s="602" t="s">
        <v>1917</v>
      </c>
      <c r="B45" s="603" t="s">
        <v>1918</v>
      </c>
      <c r="C45" s="609">
        <v>98574</v>
      </c>
      <c r="D45" s="609">
        <v>98621</v>
      </c>
      <c r="E45" s="610">
        <f>E46+E47+E48+E49</f>
        <v>98621</v>
      </c>
      <c r="G45" s="604"/>
      <c r="H45" s="604"/>
      <c r="I45" s="604"/>
      <c r="J45" s="604"/>
      <c r="K45" s="604"/>
      <c r="L45" s="604">
        <v>98574</v>
      </c>
      <c r="M45" s="604">
        <v>98621</v>
      </c>
      <c r="N45" s="604">
        <v>101600</v>
      </c>
      <c r="O45" s="604">
        <v>0</v>
      </c>
      <c r="P45" s="604">
        <v>98621</v>
      </c>
    </row>
    <row r="46" spans="1:16" ht="14.25" hidden="1">
      <c r="A46" s="596"/>
      <c r="B46" s="601" t="s">
        <v>1919</v>
      </c>
      <c r="C46" s="598"/>
      <c r="D46" s="598">
        <v>0</v>
      </c>
      <c r="E46" s="599">
        <v>91777</v>
      </c>
      <c r="F46" s="582"/>
      <c r="G46" s="595"/>
      <c r="H46" s="595"/>
      <c r="I46" s="595"/>
      <c r="J46" s="595"/>
      <c r="K46" s="595"/>
      <c r="L46" s="595">
        <v>0</v>
      </c>
      <c r="M46" s="595">
        <v>0</v>
      </c>
      <c r="N46" s="595">
        <v>0</v>
      </c>
      <c r="O46" s="595">
        <v>0</v>
      </c>
      <c r="P46" s="595">
        <v>91777</v>
      </c>
    </row>
    <row r="47" spans="1:16" ht="14.25" hidden="1">
      <c r="A47" s="596"/>
      <c r="B47" s="601" t="s">
        <v>1920</v>
      </c>
      <c r="C47" s="598"/>
      <c r="D47" s="598">
        <v>0</v>
      </c>
      <c r="E47" s="599">
        <v>12</v>
      </c>
      <c r="F47" s="582"/>
      <c r="G47" s="595"/>
      <c r="H47" s="595"/>
      <c r="I47" s="595"/>
      <c r="J47" s="595"/>
      <c r="K47" s="595"/>
      <c r="L47" s="595">
        <v>0</v>
      </c>
      <c r="M47" s="595">
        <v>0</v>
      </c>
      <c r="N47" s="595">
        <v>0</v>
      </c>
      <c r="O47" s="595">
        <v>0</v>
      </c>
      <c r="P47" s="595">
        <v>12</v>
      </c>
    </row>
    <row r="48" spans="1:16" ht="14.25" hidden="1">
      <c r="A48" s="596"/>
      <c r="B48" s="601" t="s">
        <v>1921</v>
      </c>
      <c r="C48" s="598"/>
      <c r="D48" s="598">
        <v>0</v>
      </c>
      <c r="E48" s="599">
        <v>180</v>
      </c>
      <c r="F48" s="582"/>
      <c r="G48" s="595"/>
      <c r="H48" s="595"/>
      <c r="I48" s="595"/>
      <c r="J48" s="595"/>
      <c r="K48" s="595"/>
      <c r="L48" s="595">
        <v>0</v>
      </c>
      <c r="M48" s="595">
        <v>0</v>
      </c>
      <c r="N48" s="595">
        <v>0</v>
      </c>
      <c r="O48" s="595">
        <v>0</v>
      </c>
      <c r="P48" s="595">
        <v>180</v>
      </c>
    </row>
    <row r="49" spans="1:16" ht="14.25" hidden="1">
      <c r="A49" s="596"/>
      <c r="B49" s="601" t="s">
        <v>1922</v>
      </c>
      <c r="C49" s="598"/>
      <c r="D49" s="598">
        <v>0</v>
      </c>
      <c r="E49" s="599">
        <v>6652</v>
      </c>
      <c r="F49" s="582"/>
      <c r="G49" s="595"/>
      <c r="H49" s="595"/>
      <c r="I49" s="595"/>
      <c r="J49" s="595"/>
      <c r="K49" s="595"/>
      <c r="L49" s="595">
        <v>0</v>
      </c>
      <c r="M49" s="595">
        <v>0</v>
      </c>
      <c r="N49" s="595">
        <v>0</v>
      </c>
      <c r="O49" s="595">
        <v>0</v>
      </c>
      <c r="P49" s="595">
        <v>6652</v>
      </c>
    </row>
    <row r="50" spans="1:16" s="606" customFormat="1" ht="14.25" hidden="1">
      <c r="A50" s="596"/>
      <c r="B50" s="600" t="s">
        <v>1923</v>
      </c>
      <c r="C50" s="598"/>
      <c r="D50" s="598">
        <v>0</v>
      </c>
      <c r="E50" s="599">
        <v>0</v>
      </c>
      <c r="G50" s="608"/>
      <c r="H50" s="608"/>
      <c r="I50" s="608"/>
      <c r="J50" s="608"/>
      <c r="K50" s="608"/>
      <c r="L50" s="608">
        <v>0</v>
      </c>
      <c r="M50" s="608">
        <v>0</v>
      </c>
      <c r="N50" s="608">
        <v>0</v>
      </c>
      <c r="O50" s="608">
        <v>0</v>
      </c>
      <c r="P50" s="608">
        <v>0</v>
      </c>
    </row>
    <row r="51" spans="1:16" s="606" customFormat="1" ht="15" hidden="1">
      <c r="A51" s="596"/>
      <c r="B51" s="600" t="s">
        <v>1924</v>
      </c>
      <c r="C51" s="609"/>
      <c r="D51" s="609">
        <v>0</v>
      </c>
      <c r="E51" s="610">
        <v>0</v>
      </c>
      <c r="G51" s="608"/>
      <c r="H51" s="608"/>
      <c r="I51" s="608"/>
      <c r="J51" s="608"/>
      <c r="K51" s="608"/>
      <c r="L51" s="608">
        <v>0</v>
      </c>
      <c r="M51" s="608">
        <v>0</v>
      </c>
      <c r="N51" s="608">
        <v>0</v>
      </c>
      <c r="O51" s="608">
        <v>0</v>
      </c>
      <c r="P51" s="608">
        <v>0</v>
      </c>
    </row>
    <row r="52" spans="1:16" s="606" customFormat="1" ht="14.25" hidden="1">
      <c r="A52" s="596"/>
      <c r="B52" s="600" t="s">
        <v>1925</v>
      </c>
      <c r="C52" s="598"/>
      <c r="D52" s="598">
        <v>0</v>
      </c>
      <c r="E52" s="599">
        <v>0</v>
      </c>
      <c r="G52" s="608"/>
      <c r="H52" s="608"/>
      <c r="I52" s="608"/>
      <c r="J52" s="608"/>
      <c r="K52" s="608"/>
      <c r="L52" s="608">
        <v>0</v>
      </c>
      <c r="M52" s="608">
        <v>0</v>
      </c>
      <c r="N52" s="608">
        <v>0</v>
      </c>
      <c r="O52" s="608">
        <v>0</v>
      </c>
      <c r="P52" s="608">
        <v>0</v>
      </c>
    </row>
    <row r="53" spans="1:16" ht="14.25">
      <c r="A53" s="596" t="s">
        <v>1926</v>
      </c>
      <c r="B53" s="601" t="s">
        <v>1927</v>
      </c>
      <c r="C53" s="598">
        <v>24000</v>
      </c>
      <c r="D53" s="598">
        <v>28192</v>
      </c>
      <c r="E53" s="599">
        <v>28192</v>
      </c>
      <c r="F53" s="582"/>
      <c r="G53" s="595"/>
      <c r="H53" s="595"/>
      <c r="I53" s="595"/>
      <c r="J53" s="595"/>
      <c r="K53" s="595"/>
      <c r="L53" s="595">
        <v>24000</v>
      </c>
      <c r="M53" s="595">
        <v>28192</v>
      </c>
      <c r="N53" s="595">
        <v>31383</v>
      </c>
      <c r="O53" s="595">
        <v>0</v>
      </c>
      <c r="P53" s="595">
        <v>28192</v>
      </c>
    </row>
    <row r="54" spans="1:16" s="606" customFormat="1" ht="15" hidden="1">
      <c r="A54" s="596"/>
      <c r="B54" s="600" t="s">
        <v>1928</v>
      </c>
      <c r="C54" s="609"/>
      <c r="D54" s="609">
        <v>0</v>
      </c>
      <c r="E54" s="610">
        <v>0</v>
      </c>
      <c r="G54" s="608"/>
      <c r="H54" s="608"/>
      <c r="I54" s="608"/>
      <c r="J54" s="608"/>
      <c r="K54" s="608"/>
      <c r="L54" s="608">
        <v>0</v>
      </c>
      <c r="M54" s="608">
        <v>0</v>
      </c>
      <c r="N54" s="608">
        <v>0</v>
      </c>
      <c r="O54" s="608">
        <v>0</v>
      </c>
      <c r="P54" s="608">
        <v>0</v>
      </c>
    </row>
    <row r="55" spans="1:16" s="606" customFormat="1" ht="14.25" hidden="1">
      <c r="A55" s="596"/>
      <c r="B55" s="600" t="s">
        <v>1929</v>
      </c>
      <c r="C55" s="598"/>
      <c r="D55" s="598">
        <v>0</v>
      </c>
      <c r="E55" s="599">
        <v>0</v>
      </c>
      <c r="G55" s="608"/>
      <c r="H55" s="608"/>
      <c r="I55" s="608"/>
      <c r="J55" s="608"/>
      <c r="K55" s="608"/>
      <c r="L55" s="608">
        <v>0</v>
      </c>
      <c r="M55" s="608">
        <v>0</v>
      </c>
      <c r="N55" s="608">
        <v>0</v>
      </c>
      <c r="O55" s="608">
        <v>0</v>
      </c>
      <c r="P55" s="608">
        <v>0</v>
      </c>
    </row>
    <row r="56" spans="1:16" s="606" customFormat="1" ht="14.25" hidden="1">
      <c r="A56" s="596"/>
      <c r="B56" s="600" t="s">
        <v>1930</v>
      </c>
      <c r="C56" s="598"/>
      <c r="D56" s="598">
        <v>0</v>
      </c>
      <c r="E56" s="599">
        <v>0</v>
      </c>
      <c r="G56" s="608"/>
      <c r="H56" s="608"/>
      <c r="I56" s="608"/>
      <c r="J56" s="608"/>
      <c r="K56" s="608"/>
      <c r="L56" s="608">
        <v>0</v>
      </c>
      <c r="M56" s="608">
        <v>0</v>
      </c>
      <c r="N56" s="608">
        <v>0</v>
      </c>
      <c r="O56" s="608">
        <v>0</v>
      </c>
      <c r="P56" s="608">
        <v>0</v>
      </c>
    </row>
    <row r="57" spans="1:16" s="606" customFormat="1" ht="12" hidden="1">
      <c r="A57" s="596"/>
      <c r="B57" s="600" t="s">
        <v>1931</v>
      </c>
      <c r="C57" s="615"/>
      <c r="D57" s="615">
        <v>0</v>
      </c>
      <c r="E57" s="616">
        <v>0</v>
      </c>
      <c r="G57" s="608"/>
      <c r="H57" s="608"/>
      <c r="I57" s="608"/>
      <c r="J57" s="608"/>
      <c r="K57" s="608"/>
      <c r="L57" s="608">
        <v>0</v>
      </c>
      <c r="M57" s="608">
        <v>0</v>
      </c>
      <c r="N57" s="608">
        <v>0</v>
      </c>
      <c r="O57" s="608">
        <v>0</v>
      </c>
      <c r="P57" s="608">
        <v>0</v>
      </c>
    </row>
    <row r="58" spans="1:16" s="606" customFormat="1" ht="12" hidden="1">
      <c r="A58" s="596"/>
      <c r="B58" s="600" t="s">
        <v>1932</v>
      </c>
      <c r="C58" s="615"/>
      <c r="D58" s="615">
        <v>0</v>
      </c>
      <c r="E58" s="616">
        <v>0</v>
      </c>
      <c r="G58" s="608"/>
      <c r="H58" s="608"/>
      <c r="I58" s="608"/>
      <c r="J58" s="608"/>
      <c r="K58" s="608"/>
      <c r="L58" s="608">
        <v>0</v>
      </c>
      <c r="M58" s="608">
        <v>0</v>
      </c>
      <c r="N58" s="608">
        <v>0</v>
      </c>
      <c r="O58" s="608">
        <v>0</v>
      </c>
      <c r="P58" s="608">
        <v>0</v>
      </c>
    </row>
    <row r="59" spans="1:16" s="606" customFormat="1" ht="12" hidden="1">
      <c r="A59" s="596"/>
      <c r="B59" s="600" t="s">
        <v>1933</v>
      </c>
      <c r="C59" s="615"/>
      <c r="D59" s="615">
        <v>0</v>
      </c>
      <c r="E59" s="616">
        <v>0</v>
      </c>
      <c r="G59" s="608"/>
      <c r="H59" s="608"/>
      <c r="I59" s="608"/>
      <c r="J59" s="608"/>
      <c r="K59" s="608"/>
      <c r="L59" s="608">
        <v>0</v>
      </c>
      <c r="M59" s="608">
        <v>0</v>
      </c>
      <c r="N59" s="608">
        <v>0</v>
      </c>
      <c r="O59" s="608">
        <v>0</v>
      </c>
      <c r="P59" s="608">
        <v>0</v>
      </c>
    </row>
    <row r="60" spans="1:16" ht="14.25">
      <c r="A60" s="596" t="s">
        <v>1934</v>
      </c>
      <c r="B60" s="600" t="s">
        <v>1935</v>
      </c>
      <c r="C60" s="615">
        <v>0</v>
      </c>
      <c r="D60" s="615">
        <v>0</v>
      </c>
      <c r="E60" s="616">
        <v>28192</v>
      </c>
      <c r="F60" s="582"/>
      <c r="G60" s="595"/>
      <c r="H60" s="595"/>
      <c r="I60" s="595"/>
      <c r="J60" s="595"/>
      <c r="K60" s="595"/>
      <c r="L60" s="595">
        <v>0</v>
      </c>
      <c r="M60" s="595">
        <v>0</v>
      </c>
      <c r="N60" s="595">
        <v>0</v>
      </c>
      <c r="O60" s="595">
        <v>0</v>
      </c>
      <c r="P60" s="595">
        <v>28192</v>
      </c>
    </row>
    <row r="61" spans="1:16" s="606" customFormat="1" ht="13.5" customHeight="1" hidden="1" thickBot="1">
      <c r="A61" s="596"/>
      <c r="B61" s="600" t="s">
        <v>1936</v>
      </c>
      <c r="C61" s="615"/>
      <c r="D61" s="615">
        <v>0</v>
      </c>
      <c r="E61" s="616">
        <v>0</v>
      </c>
      <c r="G61" s="608"/>
      <c r="H61" s="608"/>
      <c r="I61" s="608"/>
      <c r="J61" s="608"/>
      <c r="K61" s="608"/>
      <c r="L61" s="608">
        <v>0</v>
      </c>
      <c r="M61" s="608">
        <v>0</v>
      </c>
      <c r="N61" s="608">
        <v>0</v>
      </c>
      <c r="O61" s="608">
        <v>0</v>
      </c>
      <c r="P61" s="608">
        <v>0</v>
      </c>
    </row>
    <row r="62" spans="1:16" s="606" customFormat="1" ht="12" hidden="1">
      <c r="A62" s="596"/>
      <c r="B62" s="600" t="s">
        <v>1937</v>
      </c>
      <c r="C62" s="615"/>
      <c r="D62" s="615">
        <v>0</v>
      </c>
      <c r="E62" s="616">
        <v>0</v>
      </c>
      <c r="G62" s="608"/>
      <c r="H62" s="608"/>
      <c r="I62" s="608"/>
      <c r="J62" s="608"/>
      <c r="K62" s="608"/>
      <c r="L62" s="608">
        <v>0</v>
      </c>
      <c r="M62" s="608">
        <v>0</v>
      </c>
      <c r="N62" s="608">
        <v>0</v>
      </c>
      <c r="O62" s="608">
        <v>0</v>
      </c>
      <c r="P62" s="608">
        <v>0</v>
      </c>
    </row>
    <row r="63" spans="1:16" s="606" customFormat="1" ht="12" hidden="1">
      <c r="A63" s="596"/>
      <c r="B63" s="600" t="s">
        <v>1938</v>
      </c>
      <c r="C63" s="615"/>
      <c r="D63" s="615">
        <v>0</v>
      </c>
      <c r="E63" s="616">
        <v>0</v>
      </c>
      <c r="G63" s="608"/>
      <c r="H63" s="608"/>
      <c r="I63" s="608"/>
      <c r="J63" s="608"/>
      <c r="K63" s="608"/>
      <c r="L63" s="608">
        <v>0</v>
      </c>
      <c r="M63" s="608">
        <v>0</v>
      </c>
      <c r="N63" s="608">
        <v>0</v>
      </c>
      <c r="O63" s="608">
        <v>0</v>
      </c>
      <c r="P63" s="608">
        <v>0</v>
      </c>
    </row>
    <row r="64" spans="1:16" s="606" customFormat="1" ht="14.25" customHeight="1" hidden="1">
      <c r="A64" s="596"/>
      <c r="B64" s="600" t="s">
        <v>1939</v>
      </c>
      <c r="C64" s="598"/>
      <c r="D64" s="598">
        <v>0</v>
      </c>
      <c r="E64" s="599">
        <v>0</v>
      </c>
      <c r="G64" s="608"/>
      <c r="H64" s="608"/>
      <c r="I64" s="608"/>
      <c r="J64" s="608"/>
      <c r="K64" s="608"/>
      <c r="L64" s="608">
        <v>0</v>
      </c>
      <c r="M64" s="608">
        <v>0</v>
      </c>
      <c r="N64" s="608">
        <v>0</v>
      </c>
      <c r="O64" s="608">
        <v>0</v>
      </c>
      <c r="P64" s="608">
        <v>0</v>
      </c>
    </row>
    <row r="65" spans="1:16" s="606" customFormat="1" ht="13.5" customHeight="1" hidden="1">
      <c r="A65" s="596"/>
      <c r="B65" s="600" t="s">
        <v>1940</v>
      </c>
      <c r="C65" s="609"/>
      <c r="D65" s="609">
        <v>0</v>
      </c>
      <c r="E65" s="610">
        <v>0</v>
      </c>
      <c r="G65" s="608"/>
      <c r="H65" s="608"/>
      <c r="I65" s="608"/>
      <c r="J65" s="608"/>
      <c r="K65" s="608"/>
      <c r="L65" s="608">
        <v>0</v>
      </c>
      <c r="M65" s="608">
        <v>0</v>
      </c>
      <c r="N65" s="608">
        <v>0</v>
      </c>
      <c r="O65" s="608">
        <v>0</v>
      </c>
      <c r="P65" s="608">
        <v>0</v>
      </c>
    </row>
    <row r="66" spans="1:16" s="606" customFormat="1" ht="15" hidden="1">
      <c r="A66" s="596"/>
      <c r="B66" s="600" t="s">
        <v>1941</v>
      </c>
      <c r="C66" s="609"/>
      <c r="D66" s="609">
        <v>0</v>
      </c>
      <c r="E66" s="610">
        <v>0</v>
      </c>
      <c r="G66" s="608"/>
      <c r="H66" s="608"/>
      <c r="I66" s="608"/>
      <c r="J66" s="608"/>
      <c r="K66" s="608"/>
      <c r="L66" s="608">
        <v>0</v>
      </c>
      <c r="M66" s="608">
        <v>0</v>
      </c>
      <c r="N66" s="608">
        <v>0</v>
      </c>
      <c r="O66" s="608">
        <v>0</v>
      </c>
      <c r="P66" s="608">
        <v>0</v>
      </c>
    </row>
    <row r="67" spans="1:16" s="606" customFormat="1" ht="24" hidden="1">
      <c r="A67" s="596"/>
      <c r="B67" s="600" t="s">
        <v>1942</v>
      </c>
      <c r="C67" s="598"/>
      <c r="D67" s="598">
        <v>0</v>
      </c>
      <c r="E67" s="599">
        <v>0</v>
      </c>
      <c r="G67" s="608"/>
      <c r="H67" s="608"/>
      <c r="I67" s="608"/>
      <c r="J67" s="608"/>
      <c r="K67" s="608"/>
      <c r="L67" s="608">
        <v>0</v>
      </c>
      <c r="M67" s="608">
        <v>0</v>
      </c>
      <c r="N67" s="608">
        <v>0</v>
      </c>
      <c r="O67" s="608">
        <v>0</v>
      </c>
      <c r="P67" s="608">
        <v>0</v>
      </c>
    </row>
    <row r="68" spans="1:16" s="606" customFormat="1" ht="24" hidden="1">
      <c r="A68" s="596"/>
      <c r="B68" s="600" t="s">
        <v>1943</v>
      </c>
      <c r="C68" s="598"/>
      <c r="D68" s="598">
        <v>0</v>
      </c>
      <c r="E68" s="599">
        <v>0</v>
      </c>
      <c r="G68" s="608"/>
      <c r="H68" s="608"/>
      <c r="I68" s="608"/>
      <c r="J68" s="608"/>
      <c r="K68" s="608"/>
      <c r="L68" s="608">
        <v>0</v>
      </c>
      <c r="M68" s="608">
        <v>0</v>
      </c>
      <c r="N68" s="608">
        <v>0</v>
      </c>
      <c r="O68" s="608">
        <v>0</v>
      </c>
      <c r="P68" s="608">
        <v>0</v>
      </c>
    </row>
    <row r="69" spans="1:16" s="606" customFormat="1" ht="12" hidden="1">
      <c r="A69" s="596"/>
      <c r="B69" s="600" t="s">
        <v>1944</v>
      </c>
      <c r="C69" s="615"/>
      <c r="D69" s="615">
        <v>0</v>
      </c>
      <c r="E69" s="616">
        <v>0</v>
      </c>
      <c r="G69" s="608"/>
      <c r="H69" s="608"/>
      <c r="I69" s="608"/>
      <c r="J69" s="608"/>
      <c r="K69" s="608"/>
      <c r="L69" s="608">
        <v>0</v>
      </c>
      <c r="M69" s="608">
        <v>0</v>
      </c>
      <c r="N69" s="608">
        <v>0</v>
      </c>
      <c r="O69" s="608">
        <v>0</v>
      </c>
      <c r="P69" s="608">
        <v>0</v>
      </c>
    </row>
    <row r="70" spans="1:16" s="606" customFormat="1" ht="12" hidden="1">
      <c r="A70" s="596"/>
      <c r="B70" s="600" t="s">
        <v>1945</v>
      </c>
      <c r="C70" s="615"/>
      <c r="D70" s="615">
        <v>0</v>
      </c>
      <c r="E70" s="616">
        <v>0</v>
      </c>
      <c r="G70" s="608"/>
      <c r="H70" s="608"/>
      <c r="I70" s="608"/>
      <c r="J70" s="608"/>
      <c r="K70" s="608"/>
      <c r="L70" s="608">
        <v>0</v>
      </c>
      <c r="M70" s="608">
        <v>0</v>
      </c>
      <c r="N70" s="608">
        <v>0</v>
      </c>
      <c r="O70" s="608">
        <v>0</v>
      </c>
      <c r="P70" s="608">
        <v>0</v>
      </c>
    </row>
    <row r="71" spans="1:16" s="606" customFormat="1" ht="12" hidden="1">
      <c r="A71" s="596"/>
      <c r="B71" s="600" t="s">
        <v>1946</v>
      </c>
      <c r="C71" s="615"/>
      <c r="D71" s="615">
        <v>0</v>
      </c>
      <c r="E71" s="616">
        <v>0</v>
      </c>
      <c r="G71" s="608"/>
      <c r="H71" s="608"/>
      <c r="I71" s="608"/>
      <c r="J71" s="608"/>
      <c r="K71" s="608"/>
      <c r="L71" s="608">
        <v>0</v>
      </c>
      <c r="M71" s="608">
        <v>0</v>
      </c>
      <c r="N71" s="608">
        <v>0</v>
      </c>
      <c r="O71" s="608">
        <v>0</v>
      </c>
      <c r="P71" s="608">
        <v>0</v>
      </c>
    </row>
    <row r="72" spans="1:16" s="606" customFormat="1" ht="12" hidden="1">
      <c r="A72" s="596"/>
      <c r="B72" s="600" t="s">
        <v>1947</v>
      </c>
      <c r="C72" s="615"/>
      <c r="D72" s="615">
        <v>0</v>
      </c>
      <c r="E72" s="616">
        <v>0</v>
      </c>
      <c r="G72" s="608"/>
      <c r="H72" s="608"/>
      <c r="I72" s="608"/>
      <c r="J72" s="608"/>
      <c r="K72" s="608"/>
      <c r="L72" s="608">
        <v>0</v>
      </c>
      <c r="M72" s="608">
        <v>0</v>
      </c>
      <c r="N72" s="608">
        <v>0</v>
      </c>
      <c r="O72" s="608">
        <v>0</v>
      </c>
      <c r="P72" s="608">
        <v>0</v>
      </c>
    </row>
    <row r="73" spans="1:16" s="606" customFormat="1" ht="12" hidden="1">
      <c r="A73" s="596"/>
      <c r="B73" s="600" t="s">
        <v>1948</v>
      </c>
      <c r="C73" s="615"/>
      <c r="D73" s="615">
        <v>0</v>
      </c>
      <c r="E73" s="616">
        <v>0</v>
      </c>
      <c r="G73" s="608"/>
      <c r="H73" s="608"/>
      <c r="I73" s="608"/>
      <c r="J73" s="608"/>
      <c r="K73" s="608"/>
      <c r="L73" s="608">
        <v>0</v>
      </c>
      <c r="M73" s="608">
        <v>0</v>
      </c>
      <c r="N73" s="608">
        <v>0</v>
      </c>
      <c r="O73" s="608">
        <v>0</v>
      </c>
      <c r="P73" s="608">
        <v>0</v>
      </c>
    </row>
    <row r="74" spans="1:16" s="606" customFormat="1" ht="12" hidden="1">
      <c r="A74" s="596"/>
      <c r="B74" s="600" t="s">
        <v>1949</v>
      </c>
      <c r="C74" s="615"/>
      <c r="D74" s="615">
        <v>0</v>
      </c>
      <c r="E74" s="616">
        <v>0</v>
      </c>
      <c r="G74" s="608"/>
      <c r="H74" s="608"/>
      <c r="I74" s="608"/>
      <c r="J74" s="608"/>
      <c r="K74" s="608"/>
      <c r="L74" s="608">
        <v>0</v>
      </c>
      <c r="M74" s="608">
        <v>0</v>
      </c>
      <c r="N74" s="608">
        <v>0</v>
      </c>
      <c r="O74" s="608">
        <v>0</v>
      </c>
      <c r="P74" s="608">
        <v>0</v>
      </c>
    </row>
    <row r="75" spans="1:16" s="606" customFormat="1" ht="12" hidden="1">
      <c r="A75" s="596"/>
      <c r="B75" s="600" t="s">
        <v>1950</v>
      </c>
      <c r="C75" s="615"/>
      <c r="D75" s="615">
        <v>0</v>
      </c>
      <c r="E75" s="616">
        <v>0</v>
      </c>
      <c r="G75" s="608"/>
      <c r="H75" s="608"/>
      <c r="I75" s="608"/>
      <c r="J75" s="608"/>
      <c r="K75" s="608"/>
      <c r="L75" s="608">
        <v>0</v>
      </c>
      <c r="M75" s="608">
        <v>0</v>
      </c>
      <c r="N75" s="608">
        <v>0</v>
      </c>
      <c r="O75" s="608">
        <v>0</v>
      </c>
      <c r="P75" s="608">
        <v>0</v>
      </c>
    </row>
    <row r="76" spans="1:16" s="606" customFormat="1" ht="12" hidden="1">
      <c r="A76" s="596"/>
      <c r="B76" s="600" t="s">
        <v>1951</v>
      </c>
      <c r="C76" s="615"/>
      <c r="D76" s="615">
        <v>0</v>
      </c>
      <c r="E76" s="616">
        <v>0</v>
      </c>
      <c r="G76" s="608"/>
      <c r="H76" s="608"/>
      <c r="I76" s="608"/>
      <c r="J76" s="608"/>
      <c r="K76" s="608"/>
      <c r="L76" s="608">
        <v>0</v>
      </c>
      <c r="M76" s="608">
        <v>0</v>
      </c>
      <c r="N76" s="608">
        <v>0</v>
      </c>
      <c r="O76" s="608">
        <v>0</v>
      </c>
      <c r="P76" s="608">
        <v>0</v>
      </c>
    </row>
    <row r="77" spans="1:16" s="606" customFormat="1" ht="12" hidden="1">
      <c r="A77" s="596"/>
      <c r="B77" s="600" t="s">
        <v>1952</v>
      </c>
      <c r="C77" s="615"/>
      <c r="D77" s="615">
        <v>0</v>
      </c>
      <c r="E77" s="616">
        <v>0</v>
      </c>
      <c r="G77" s="608"/>
      <c r="H77" s="608"/>
      <c r="I77" s="608"/>
      <c r="J77" s="608"/>
      <c r="K77" s="608"/>
      <c r="L77" s="608">
        <v>0</v>
      </c>
      <c r="M77" s="608">
        <v>0</v>
      </c>
      <c r="N77" s="608">
        <v>0</v>
      </c>
      <c r="O77" s="608">
        <v>0</v>
      </c>
      <c r="P77" s="608">
        <v>0</v>
      </c>
    </row>
    <row r="78" spans="1:16" s="606" customFormat="1" ht="12" hidden="1">
      <c r="A78" s="596"/>
      <c r="B78" s="600" t="s">
        <v>1953</v>
      </c>
      <c r="C78" s="615"/>
      <c r="D78" s="615">
        <v>0</v>
      </c>
      <c r="E78" s="616">
        <v>0</v>
      </c>
      <c r="G78" s="608"/>
      <c r="H78" s="608"/>
      <c r="I78" s="608"/>
      <c r="J78" s="608"/>
      <c r="K78" s="608"/>
      <c r="L78" s="608">
        <v>0</v>
      </c>
      <c r="M78" s="608">
        <v>0</v>
      </c>
      <c r="N78" s="608">
        <v>0</v>
      </c>
      <c r="O78" s="608">
        <v>0</v>
      </c>
      <c r="P78" s="608">
        <v>0</v>
      </c>
    </row>
    <row r="79" spans="1:16" ht="14.25">
      <c r="A79" s="596" t="s">
        <v>1954</v>
      </c>
      <c r="B79" s="601" t="s">
        <v>1955</v>
      </c>
      <c r="C79" s="598">
        <v>4200</v>
      </c>
      <c r="D79" s="598">
        <v>4259</v>
      </c>
      <c r="E79" s="599">
        <v>4259</v>
      </c>
      <c r="F79" s="582"/>
      <c r="G79" s="595"/>
      <c r="H79" s="595"/>
      <c r="I79" s="595"/>
      <c r="J79" s="595"/>
      <c r="K79" s="595"/>
      <c r="L79" s="595">
        <v>4200</v>
      </c>
      <c r="M79" s="595">
        <v>4259</v>
      </c>
      <c r="N79" s="595">
        <v>5599</v>
      </c>
      <c r="O79" s="595">
        <v>0</v>
      </c>
      <c r="P79" s="595">
        <v>4259</v>
      </c>
    </row>
    <row r="80" spans="1:16" s="606" customFormat="1" ht="13.5" customHeight="1" hidden="1">
      <c r="A80" s="596"/>
      <c r="B80" s="600" t="s">
        <v>1956</v>
      </c>
      <c r="C80" s="598"/>
      <c r="D80" s="598">
        <v>0</v>
      </c>
      <c r="E80" s="599">
        <v>0</v>
      </c>
      <c r="G80" s="608"/>
      <c r="H80" s="608"/>
      <c r="I80" s="608"/>
      <c r="J80" s="608"/>
      <c r="K80" s="608"/>
      <c r="L80" s="608">
        <v>0</v>
      </c>
      <c r="M80" s="608">
        <v>0</v>
      </c>
      <c r="N80" s="608">
        <v>0</v>
      </c>
      <c r="O80" s="608">
        <v>0</v>
      </c>
      <c r="P80" s="608">
        <v>0</v>
      </c>
    </row>
    <row r="81" spans="1:16" ht="18.75" customHeight="1" hidden="1">
      <c r="A81" s="596"/>
      <c r="B81" s="601" t="s">
        <v>1957</v>
      </c>
      <c r="C81" s="598"/>
      <c r="D81" s="598">
        <v>0</v>
      </c>
      <c r="E81" s="599">
        <v>4259</v>
      </c>
      <c r="F81" s="582"/>
      <c r="G81" s="595"/>
      <c r="H81" s="595"/>
      <c r="I81" s="595"/>
      <c r="J81" s="595"/>
      <c r="K81" s="595"/>
      <c r="L81" s="595">
        <v>0</v>
      </c>
      <c r="M81" s="595">
        <v>0</v>
      </c>
      <c r="N81" s="595">
        <v>0</v>
      </c>
      <c r="O81" s="595">
        <v>0</v>
      </c>
      <c r="P81" s="595">
        <v>4259</v>
      </c>
    </row>
    <row r="82" spans="1:16" s="606" customFormat="1" ht="12" hidden="1">
      <c r="A82" s="596"/>
      <c r="B82" s="600" t="s">
        <v>1958</v>
      </c>
      <c r="C82" s="615"/>
      <c r="D82" s="615">
        <v>0</v>
      </c>
      <c r="E82" s="616">
        <v>0</v>
      </c>
      <c r="G82" s="608"/>
      <c r="H82" s="608"/>
      <c r="I82" s="608"/>
      <c r="J82" s="608"/>
      <c r="K82" s="608"/>
      <c r="L82" s="608">
        <v>0</v>
      </c>
      <c r="M82" s="608">
        <v>0</v>
      </c>
      <c r="N82" s="608">
        <v>0</v>
      </c>
      <c r="O82" s="608">
        <v>0</v>
      </c>
      <c r="P82" s="608">
        <v>0</v>
      </c>
    </row>
    <row r="83" spans="1:16" s="606" customFormat="1" ht="12" hidden="1">
      <c r="A83" s="596"/>
      <c r="B83" s="600" t="s">
        <v>1959</v>
      </c>
      <c r="C83" s="615"/>
      <c r="D83" s="615">
        <v>0</v>
      </c>
      <c r="E83" s="616">
        <v>0</v>
      </c>
      <c r="G83" s="608"/>
      <c r="H83" s="608"/>
      <c r="I83" s="608"/>
      <c r="J83" s="608"/>
      <c r="K83" s="608"/>
      <c r="L83" s="608">
        <v>0</v>
      </c>
      <c r="M83" s="608">
        <v>0</v>
      </c>
      <c r="N83" s="608">
        <v>0</v>
      </c>
      <c r="O83" s="608">
        <v>0</v>
      </c>
      <c r="P83" s="608">
        <v>0</v>
      </c>
    </row>
    <row r="84" spans="1:16" ht="13.5" customHeight="1">
      <c r="A84" s="596" t="s">
        <v>1960</v>
      </c>
      <c r="B84" s="601" t="s">
        <v>1961</v>
      </c>
      <c r="C84" s="615">
        <v>17000</v>
      </c>
      <c r="D84" s="615">
        <v>24369</v>
      </c>
      <c r="E84" s="616">
        <v>24369</v>
      </c>
      <c r="F84" s="582"/>
      <c r="G84" s="595"/>
      <c r="H84" s="595"/>
      <c r="I84" s="595"/>
      <c r="J84" s="595"/>
      <c r="K84" s="595"/>
      <c r="L84" s="595">
        <v>17000</v>
      </c>
      <c r="M84" s="595">
        <v>24369</v>
      </c>
      <c r="N84" s="595">
        <v>25678</v>
      </c>
      <c r="O84" s="595">
        <v>0</v>
      </c>
      <c r="P84" s="595">
        <v>24369</v>
      </c>
    </row>
    <row r="85" spans="1:16" s="606" customFormat="1" ht="12" hidden="1">
      <c r="A85" s="596"/>
      <c r="B85" s="600" t="s">
        <v>1962</v>
      </c>
      <c r="C85" s="615"/>
      <c r="D85" s="615">
        <v>0</v>
      </c>
      <c r="E85" s="616">
        <v>0</v>
      </c>
      <c r="G85" s="608"/>
      <c r="H85" s="608"/>
      <c r="I85" s="608"/>
      <c r="J85" s="608"/>
      <c r="K85" s="608"/>
      <c r="L85" s="608">
        <v>0</v>
      </c>
      <c r="M85" s="608">
        <v>0</v>
      </c>
      <c r="N85" s="608">
        <v>0</v>
      </c>
      <c r="O85" s="608">
        <v>0</v>
      </c>
      <c r="P85" s="608">
        <v>0</v>
      </c>
    </row>
    <row r="86" spans="1:16" s="606" customFormat="1" ht="12" hidden="1">
      <c r="A86" s="596"/>
      <c r="B86" s="600" t="s">
        <v>1963</v>
      </c>
      <c r="C86" s="615"/>
      <c r="D86" s="615">
        <v>0</v>
      </c>
      <c r="E86" s="616">
        <v>0</v>
      </c>
      <c r="G86" s="608"/>
      <c r="H86" s="608"/>
      <c r="I86" s="608"/>
      <c r="J86" s="608"/>
      <c r="K86" s="608"/>
      <c r="L86" s="608">
        <v>0</v>
      </c>
      <c r="M86" s="608">
        <v>0</v>
      </c>
      <c r="N86" s="608">
        <v>0</v>
      </c>
      <c r="O86" s="608">
        <v>0</v>
      </c>
      <c r="P86" s="608">
        <v>0</v>
      </c>
    </row>
    <row r="87" spans="1:16" s="606" customFormat="1" ht="24" hidden="1">
      <c r="A87" s="596"/>
      <c r="B87" s="600" t="s">
        <v>1964</v>
      </c>
      <c r="C87" s="615"/>
      <c r="D87" s="615">
        <v>0</v>
      </c>
      <c r="E87" s="616">
        <v>0</v>
      </c>
      <c r="G87" s="608"/>
      <c r="H87" s="608"/>
      <c r="I87" s="608"/>
      <c r="J87" s="608"/>
      <c r="K87" s="608"/>
      <c r="L87" s="608">
        <v>0</v>
      </c>
      <c r="M87" s="608">
        <v>0</v>
      </c>
      <c r="N87" s="608">
        <v>0</v>
      </c>
      <c r="O87" s="608">
        <v>0</v>
      </c>
      <c r="P87" s="608">
        <v>0</v>
      </c>
    </row>
    <row r="88" spans="1:16" s="606" customFormat="1" ht="14.25" hidden="1">
      <c r="A88" s="596"/>
      <c r="B88" s="600" t="s">
        <v>1965</v>
      </c>
      <c r="C88" s="598"/>
      <c r="D88" s="598">
        <v>0</v>
      </c>
      <c r="E88" s="599">
        <v>0</v>
      </c>
      <c r="G88" s="608"/>
      <c r="H88" s="608"/>
      <c r="I88" s="608"/>
      <c r="J88" s="608"/>
      <c r="K88" s="608"/>
      <c r="L88" s="608">
        <v>0</v>
      </c>
      <c r="M88" s="608">
        <v>0</v>
      </c>
      <c r="N88" s="608">
        <v>0</v>
      </c>
      <c r="O88" s="608">
        <v>0</v>
      </c>
      <c r="P88" s="608">
        <v>0</v>
      </c>
    </row>
    <row r="89" spans="1:16" s="606" customFormat="1" ht="14.25" hidden="1">
      <c r="A89" s="596"/>
      <c r="B89" s="600" t="s">
        <v>1966</v>
      </c>
      <c r="C89" s="598"/>
      <c r="D89" s="598">
        <v>0</v>
      </c>
      <c r="E89" s="599">
        <v>0</v>
      </c>
      <c r="G89" s="608"/>
      <c r="H89" s="608"/>
      <c r="I89" s="608"/>
      <c r="J89" s="608"/>
      <c r="K89" s="608"/>
      <c r="L89" s="608">
        <v>0</v>
      </c>
      <c r="M89" s="608">
        <v>0</v>
      </c>
      <c r="N89" s="608">
        <v>0</v>
      </c>
      <c r="O89" s="608">
        <v>0</v>
      </c>
      <c r="P89" s="608">
        <v>0</v>
      </c>
    </row>
    <row r="90" spans="1:16" s="606" customFormat="1" ht="12" hidden="1">
      <c r="A90" s="596"/>
      <c r="B90" s="600" t="s">
        <v>1967</v>
      </c>
      <c r="C90" s="615"/>
      <c r="D90" s="615">
        <v>0</v>
      </c>
      <c r="E90" s="616">
        <v>0</v>
      </c>
      <c r="G90" s="608"/>
      <c r="H90" s="608"/>
      <c r="I90" s="608"/>
      <c r="J90" s="608"/>
      <c r="K90" s="608"/>
      <c r="L90" s="608">
        <v>0</v>
      </c>
      <c r="M90" s="608">
        <v>0</v>
      </c>
      <c r="N90" s="608">
        <v>0</v>
      </c>
      <c r="O90" s="608">
        <v>0</v>
      </c>
      <c r="P90" s="608">
        <v>0</v>
      </c>
    </row>
    <row r="91" spans="1:16" s="606" customFormat="1" ht="12" hidden="1">
      <c r="A91" s="596"/>
      <c r="B91" s="600" t="s">
        <v>1968</v>
      </c>
      <c r="C91" s="615"/>
      <c r="D91" s="615">
        <v>0</v>
      </c>
      <c r="E91" s="616">
        <v>0</v>
      </c>
      <c r="G91" s="608"/>
      <c r="H91" s="608"/>
      <c r="I91" s="608"/>
      <c r="J91" s="608"/>
      <c r="K91" s="608"/>
      <c r="L91" s="608">
        <v>0</v>
      </c>
      <c r="M91" s="608">
        <v>0</v>
      </c>
      <c r="N91" s="608">
        <v>0</v>
      </c>
      <c r="O91" s="608">
        <v>0</v>
      </c>
      <c r="P91" s="608">
        <v>0</v>
      </c>
    </row>
    <row r="92" spans="1:16" ht="14.25" hidden="1">
      <c r="A92" s="596"/>
      <c r="B92" s="601" t="s">
        <v>1969</v>
      </c>
      <c r="C92" s="615"/>
      <c r="D92" s="615">
        <v>0</v>
      </c>
      <c r="E92" s="616">
        <v>23596</v>
      </c>
      <c r="F92" s="582"/>
      <c r="G92" s="595"/>
      <c r="H92" s="595"/>
      <c r="I92" s="595"/>
      <c r="J92" s="595"/>
      <c r="K92" s="595"/>
      <c r="L92" s="595">
        <v>0</v>
      </c>
      <c r="M92" s="595">
        <v>0</v>
      </c>
      <c r="N92" s="595">
        <v>0</v>
      </c>
      <c r="O92" s="595">
        <v>0</v>
      </c>
      <c r="P92" s="595">
        <v>23596</v>
      </c>
    </row>
    <row r="93" spans="1:16" ht="14.25" hidden="1">
      <c r="A93" s="596"/>
      <c r="B93" s="601" t="s">
        <v>1970</v>
      </c>
      <c r="C93" s="615"/>
      <c r="D93" s="615">
        <v>0</v>
      </c>
      <c r="E93" s="616">
        <v>773</v>
      </c>
      <c r="F93" s="582"/>
      <c r="G93" s="595"/>
      <c r="H93" s="595"/>
      <c r="I93" s="595"/>
      <c r="J93" s="595"/>
      <c r="K93" s="595"/>
      <c r="L93" s="595">
        <v>0</v>
      </c>
      <c r="M93" s="595">
        <v>0</v>
      </c>
      <c r="N93" s="595">
        <v>0</v>
      </c>
      <c r="O93" s="595">
        <v>0</v>
      </c>
      <c r="P93" s="595">
        <v>773</v>
      </c>
    </row>
    <row r="94" spans="1:16" s="606" customFormat="1" ht="12" hidden="1">
      <c r="A94" s="596"/>
      <c r="B94" s="600" t="s">
        <v>1971</v>
      </c>
      <c r="C94" s="615"/>
      <c r="D94" s="615">
        <v>0</v>
      </c>
      <c r="E94" s="616">
        <v>0</v>
      </c>
      <c r="G94" s="608"/>
      <c r="H94" s="608"/>
      <c r="I94" s="608"/>
      <c r="J94" s="608"/>
      <c r="K94" s="608"/>
      <c r="L94" s="608">
        <v>0</v>
      </c>
      <c r="M94" s="608">
        <v>0</v>
      </c>
      <c r="N94" s="608">
        <v>0</v>
      </c>
      <c r="O94" s="608">
        <v>0</v>
      </c>
      <c r="P94" s="608">
        <v>0</v>
      </c>
    </row>
    <row r="95" spans="1:16" s="606" customFormat="1" ht="12" hidden="1">
      <c r="A95" s="596"/>
      <c r="B95" s="600" t="s">
        <v>1972</v>
      </c>
      <c r="C95" s="615"/>
      <c r="D95" s="615">
        <v>0</v>
      </c>
      <c r="E95" s="616">
        <v>0</v>
      </c>
      <c r="G95" s="608"/>
      <c r="H95" s="608"/>
      <c r="I95" s="608"/>
      <c r="J95" s="608"/>
      <c r="K95" s="608"/>
      <c r="L95" s="608">
        <v>0</v>
      </c>
      <c r="M95" s="608">
        <v>0</v>
      </c>
      <c r="N95" s="608">
        <v>0</v>
      </c>
      <c r="O95" s="608">
        <v>0</v>
      </c>
      <c r="P95" s="608">
        <v>0</v>
      </c>
    </row>
    <row r="96" spans="1:16" s="606" customFormat="1" ht="12" hidden="1">
      <c r="A96" s="596"/>
      <c r="B96" s="600" t="s">
        <v>1973</v>
      </c>
      <c r="C96" s="615"/>
      <c r="D96" s="615">
        <v>0</v>
      </c>
      <c r="E96" s="616">
        <v>0</v>
      </c>
      <c r="G96" s="608"/>
      <c r="H96" s="608"/>
      <c r="I96" s="608"/>
      <c r="J96" s="608"/>
      <c r="K96" s="608"/>
      <c r="L96" s="608">
        <v>0</v>
      </c>
      <c r="M96" s="608">
        <v>0</v>
      </c>
      <c r="N96" s="608">
        <v>0</v>
      </c>
      <c r="O96" s="608">
        <v>0</v>
      </c>
      <c r="P96" s="608">
        <v>0</v>
      </c>
    </row>
    <row r="97" spans="1:16" s="606" customFormat="1" ht="14.25" hidden="1">
      <c r="A97" s="596"/>
      <c r="B97" s="600" t="s">
        <v>1974</v>
      </c>
      <c r="C97" s="598"/>
      <c r="D97" s="598">
        <v>0</v>
      </c>
      <c r="E97" s="599">
        <v>0</v>
      </c>
      <c r="G97" s="608"/>
      <c r="H97" s="608"/>
      <c r="I97" s="608"/>
      <c r="J97" s="608"/>
      <c r="K97" s="608"/>
      <c r="L97" s="608">
        <v>0</v>
      </c>
      <c r="M97" s="608">
        <v>0</v>
      </c>
      <c r="N97" s="608">
        <v>0</v>
      </c>
      <c r="O97" s="608">
        <v>0</v>
      </c>
      <c r="P97" s="608">
        <v>0</v>
      </c>
    </row>
    <row r="98" spans="1:16" s="606" customFormat="1" ht="14.25" hidden="1">
      <c r="A98" s="596"/>
      <c r="B98" s="600" t="s">
        <v>1975</v>
      </c>
      <c r="C98" s="598"/>
      <c r="D98" s="598">
        <v>0</v>
      </c>
      <c r="E98" s="599">
        <v>0</v>
      </c>
      <c r="G98" s="608"/>
      <c r="H98" s="608"/>
      <c r="I98" s="608"/>
      <c r="J98" s="608"/>
      <c r="K98" s="608"/>
      <c r="L98" s="608">
        <v>0</v>
      </c>
      <c r="M98" s="608">
        <v>0</v>
      </c>
      <c r="N98" s="608">
        <v>0</v>
      </c>
      <c r="O98" s="608">
        <v>0</v>
      </c>
      <c r="P98" s="608">
        <v>0</v>
      </c>
    </row>
    <row r="99" spans="1:16" s="606" customFormat="1" ht="14.25" hidden="1">
      <c r="A99" s="596"/>
      <c r="B99" s="600" t="s">
        <v>1976</v>
      </c>
      <c r="C99" s="598"/>
      <c r="D99" s="598">
        <v>0</v>
      </c>
      <c r="E99" s="599">
        <v>0</v>
      </c>
      <c r="G99" s="608"/>
      <c r="H99" s="608"/>
      <c r="I99" s="608"/>
      <c r="J99" s="608"/>
      <c r="K99" s="608"/>
      <c r="L99" s="608">
        <v>0</v>
      </c>
      <c r="M99" s="608">
        <v>0</v>
      </c>
      <c r="N99" s="608">
        <v>0</v>
      </c>
      <c r="O99" s="608">
        <v>0</v>
      </c>
      <c r="P99" s="608">
        <v>0</v>
      </c>
    </row>
    <row r="100" spans="1:16" s="606" customFormat="1" ht="15.75" customHeight="1" hidden="1">
      <c r="A100" s="596"/>
      <c r="B100" s="600" t="s">
        <v>1977</v>
      </c>
      <c r="C100" s="598"/>
      <c r="D100" s="598">
        <v>0</v>
      </c>
      <c r="E100" s="599">
        <v>0</v>
      </c>
      <c r="G100" s="608"/>
      <c r="H100" s="608"/>
      <c r="I100" s="608"/>
      <c r="J100" s="608"/>
      <c r="K100" s="608"/>
      <c r="L100" s="608">
        <v>0</v>
      </c>
      <c r="M100" s="608">
        <v>0</v>
      </c>
      <c r="N100" s="608">
        <v>0</v>
      </c>
      <c r="O100" s="608">
        <v>0</v>
      </c>
      <c r="P100" s="608">
        <v>0</v>
      </c>
    </row>
    <row r="101" spans="1:16" s="614" customFormat="1" ht="15">
      <c r="A101" s="602" t="s">
        <v>1978</v>
      </c>
      <c r="B101" s="603" t="s">
        <v>1979</v>
      </c>
      <c r="C101" s="609">
        <f>C53+C79+C84+C74</f>
        <v>45200</v>
      </c>
      <c r="D101" s="609">
        <f>D53+D79+D84+D74</f>
        <v>56820</v>
      </c>
      <c r="E101" s="610">
        <f>E53+E79+E84+E74</f>
        <v>56820</v>
      </c>
      <c r="G101" s="604"/>
      <c r="H101" s="604"/>
      <c r="I101" s="604"/>
      <c r="J101" s="604"/>
      <c r="K101" s="604"/>
      <c r="L101" s="604">
        <v>45200</v>
      </c>
      <c r="M101" s="604">
        <v>56820</v>
      </c>
      <c r="N101" s="604">
        <v>62660</v>
      </c>
      <c r="O101" s="604">
        <v>0</v>
      </c>
      <c r="P101" s="604">
        <v>56820</v>
      </c>
    </row>
    <row r="102" spans="1:16" ht="14.25">
      <c r="A102" s="596" t="s">
        <v>1980</v>
      </c>
      <c r="B102" s="601" t="s">
        <v>1981</v>
      </c>
      <c r="C102" s="598">
        <v>1000</v>
      </c>
      <c r="D102" s="598">
        <v>1067</v>
      </c>
      <c r="E102" s="599">
        <v>1067</v>
      </c>
      <c r="F102" s="582"/>
      <c r="G102" s="595"/>
      <c r="H102" s="595"/>
      <c r="I102" s="595"/>
      <c r="J102" s="595"/>
      <c r="K102" s="595"/>
      <c r="L102" s="595">
        <v>1000</v>
      </c>
      <c r="M102" s="595">
        <v>1067</v>
      </c>
      <c r="N102" s="595">
        <v>2995</v>
      </c>
      <c r="O102" s="595">
        <v>0</v>
      </c>
      <c r="P102" s="595">
        <v>1067</v>
      </c>
    </row>
    <row r="103" spans="1:16" s="606" customFormat="1" ht="14.25" hidden="1">
      <c r="A103" s="596"/>
      <c r="B103" s="600" t="s">
        <v>1982</v>
      </c>
      <c r="C103" s="598"/>
      <c r="D103" s="598">
        <v>0</v>
      </c>
      <c r="E103" s="599">
        <v>0</v>
      </c>
      <c r="G103" s="608"/>
      <c r="H103" s="608"/>
      <c r="I103" s="608"/>
      <c r="J103" s="608"/>
      <c r="K103" s="608"/>
      <c r="L103" s="608">
        <v>0</v>
      </c>
      <c r="M103" s="608">
        <v>0</v>
      </c>
      <c r="N103" s="608">
        <v>0</v>
      </c>
      <c r="O103" s="608">
        <v>0</v>
      </c>
      <c r="P103" s="608">
        <v>0</v>
      </c>
    </row>
    <row r="104" spans="1:16" s="606" customFormat="1" ht="14.25" hidden="1">
      <c r="A104" s="596"/>
      <c r="B104" s="600" t="s">
        <v>1983</v>
      </c>
      <c r="C104" s="598"/>
      <c r="D104" s="598">
        <v>0</v>
      </c>
      <c r="E104" s="599">
        <v>0</v>
      </c>
      <c r="G104" s="608"/>
      <c r="H104" s="608"/>
      <c r="I104" s="608"/>
      <c r="J104" s="608"/>
      <c r="K104" s="608"/>
      <c r="L104" s="608">
        <v>0</v>
      </c>
      <c r="M104" s="608">
        <v>0</v>
      </c>
      <c r="N104" s="608">
        <v>0</v>
      </c>
      <c r="O104" s="608">
        <v>0</v>
      </c>
      <c r="P104" s="608">
        <v>0</v>
      </c>
    </row>
    <row r="105" spans="1:16" ht="14.25" hidden="1">
      <c r="A105" s="596"/>
      <c r="B105" s="601" t="s">
        <v>1984</v>
      </c>
      <c r="C105" s="598"/>
      <c r="D105" s="598">
        <v>0</v>
      </c>
      <c r="E105" s="599">
        <v>7</v>
      </c>
      <c r="F105" s="582"/>
      <c r="G105" s="595"/>
      <c r="H105" s="595"/>
      <c r="I105" s="595"/>
      <c r="J105" s="595"/>
      <c r="K105" s="595"/>
      <c r="L105" s="595">
        <v>0</v>
      </c>
      <c r="M105" s="595">
        <v>0</v>
      </c>
      <c r="N105" s="595">
        <v>0</v>
      </c>
      <c r="O105" s="595">
        <v>0</v>
      </c>
      <c r="P105" s="595">
        <v>7</v>
      </c>
    </row>
    <row r="106" spans="1:16" s="606" customFormat="1" ht="14.25" hidden="1">
      <c r="A106" s="596"/>
      <c r="B106" s="600" t="s">
        <v>1985</v>
      </c>
      <c r="C106" s="598"/>
      <c r="D106" s="598">
        <v>0</v>
      </c>
      <c r="E106" s="599">
        <v>0</v>
      </c>
      <c r="G106" s="608"/>
      <c r="H106" s="608"/>
      <c r="I106" s="608"/>
      <c r="J106" s="608"/>
      <c r="K106" s="608"/>
      <c r="L106" s="608">
        <v>0</v>
      </c>
      <c r="M106" s="608">
        <v>0</v>
      </c>
      <c r="N106" s="608">
        <v>0</v>
      </c>
      <c r="O106" s="608">
        <v>0</v>
      </c>
      <c r="P106" s="608">
        <v>0</v>
      </c>
    </row>
    <row r="107" spans="1:16" s="606" customFormat="1" ht="14.25" hidden="1">
      <c r="A107" s="596"/>
      <c r="B107" s="600" t="s">
        <v>1986</v>
      </c>
      <c r="C107" s="598"/>
      <c r="D107" s="598">
        <v>0</v>
      </c>
      <c r="E107" s="599">
        <v>0</v>
      </c>
      <c r="G107" s="608"/>
      <c r="H107" s="608"/>
      <c r="I107" s="608"/>
      <c r="J107" s="608"/>
      <c r="K107" s="608"/>
      <c r="L107" s="608">
        <v>0</v>
      </c>
      <c r="M107" s="608">
        <v>0</v>
      </c>
      <c r="N107" s="608">
        <v>0</v>
      </c>
      <c r="O107" s="608">
        <v>0</v>
      </c>
      <c r="P107" s="608">
        <v>0</v>
      </c>
    </row>
    <row r="108" spans="1:16" s="606" customFormat="1" ht="36" hidden="1">
      <c r="A108" s="596"/>
      <c r="B108" s="600" t="s">
        <v>1987</v>
      </c>
      <c r="C108" s="598"/>
      <c r="D108" s="598">
        <v>0</v>
      </c>
      <c r="E108" s="599">
        <v>0</v>
      </c>
      <c r="G108" s="608"/>
      <c r="H108" s="608"/>
      <c r="I108" s="608"/>
      <c r="J108" s="608"/>
      <c r="K108" s="608"/>
      <c r="L108" s="608">
        <v>0</v>
      </c>
      <c r="M108" s="608">
        <v>0</v>
      </c>
      <c r="N108" s="608">
        <v>0</v>
      </c>
      <c r="O108" s="608">
        <v>0</v>
      </c>
      <c r="P108" s="608">
        <v>0</v>
      </c>
    </row>
    <row r="109" spans="1:16" s="606" customFormat="1" ht="14.25" hidden="1">
      <c r="A109" s="596"/>
      <c r="B109" s="600" t="s">
        <v>1988</v>
      </c>
      <c r="C109" s="598"/>
      <c r="D109" s="598">
        <v>0</v>
      </c>
      <c r="E109" s="599">
        <v>0</v>
      </c>
      <c r="G109" s="608"/>
      <c r="H109" s="608"/>
      <c r="I109" s="608"/>
      <c r="J109" s="608"/>
      <c r="K109" s="608"/>
      <c r="L109" s="608">
        <v>0</v>
      </c>
      <c r="M109" s="608">
        <v>0</v>
      </c>
      <c r="N109" s="608">
        <v>0</v>
      </c>
      <c r="O109" s="608">
        <v>0</v>
      </c>
      <c r="P109" s="608">
        <v>0</v>
      </c>
    </row>
    <row r="110" spans="1:16" s="606" customFormat="1" ht="12" hidden="1">
      <c r="A110" s="596"/>
      <c r="B110" s="600" t="s">
        <v>1989</v>
      </c>
      <c r="C110" s="615"/>
      <c r="D110" s="615">
        <v>0</v>
      </c>
      <c r="E110" s="616">
        <v>0</v>
      </c>
      <c r="G110" s="608"/>
      <c r="H110" s="608"/>
      <c r="I110" s="608"/>
      <c r="J110" s="608"/>
      <c r="K110" s="608"/>
      <c r="L110" s="608">
        <v>0</v>
      </c>
      <c r="M110" s="608">
        <v>0</v>
      </c>
      <c r="N110" s="608">
        <v>0</v>
      </c>
      <c r="O110" s="608">
        <v>0</v>
      </c>
      <c r="P110" s="608">
        <v>0</v>
      </c>
    </row>
    <row r="111" spans="1:16" s="606" customFormat="1" ht="12" hidden="1">
      <c r="A111" s="596"/>
      <c r="B111" s="600" t="s">
        <v>1990</v>
      </c>
      <c r="C111" s="615"/>
      <c r="D111" s="615">
        <v>0</v>
      </c>
      <c r="E111" s="616">
        <v>0</v>
      </c>
      <c r="G111" s="608"/>
      <c r="H111" s="608"/>
      <c r="I111" s="608"/>
      <c r="J111" s="608"/>
      <c r="K111" s="608"/>
      <c r="L111" s="608">
        <v>0</v>
      </c>
      <c r="M111" s="608">
        <v>0</v>
      </c>
      <c r="N111" s="608">
        <v>0</v>
      </c>
      <c r="O111" s="608">
        <v>0</v>
      </c>
      <c r="P111" s="608">
        <v>0</v>
      </c>
    </row>
    <row r="112" spans="1:16" s="606" customFormat="1" ht="12" hidden="1">
      <c r="A112" s="596"/>
      <c r="B112" s="600" t="s">
        <v>1991</v>
      </c>
      <c r="C112" s="615"/>
      <c r="D112" s="615">
        <v>0</v>
      </c>
      <c r="E112" s="616">
        <v>0</v>
      </c>
      <c r="G112" s="608"/>
      <c r="H112" s="608"/>
      <c r="I112" s="608"/>
      <c r="J112" s="608"/>
      <c r="K112" s="608"/>
      <c r="L112" s="608">
        <v>0</v>
      </c>
      <c r="M112" s="608">
        <v>0</v>
      </c>
      <c r="N112" s="608">
        <v>0</v>
      </c>
      <c r="O112" s="608">
        <v>0</v>
      </c>
      <c r="P112" s="608">
        <v>0</v>
      </c>
    </row>
    <row r="113" spans="1:16" s="606" customFormat="1" ht="24.75" customHeight="1" hidden="1">
      <c r="A113" s="596"/>
      <c r="B113" s="600" t="s">
        <v>1992</v>
      </c>
      <c r="C113" s="615"/>
      <c r="D113" s="615">
        <v>0</v>
      </c>
      <c r="E113" s="616">
        <v>0</v>
      </c>
      <c r="G113" s="608"/>
      <c r="H113" s="608"/>
      <c r="I113" s="608"/>
      <c r="J113" s="608"/>
      <c r="K113" s="608"/>
      <c r="L113" s="608">
        <v>0</v>
      </c>
      <c r="M113" s="608">
        <v>0</v>
      </c>
      <c r="N113" s="608">
        <v>0</v>
      </c>
      <c r="O113" s="608">
        <v>0</v>
      </c>
      <c r="P113" s="608">
        <v>0</v>
      </c>
    </row>
    <row r="114" spans="1:16" s="606" customFormat="1" ht="12" hidden="1">
      <c r="A114" s="596"/>
      <c r="B114" s="600" t="s">
        <v>1993</v>
      </c>
      <c r="C114" s="615"/>
      <c r="D114" s="615">
        <v>0</v>
      </c>
      <c r="E114" s="616">
        <v>0</v>
      </c>
      <c r="G114" s="608"/>
      <c r="H114" s="608"/>
      <c r="I114" s="608"/>
      <c r="J114" s="608"/>
      <c r="K114" s="608"/>
      <c r="L114" s="608">
        <v>0</v>
      </c>
      <c r="M114" s="608">
        <v>0</v>
      </c>
      <c r="N114" s="608">
        <v>0</v>
      </c>
      <c r="O114" s="608">
        <v>0</v>
      </c>
      <c r="P114" s="608">
        <v>0</v>
      </c>
    </row>
    <row r="115" spans="1:16" s="614" customFormat="1" ht="15">
      <c r="A115" s="602" t="s">
        <v>1978</v>
      </c>
      <c r="B115" s="603" t="s">
        <v>1474</v>
      </c>
      <c r="C115" s="609">
        <f>C45+C101+C102</f>
        <v>144774</v>
      </c>
      <c r="D115" s="609">
        <f>D45+D101+D102</f>
        <v>156508</v>
      </c>
      <c r="E115" s="610">
        <f>E45+E101+E102</f>
        <v>156508</v>
      </c>
      <c r="G115" s="604"/>
      <c r="H115" s="604"/>
      <c r="I115" s="604"/>
      <c r="J115" s="604"/>
      <c r="K115" s="604"/>
      <c r="L115" s="604">
        <v>144774</v>
      </c>
      <c r="M115" s="604">
        <v>156508</v>
      </c>
      <c r="N115" s="604">
        <v>167255</v>
      </c>
      <c r="O115" s="604">
        <v>0</v>
      </c>
      <c r="P115" s="604">
        <v>156508</v>
      </c>
    </row>
    <row r="116" spans="1:16" s="606" customFormat="1" ht="12">
      <c r="A116" s="596" t="s">
        <v>1994</v>
      </c>
      <c r="B116" s="600" t="s">
        <v>1995</v>
      </c>
      <c r="C116" s="615">
        <v>0</v>
      </c>
      <c r="D116" s="615">
        <v>0</v>
      </c>
      <c r="E116" s="616">
        <v>0</v>
      </c>
      <c r="G116" s="608"/>
      <c r="H116" s="608"/>
      <c r="I116" s="608"/>
      <c r="J116" s="608"/>
      <c r="K116" s="608"/>
      <c r="L116" s="608">
        <v>0</v>
      </c>
      <c r="M116" s="608">
        <v>0</v>
      </c>
      <c r="N116" s="608">
        <v>0</v>
      </c>
      <c r="O116" s="608">
        <v>0</v>
      </c>
      <c r="P116" s="608">
        <v>0</v>
      </c>
    </row>
    <row r="117" spans="1:16" ht="14.25">
      <c r="A117" s="596" t="s">
        <v>1996</v>
      </c>
      <c r="B117" s="601" t="s">
        <v>1997</v>
      </c>
      <c r="C117" s="615">
        <v>26941</v>
      </c>
      <c r="D117" s="615">
        <v>35333</v>
      </c>
      <c r="E117" s="616">
        <v>35333</v>
      </c>
      <c r="F117" s="582"/>
      <c r="G117" s="595"/>
      <c r="H117" s="595"/>
      <c r="I117" s="595"/>
      <c r="J117" s="595"/>
      <c r="K117" s="595"/>
      <c r="L117" s="595">
        <v>26941</v>
      </c>
      <c r="M117" s="595">
        <v>35333</v>
      </c>
      <c r="N117" s="595">
        <v>36001</v>
      </c>
      <c r="O117" s="595">
        <v>0</v>
      </c>
      <c r="P117" s="595">
        <v>35333</v>
      </c>
    </row>
    <row r="118" spans="1:16" s="606" customFormat="1" ht="12" hidden="1">
      <c r="A118" s="596"/>
      <c r="B118" s="600" t="s">
        <v>1998</v>
      </c>
      <c r="C118" s="615"/>
      <c r="D118" s="615">
        <v>0</v>
      </c>
      <c r="E118" s="616">
        <v>0</v>
      </c>
      <c r="G118" s="608"/>
      <c r="H118" s="608"/>
      <c r="I118" s="608"/>
      <c r="J118" s="608"/>
      <c r="K118" s="608"/>
      <c r="L118" s="608">
        <v>0</v>
      </c>
      <c r="M118" s="608">
        <v>0</v>
      </c>
      <c r="N118" s="608">
        <v>0</v>
      </c>
      <c r="O118" s="608">
        <v>0</v>
      </c>
      <c r="P118" s="608">
        <v>0</v>
      </c>
    </row>
    <row r="119" spans="1:16" s="606" customFormat="1" ht="24" hidden="1">
      <c r="A119" s="596"/>
      <c r="B119" s="600" t="s">
        <v>1999</v>
      </c>
      <c r="C119" s="615"/>
      <c r="D119" s="615">
        <v>0</v>
      </c>
      <c r="E119" s="616">
        <v>0</v>
      </c>
      <c r="G119" s="608"/>
      <c r="H119" s="608"/>
      <c r="I119" s="608"/>
      <c r="J119" s="608"/>
      <c r="K119" s="608"/>
      <c r="L119" s="608">
        <v>0</v>
      </c>
      <c r="M119" s="608">
        <v>0</v>
      </c>
      <c r="N119" s="608">
        <v>0</v>
      </c>
      <c r="O119" s="608">
        <v>0</v>
      </c>
      <c r="P119" s="608">
        <v>0</v>
      </c>
    </row>
    <row r="120" spans="1:16" ht="14.25">
      <c r="A120" s="596" t="s">
        <v>2000</v>
      </c>
      <c r="B120" s="601" t="s">
        <v>2001</v>
      </c>
      <c r="C120" s="615">
        <v>4330</v>
      </c>
      <c r="D120" s="615">
        <v>4983</v>
      </c>
      <c r="E120" s="616">
        <v>4983</v>
      </c>
      <c r="F120" s="582"/>
      <c r="G120" s="595"/>
      <c r="H120" s="595"/>
      <c r="I120" s="595"/>
      <c r="J120" s="595"/>
      <c r="K120" s="595"/>
      <c r="L120" s="595">
        <v>4330</v>
      </c>
      <c r="M120" s="595">
        <v>4983</v>
      </c>
      <c r="N120" s="595">
        <v>4983</v>
      </c>
      <c r="O120" s="595">
        <v>0</v>
      </c>
      <c r="P120" s="595">
        <v>4983</v>
      </c>
    </row>
    <row r="121" spans="1:16" ht="14.25">
      <c r="A121" s="596" t="s">
        <v>2002</v>
      </c>
      <c r="B121" s="601" t="s">
        <v>2003</v>
      </c>
      <c r="C121" s="615">
        <v>0</v>
      </c>
      <c r="D121" s="615">
        <v>0</v>
      </c>
      <c r="E121" s="616">
        <v>0</v>
      </c>
      <c r="F121" s="582"/>
      <c r="G121" s="595"/>
      <c r="H121" s="595"/>
      <c r="I121" s="595"/>
      <c r="J121" s="595"/>
      <c r="K121" s="595"/>
      <c r="L121" s="595">
        <v>0</v>
      </c>
      <c r="M121" s="595">
        <v>0</v>
      </c>
      <c r="N121" s="595">
        <v>0</v>
      </c>
      <c r="O121" s="595">
        <v>0</v>
      </c>
      <c r="P121" s="595">
        <v>0</v>
      </c>
    </row>
    <row r="122" spans="1:16" ht="14.25">
      <c r="A122" s="596" t="s">
        <v>2004</v>
      </c>
      <c r="B122" s="601" t="s">
        <v>2005</v>
      </c>
      <c r="C122" s="615">
        <v>0</v>
      </c>
      <c r="D122" s="615">
        <v>216</v>
      </c>
      <c r="E122" s="616">
        <v>216</v>
      </c>
      <c r="F122" s="582"/>
      <c r="G122" s="595"/>
      <c r="H122" s="595"/>
      <c r="I122" s="595"/>
      <c r="J122" s="595"/>
      <c r="K122" s="595"/>
      <c r="L122" s="595">
        <v>0</v>
      </c>
      <c r="M122" s="595">
        <v>216</v>
      </c>
      <c r="N122" s="595">
        <v>216</v>
      </c>
      <c r="O122" s="595">
        <v>0</v>
      </c>
      <c r="P122" s="595">
        <v>216</v>
      </c>
    </row>
    <row r="123" spans="1:16" s="606" customFormat="1" ht="12" hidden="1">
      <c r="A123" s="596"/>
      <c r="B123" s="600" t="s">
        <v>2006</v>
      </c>
      <c r="C123" s="615"/>
      <c r="D123" s="615">
        <v>0</v>
      </c>
      <c r="E123" s="616">
        <v>0</v>
      </c>
      <c r="G123" s="608"/>
      <c r="H123" s="608"/>
      <c r="I123" s="608"/>
      <c r="J123" s="608"/>
      <c r="K123" s="608"/>
      <c r="L123" s="608">
        <v>0</v>
      </c>
      <c r="M123" s="608">
        <v>0</v>
      </c>
      <c r="N123" s="608">
        <v>0</v>
      </c>
      <c r="O123" s="608">
        <v>0</v>
      </c>
      <c r="P123" s="608">
        <v>0</v>
      </c>
    </row>
    <row r="124" spans="1:16" s="606" customFormat="1" ht="12" customHeight="1" hidden="1" thickBot="1">
      <c r="A124" s="596"/>
      <c r="B124" s="600" t="s">
        <v>2007</v>
      </c>
      <c r="C124" s="598"/>
      <c r="D124" s="598">
        <v>0</v>
      </c>
      <c r="E124" s="599">
        <v>0</v>
      </c>
      <c r="G124" s="608"/>
      <c r="H124" s="608"/>
      <c r="I124" s="608"/>
      <c r="J124" s="608"/>
      <c r="K124" s="608"/>
      <c r="L124" s="608">
        <v>0</v>
      </c>
      <c r="M124" s="608">
        <v>0</v>
      </c>
      <c r="N124" s="608">
        <v>0</v>
      </c>
      <c r="O124" s="608">
        <v>0</v>
      </c>
      <c r="P124" s="608">
        <v>0</v>
      </c>
    </row>
    <row r="125" spans="1:16" s="606" customFormat="1" ht="12" customHeight="1" hidden="1" thickBot="1">
      <c r="A125" s="596"/>
      <c r="B125" s="600" t="s">
        <v>2008</v>
      </c>
      <c r="C125" s="598"/>
      <c r="D125" s="598">
        <v>0</v>
      </c>
      <c r="E125" s="599">
        <v>0</v>
      </c>
      <c r="G125" s="608"/>
      <c r="H125" s="608"/>
      <c r="I125" s="608"/>
      <c r="J125" s="608"/>
      <c r="K125" s="608"/>
      <c r="L125" s="608">
        <v>0</v>
      </c>
      <c r="M125" s="608">
        <v>0</v>
      </c>
      <c r="N125" s="608">
        <v>0</v>
      </c>
      <c r="O125" s="608">
        <v>0</v>
      </c>
      <c r="P125" s="608">
        <v>0</v>
      </c>
    </row>
    <row r="126" spans="1:16" s="606" customFormat="1" ht="14.25" hidden="1">
      <c r="A126" s="596"/>
      <c r="B126" s="600" t="s">
        <v>2009</v>
      </c>
      <c r="C126" s="598"/>
      <c r="D126" s="598">
        <v>0</v>
      </c>
      <c r="E126" s="599">
        <v>0</v>
      </c>
      <c r="G126" s="608"/>
      <c r="H126" s="608"/>
      <c r="I126" s="608"/>
      <c r="J126" s="608"/>
      <c r="K126" s="608"/>
      <c r="L126" s="608">
        <v>0</v>
      </c>
      <c r="M126" s="608">
        <v>0</v>
      </c>
      <c r="N126" s="608">
        <v>0</v>
      </c>
      <c r="O126" s="608">
        <v>0</v>
      </c>
      <c r="P126" s="608">
        <v>0</v>
      </c>
    </row>
    <row r="127" spans="1:16" s="606" customFormat="1" ht="14.25" customHeight="1" hidden="1">
      <c r="A127" s="596"/>
      <c r="B127" s="600" t="s">
        <v>2010</v>
      </c>
      <c r="C127" s="598"/>
      <c r="D127" s="598">
        <v>0</v>
      </c>
      <c r="E127" s="599">
        <v>0</v>
      </c>
      <c r="G127" s="608"/>
      <c r="H127" s="608"/>
      <c r="I127" s="608"/>
      <c r="J127" s="608"/>
      <c r="K127" s="608"/>
      <c r="L127" s="608">
        <v>0</v>
      </c>
      <c r="M127" s="608">
        <v>0</v>
      </c>
      <c r="N127" s="608">
        <v>0</v>
      </c>
      <c r="O127" s="608">
        <v>0</v>
      </c>
      <c r="P127" s="608">
        <v>0</v>
      </c>
    </row>
    <row r="128" spans="1:16" ht="14.25" hidden="1">
      <c r="A128" s="596"/>
      <c r="B128" s="601" t="s">
        <v>2011</v>
      </c>
      <c r="C128" s="615"/>
      <c r="D128" s="615">
        <v>0</v>
      </c>
      <c r="E128" s="616">
        <v>216</v>
      </c>
      <c r="F128" s="582"/>
      <c r="G128" s="595"/>
      <c r="H128" s="595"/>
      <c r="I128" s="595"/>
      <c r="J128" s="595"/>
      <c r="K128" s="595"/>
      <c r="L128" s="595">
        <v>0</v>
      </c>
      <c r="M128" s="595">
        <v>0</v>
      </c>
      <c r="N128" s="595">
        <v>0</v>
      </c>
      <c r="O128" s="595">
        <v>0</v>
      </c>
      <c r="P128" s="595">
        <v>216</v>
      </c>
    </row>
    <row r="129" spans="1:16" ht="14.25">
      <c r="A129" s="596" t="s">
        <v>2012</v>
      </c>
      <c r="B129" s="601" t="s">
        <v>2013</v>
      </c>
      <c r="C129" s="615">
        <v>6121</v>
      </c>
      <c r="D129" s="615">
        <v>7910</v>
      </c>
      <c r="E129" s="616">
        <v>7910</v>
      </c>
      <c r="F129" s="582"/>
      <c r="G129" s="595"/>
      <c r="H129" s="595"/>
      <c r="I129" s="595"/>
      <c r="J129" s="595"/>
      <c r="K129" s="595"/>
      <c r="L129" s="595">
        <v>6121</v>
      </c>
      <c r="M129" s="595">
        <v>7910</v>
      </c>
      <c r="N129" s="595">
        <v>7967</v>
      </c>
      <c r="O129" s="595">
        <v>0</v>
      </c>
      <c r="P129" s="595">
        <v>7910</v>
      </c>
    </row>
    <row r="130" spans="1:16" ht="14.25">
      <c r="A130" s="596" t="s">
        <v>2014</v>
      </c>
      <c r="B130" s="601" t="s">
        <v>2015</v>
      </c>
      <c r="C130" s="615">
        <v>6789</v>
      </c>
      <c r="D130" s="615">
        <v>10876</v>
      </c>
      <c r="E130" s="616">
        <v>10740</v>
      </c>
      <c r="F130" s="582"/>
      <c r="G130" s="595"/>
      <c r="H130" s="595"/>
      <c r="I130" s="595"/>
      <c r="J130" s="595"/>
      <c r="K130" s="595"/>
      <c r="L130" s="595">
        <v>6789</v>
      </c>
      <c r="M130" s="595">
        <v>10876</v>
      </c>
      <c r="N130" s="595">
        <v>10778</v>
      </c>
      <c r="O130" s="595">
        <v>0</v>
      </c>
      <c r="P130" s="595">
        <v>10740</v>
      </c>
    </row>
    <row r="131" spans="1:16" ht="14.25">
      <c r="A131" s="596" t="s">
        <v>2016</v>
      </c>
      <c r="B131" s="601" t="s">
        <v>2017</v>
      </c>
      <c r="C131" s="598">
        <v>0</v>
      </c>
      <c r="D131" s="598">
        <v>0</v>
      </c>
      <c r="E131" s="599">
        <v>0</v>
      </c>
      <c r="F131" s="582"/>
      <c r="G131" s="595"/>
      <c r="H131" s="595"/>
      <c r="I131" s="595"/>
      <c r="J131" s="595"/>
      <c r="K131" s="595"/>
      <c r="L131" s="595">
        <v>0</v>
      </c>
      <c r="M131" s="595">
        <v>0</v>
      </c>
      <c r="N131" s="595">
        <v>0</v>
      </c>
      <c r="O131" s="595">
        <v>85</v>
      </c>
      <c r="P131" s="595">
        <v>0</v>
      </c>
    </row>
    <row r="132" spans="1:16" ht="14.25">
      <c r="A132" s="596" t="s">
        <v>2018</v>
      </c>
      <c r="B132" s="601" t="s">
        <v>2019</v>
      </c>
      <c r="C132" s="598">
        <v>500</v>
      </c>
      <c r="D132" s="598">
        <v>8058</v>
      </c>
      <c r="E132" s="599">
        <v>8058</v>
      </c>
      <c r="F132" s="582"/>
      <c r="G132" s="595"/>
      <c r="H132" s="595"/>
      <c r="I132" s="595"/>
      <c r="J132" s="595"/>
      <c r="K132" s="595"/>
      <c r="L132" s="595">
        <v>500</v>
      </c>
      <c r="M132" s="595">
        <v>8058</v>
      </c>
      <c r="N132" s="595">
        <v>8058</v>
      </c>
      <c r="O132" s="595">
        <v>0</v>
      </c>
      <c r="P132" s="595">
        <v>8058</v>
      </c>
    </row>
    <row r="133" spans="1:16" s="606" customFormat="1" ht="15" hidden="1">
      <c r="A133" s="596"/>
      <c r="B133" s="600" t="s">
        <v>2020</v>
      </c>
      <c r="C133" s="609"/>
      <c r="D133" s="609">
        <v>0</v>
      </c>
      <c r="E133" s="610">
        <v>0</v>
      </c>
      <c r="G133" s="608"/>
      <c r="H133" s="608"/>
      <c r="I133" s="608"/>
      <c r="J133" s="608"/>
      <c r="K133" s="608"/>
      <c r="L133" s="608">
        <v>0</v>
      </c>
      <c r="M133" s="608">
        <v>0</v>
      </c>
      <c r="N133" s="608">
        <v>0</v>
      </c>
      <c r="O133" s="608">
        <v>0</v>
      </c>
      <c r="P133" s="608">
        <v>0</v>
      </c>
    </row>
    <row r="134" spans="1:16" s="606" customFormat="1" ht="14.25" hidden="1">
      <c r="A134" s="596"/>
      <c r="B134" s="600" t="s">
        <v>2021</v>
      </c>
      <c r="C134" s="598"/>
      <c r="D134" s="598">
        <v>0</v>
      </c>
      <c r="E134" s="599">
        <v>0</v>
      </c>
      <c r="G134" s="608"/>
      <c r="H134" s="608"/>
      <c r="I134" s="608"/>
      <c r="J134" s="608"/>
      <c r="K134" s="608"/>
      <c r="L134" s="608">
        <v>0</v>
      </c>
      <c r="M134" s="608">
        <v>0</v>
      </c>
      <c r="N134" s="608">
        <v>0</v>
      </c>
      <c r="O134" s="608">
        <v>0</v>
      </c>
      <c r="P134" s="608">
        <v>0</v>
      </c>
    </row>
    <row r="135" spans="1:16" s="606" customFormat="1" ht="14.25" hidden="1">
      <c r="A135" s="596"/>
      <c r="B135" s="600" t="s">
        <v>2022</v>
      </c>
      <c r="C135" s="598"/>
      <c r="D135" s="598">
        <v>0</v>
      </c>
      <c r="E135" s="599">
        <v>0</v>
      </c>
      <c r="G135" s="608"/>
      <c r="H135" s="608"/>
      <c r="I135" s="608"/>
      <c r="J135" s="608"/>
      <c r="K135" s="608"/>
      <c r="L135" s="608">
        <v>0</v>
      </c>
      <c r="M135" s="608">
        <v>0</v>
      </c>
      <c r="N135" s="608">
        <v>0</v>
      </c>
      <c r="O135" s="608">
        <v>0</v>
      </c>
      <c r="P135" s="608">
        <v>0</v>
      </c>
    </row>
    <row r="136" spans="1:16" ht="14.25">
      <c r="A136" s="596" t="s">
        <v>2023</v>
      </c>
      <c r="B136" s="601" t="s">
        <v>2024</v>
      </c>
      <c r="C136" s="598">
        <v>0</v>
      </c>
      <c r="D136" s="598">
        <v>8031</v>
      </c>
      <c r="E136" s="599">
        <v>8031</v>
      </c>
      <c r="F136" s="582"/>
      <c r="G136" s="595"/>
      <c r="H136" s="595"/>
      <c r="I136" s="595"/>
      <c r="J136" s="595"/>
      <c r="K136" s="595"/>
      <c r="L136" s="595">
        <v>0</v>
      </c>
      <c r="M136" s="595">
        <v>8031</v>
      </c>
      <c r="N136" s="595">
        <v>8031</v>
      </c>
      <c r="O136" s="595">
        <v>0</v>
      </c>
      <c r="P136" s="595">
        <v>8031</v>
      </c>
    </row>
    <row r="137" spans="1:16" ht="15" customHeight="1" hidden="1">
      <c r="A137" s="596"/>
      <c r="B137" s="601" t="s">
        <v>2025</v>
      </c>
      <c r="C137" s="615"/>
      <c r="D137" s="615">
        <v>0</v>
      </c>
      <c r="E137" s="616">
        <v>8031</v>
      </c>
      <c r="F137" s="582"/>
      <c r="G137" s="595"/>
      <c r="H137" s="595"/>
      <c r="I137" s="595"/>
      <c r="J137" s="595"/>
      <c r="K137" s="595"/>
      <c r="L137" s="595">
        <v>0</v>
      </c>
      <c r="M137" s="595">
        <v>0</v>
      </c>
      <c r="N137" s="595">
        <v>0</v>
      </c>
      <c r="O137" s="595">
        <v>0</v>
      </c>
      <c r="P137" s="595">
        <v>8031</v>
      </c>
    </row>
    <row r="138" spans="1:16" s="606" customFormat="1" ht="24" hidden="1">
      <c r="A138" s="596"/>
      <c r="B138" s="600" t="s">
        <v>2026</v>
      </c>
      <c r="C138" s="615"/>
      <c r="D138" s="615">
        <v>0</v>
      </c>
      <c r="E138" s="616">
        <v>0</v>
      </c>
      <c r="G138" s="608"/>
      <c r="H138" s="608"/>
      <c r="I138" s="608"/>
      <c r="J138" s="608"/>
      <c r="K138" s="608"/>
      <c r="L138" s="608">
        <v>0</v>
      </c>
      <c r="M138" s="608">
        <v>0</v>
      </c>
      <c r="N138" s="608">
        <v>0</v>
      </c>
      <c r="O138" s="608">
        <v>0</v>
      </c>
      <c r="P138" s="608">
        <v>0</v>
      </c>
    </row>
    <row r="139" spans="1:16" s="606" customFormat="1" ht="24" hidden="1">
      <c r="A139" s="596"/>
      <c r="B139" s="600" t="s">
        <v>2027</v>
      </c>
      <c r="C139" s="615"/>
      <c r="D139" s="615">
        <v>0</v>
      </c>
      <c r="E139" s="616">
        <v>0</v>
      </c>
      <c r="G139" s="608"/>
      <c r="H139" s="608"/>
      <c r="I139" s="608"/>
      <c r="J139" s="608"/>
      <c r="K139" s="608"/>
      <c r="L139" s="608">
        <v>0</v>
      </c>
      <c r="M139" s="608">
        <v>0</v>
      </c>
      <c r="N139" s="608">
        <v>0</v>
      </c>
      <c r="O139" s="608">
        <v>0</v>
      </c>
      <c r="P139" s="608">
        <v>0</v>
      </c>
    </row>
    <row r="140" spans="1:16" s="606" customFormat="1" ht="12" hidden="1">
      <c r="A140" s="596"/>
      <c r="B140" s="600" t="s">
        <v>2028</v>
      </c>
      <c r="C140" s="615"/>
      <c r="D140" s="615">
        <v>0</v>
      </c>
      <c r="E140" s="616">
        <v>0</v>
      </c>
      <c r="G140" s="608"/>
      <c r="H140" s="608"/>
      <c r="I140" s="608"/>
      <c r="J140" s="608"/>
      <c r="K140" s="608"/>
      <c r="L140" s="608">
        <v>0</v>
      </c>
      <c r="M140" s="608">
        <v>0</v>
      </c>
      <c r="N140" s="608">
        <v>0</v>
      </c>
      <c r="O140" s="608">
        <v>0</v>
      </c>
      <c r="P140" s="608">
        <v>0</v>
      </c>
    </row>
    <row r="141" spans="1:16" ht="14.25">
      <c r="A141" s="596" t="s">
        <v>2029</v>
      </c>
      <c r="B141" s="601" t="s">
        <v>2030</v>
      </c>
      <c r="C141" s="615"/>
      <c r="D141" s="615">
        <v>925</v>
      </c>
      <c r="E141" s="616">
        <v>925</v>
      </c>
      <c r="F141" s="582"/>
      <c r="G141" s="595"/>
      <c r="H141" s="595"/>
      <c r="I141" s="595"/>
      <c r="J141" s="595"/>
      <c r="K141" s="595"/>
      <c r="L141" s="595">
        <v>0</v>
      </c>
      <c r="M141" s="595">
        <v>925</v>
      </c>
      <c r="N141" s="595">
        <v>1037</v>
      </c>
      <c r="O141" s="595">
        <v>0</v>
      </c>
      <c r="P141" s="595">
        <v>925</v>
      </c>
    </row>
    <row r="142" spans="1:16" ht="14.25" hidden="1">
      <c r="A142" s="596"/>
      <c r="B142" s="601" t="s">
        <v>2031</v>
      </c>
      <c r="C142" s="615"/>
      <c r="D142" s="615">
        <v>0</v>
      </c>
      <c r="E142" s="616">
        <v>0</v>
      </c>
      <c r="F142" s="582"/>
      <c r="G142" s="595"/>
      <c r="H142" s="595"/>
      <c r="I142" s="595"/>
      <c r="J142" s="595"/>
      <c r="K142" s="595"/>
      <c r="L142" s="595">
        <v>0</v>
      </c>
      <c r="M142" s="595">
        <v>0</v>
      </c>
      <c r="N142" s="595">
        <v>0</v>
      </c>
      <c r="O142" s="595">
        <v>0</v>
      </c>
      <c r="P142" s="595">
        <v>0</v>
      </c>
    </row>
    <row r="143" spans="1:16" ht="39" customHeight="1" hidden="1">
      <c r="A143" s="596"/>
      <c r="B143" s="601" t="s">
        <v>2032</v>
      </c>
      <c r="C143" s="615"/>
      <c r="D143" s="615">
        <v>0</v>
      </c>
      <c r="E143" s="616">
        <v>912</v>
      </c>
      <c r="F143" s="582"/>
      <c r="G143" s="595"/>
      <c r="H143" s="595"/>
      <c r="I143" s="595"/>
      <c r="J143" s="595"/>
      <c r="K143" s="595"/>
      <c r="L143" s="595">
        <v>0</v>
      </c>
      <c r="M143" s="595">
        <v>0</v>
      </c>
      <c r="N143" s="595">
        <v>0</v>
      </c>
      <c r="O143" s="595">
        <v>0</v>
      </c>
      <c r="P143" s="595">
        <v>912</v>
      </c>
    </row>
    <row r="144" spans="1:16" ht="14.25" hidden="1">
      <c r="A144" s="596"/>
      <c r="B144" s="601" t="s">
        <v>2033</v>
      </c>
      <c r="C144" s="615"/>
      <c r="D144" s="615">
        <v>0</v>
      </c>
      <c r="E144" s="616">
        <v>13</v>
      </c>
      <c r="F144" s="582"/>
      <c r="G144" s="595"/>
      <c r="H144" s="595"/>
      <c r="I144" s="595"/>
      <c r="J144" s="595"/>
      <c r="K144" s="595"/>
      <c r="L144" s="595">
        <v>0</v>
      </c>
      <c r="M144" s="595">
        <v>0</v>
      </c>
      <c r="N144" s="595">
        <v>0</v>
      </c>
      <c r="O144" s="595">
        <v>0</v>
      </c>
      <c r="P144" s="595">
        <v>13</v>
      </c>
    </row>
    <row r="145" spans="1:16" s="614" customFormat="1" ht="30">
      <c r="A145" s="602" t="s">
        <v>2034</v>
      </c>
      <c r="B145" s="603" t="s">
        <v>2035</v>
      </c>
      <c r="C145" s="609">
        <f>C117+C120+C122+C129+C130+C132+C136+C141</f>
        <v>44681</v>
      </c>
      <c r="D145" s="609">
        <f>D117+D120+D122+D129+D130+D132+D136+D141</f>
        <v>76332</v>
      </c>
      <c r="E145" s="610">
        <f>E117+E120+E122+E129+E130+E132+E136+E141</f>
        <v>76196</v>
      </c>
      <c r="G145" s="604"/>
      <c r="H145" s="604"/>
      <c r="I145" s="604"/>
      <c r="J145" s="604"/>
      <c r="K145" s="604"/>
      <c r="L145" s="604">
        <v>44681</v>
      </c>
      <c r="M145" s="604">
        <v>76332</v>
      </c>
      <c r="N145" s="604">
        <v>77071</v>
      </c>
      <c r="O145" s="604">
        <v>85</v>
      </c>
      <c r="P145" s="604">
        <v>76196</v>
      </c>
    </row>
    <row r="146" spans="1:16" ht="14.25">
      <c r="A146" s="596" t="s">
        <v>2036</v>
      </c>
      <c r="B146" s="601" t="s">
        <v>2037</v>
      </c>
      <c r="C146" s="615">
        <v>0</v>
      </c>
      <c r="D146" s="615">
        <v>0</v>
      </c>
      <c r="E146" s="616">
        <v>0</v>
      </c>
      <c r="F146" s="582"/>
      <c r="G146" s="595"/>
      <c r="H146" s="595"/>
      <c r="I146" s="595"/>
      <c r="J146" s="595"/>
      <c r="K146" s="595"/>
      <c r="L146" s="595">
        <v>0</v>
      </c>
      <c r="M146" s="595">
        <v>0</v>
      </c>
      <c r="N146" s="595">
        <v>0</v>
      </c>
      <c r="O146" s="595">
        <v>0</v>
      </c>
      <c r="P146" s="595">
        <v>0</v>
      </c>
    </row>
    <row r="147" spans="1:16" ht="14.25" customHeight="1" hidden="1">
      <c r="A147" s="596"/>
      <c r="B147" s="601" t="s">
        <v>2038</v>
      </c>
      <c r="C147" s="615"/>
      <c r="D147" s="615">
        <v>0</v>
      </c>
      <c r="E147" s="616">
        <v>0</v>
      </c>
      <c r="F147" s="582"/>
      <c r="G147" s="595"/>
      <c r="H147" s="595"/>
      <c r="I147" s="595"/>
      <c r="J147" s="595"/>
      <c r="K147" s="595"/>
      <c r="L147" s="595">
        <v>0</v>
      </c>
      <c r="M147" s="595">
        <v>0</v>
      </c>
      <c r="N147" s="595">
        <v>0</v>
      </c>
      <c r="O147" s="595">
        <v>0</v>
      </c>
      <c r="P147" s="595">
        <v>0</v>
      </c>
    </row>
    <row r="148" spans="1:16" ht="14.25">
      <c r="A148" s="596" t="s">
        <v>2039</v>
      </c>
      <c r="B148" s="601" t="s">
        <v>2040</v>
      </c>
      <c r="C148" s="615">
        <v>3500</v>
      </c>
      <c r="D148" s="615">
        <v>6369</v>
      </c>
      <c r="E148" s="616">
        <v>6369</v>
      </c>
      <c r="F148" s="582"/>
      <c r="G148" s="595"/>
      <c r="H148" s="595"/>
      <c r="I148" s="595"/>
      <c r="J148" s="595"/>
      <c r="K148" s="595"/>
      <c r="L148" s="595">
        <v>3500</v>
      </c>
      <c r="M148" s="595">
        <v>6369</v>
      </c>
      <c r="N148" s="595">
        <v>6369</v>
      </c>
      <c r="O148" s="595">
        <v>0</v>
      </c>
      <c r="P148" s="595">
        <v>6369</v>
      </c>
    </row>
    <row r="149" spans="1:16" ht="14.25" hidden="1">
      <c r="A149" s="596"/>
      <c r="B149" s="601" t="s">
        <v>2041</v>
      </c>
      <c r="C149" s="615"/>
      <c r="D149" s="615">
        <v>0</v>
      </c>
      <c r="E149" s="616">
        <v>0</v>
      </c>
      <c r="F149" s="582"/>
      <c r="G149" s="595"/>
      <c r="H149" s="595"/>
      <c r="I149" s="595"/>
      <c r="J149" s="595"/>
      <c r="K149" s="595"/>
      <c r="L149" s="595">
        <v>0</v>
      </c>
      <c r="M149" s="595">
        <v>0</v>
      </c>
      <c r="N149" s="595">
        <v>0</v>
      </c>
      <c r="O149" s="595">
        <v>0</v>
      </c>
      <c r="P149" s="595">
        <v>0</v>
      </c>
    </row>
    <row r="150" spans="1:16" ht="14.25">
      <c r="A150" s="596" t="s">
        <v>2042</v>
      </c>
      <c r="B150" s="601" t="s">
        <v>2043</v>
      </c>
      <c r="C150" s="615">
        <v>0</v>
      </c>
      <c r="D150" s="615">
        <v>66</v>
      </c>
      <c r="E150" s="616">
        <v>59</v>
      </c>
      <c r="F150" s="582"/>
      <c r="G150" s="595"/>
      <c r="H150" s="595"/>
      <c r="I150" s="595"/>
      <c r="J150" s="595"/>
      <c r="K150" s="595"/>
      <c r="L150" s="595">
        <v>0</v>
      </c>
      <c r="M150" s="595">
        <v>66</v>
      </c>
      <c r="N150" s="595">
        <v>59</v>
      </c>
      <c r="O150" s="595">
        <v>0</v>
      </c>
      <c r="P150" s="595">
        <v>59</v>
      </c>
    </row>
    <row r="151" spans="1:16" ht="14.25">
      <c r="A151" s="596" t="s">
        <v>2044</v>
      </c>
      <c r="B151" s="601" t="s">
        <v>2045</v>
      </c>
      <c r="C151" s="615">
        <v>0</v>
      </c>
      <c r="D151" s="615">
        <v>18420</v>
      </c>
      <c r="E151" s="616">
        <v>18420</v>
      </c>
      <c r="F151" s="582"/>
      <c r="G151" s="595"/>
      <c r="H151" s="595"/>
      <c r="I151" s="595"/>
      <c r="J151" s="595"/>
      <c r="K151" s="595"/>
      <c r="L151" s="595">
        <v>0</v>
      </c>
      <c r="M151" s="595">
        <v>18420</v>
      </c>
      <c r="N151" s="595">
        <v>18420</v>
      </c>
      <c r="O151" s="595">
        <v>0</v>
      </c>
      <c r="P151" s="595">
        <v>18420</v>
      </c>
    </row>
    <row r="152" spans="1:16" ht="14.25" hidden="1">
      <c r="A152" s="596"/>
      <c r="B152" s="601" t="s">
        <v>2046</v>
      </c>
      <c r="C152" s="615"/>
      <c r="D152" s="615">
        <v>0</v>
      </c>
      <c r="E152" s="616">
        <v>0</v>
      </c>
      <c r="F152" s="582"/>
      <c r="G152" s="595"/>
      <c r="H152" s="595"/>
      <c r="I152" s="595"/>
      <c r="J152" s="595"/>
      <c r="K152" s="595"/>
      <c r="L152" s="595">
        <v>0</v>
      </c>
      <c r="M152" s="595">
        <v>0</v>
      </c>
      <c r="N152" s="595">
        <v>0</v>
      </c>
      <c r="O152" s="595">
        <v>0</v>
      </c>
      <c r="P152" s="595">
        <v>0</v>
      </c>
    </row>
    <row r="153" spans="1:16" ht="14.25">
      <c r="A153" s="596" t="s">
        <v>2047</v>
      </c>
      <c r="B153" s="617" t="s">
        <v>2048</v>
      </c>
      <c r="C153" s="615">
        <v>0</v>
      </c>
      <c r="D153" s="615">
        <v>0</v>
      </c>
      <c r="E153" s="616">
        <v>0</v>
      </c>
      <c r="F153" s="582"/>
      <c r="G153" s="595"/>
      <c r="H153" s="595"/>
      <c r="I153" s="595"/>
      <c r="J153" s="595"/>
      <c r="K153" s="595"/>
      <c r="L153" s="595">
        <v>0</v>
      </c>
      <c r="M153" s="595">
        <v>0</v>
      </c>
      <c r="N153" s="595">
        <v>0</v>
      </c>
      <c r="O153" s="595">
        <v>0</v>
      </c>
      <c r="P153" s="595">
        <v>0</v>
      </c>
    </row>
    <row r="154" spans="1:16" s="614" customFormat="1" ht="15">
      <c r="A154" s="602" t="s">
        <v>1192</v>
      </c>
      <c r="B154" s="603" t="s">
        <v>2049</v>
      </c>
      <c r="C154" s="618">
        <f>C148+C150+C151</f>
        <v>3500</v>
      </c>
      <c r="D154" s="618">
        <f>D148+D150+D151</f>
        <v>24855</v>
      </c>
      <c r="E154" s="619">
        <f>E148+E150+E151</f>
        <v>24848</v>
      </c>
      <c r="G154" s="604"/>
      <c r="H154" s="604"/>
      <c r="I154" s="604"/>
      <c r="J154" s="604"/>
      <c r="K154" s="604"/>
      <c r="L154" s="604">
        <v>3500</v>
      </c>
      <c r="M154" s="604">
        <v>24855</v>
      </c>
      <c r="N154" s="604">
        <v>24848</v>
      </c>
      <c r="O154" s="604">
        <v>0</v>
      </c>
      <c r="P154" s="604">
        <v>24848</v>
      </c>
    </row>
    <row r="155" spans="1:16" s="620" customFormat="1" ht="24" hidden="1">
      <c r="A155" s="602"/>
      <c r="B155" s="605" t="s">
        <v>2050</v>
      </c>
      <c r="C155" s="618"/>
      <c r="D155" s="618">
        <v>0</v>
      </c>
      <c r="E155" s="619">
        <v>0</v>
      </c>
      <c r="G155" s="607"/>
      <c r="H155" s="607"/>
      <c r="I155" s="607"/>
      <c r="J155" s="607"/>
      <c r="K155" s="607"/>
      <c r="L155" s="607">
        <v>0</v>
      </c>
      <c r="M155" s="607">
        <v>0</v>
      </c>
      <c r="N155" s="607">
        <v>0</v>
      </c>
      <c r="O155" s="607">
        <v>0</v>
      </c>
      <c r="P155" s="607">
        <v>0</v>
      </c>
    </row>
    <row r="156" spans="1:16" s="620" customFormat="1" ht="24" hidden="1">
      <c r="A156" s="602"/>
      <c r="B156" s="605" t="s">
        <v>2051</v>
      </c>
      <c r="C156" s="618"/>
      <c r="D156" s="618">
        <v>0</v>
      </c>
      <c r="E156" s="619">
        <v>0</v>
      </c>
      <c r="G156" s="607"/>
      <c r="H156" s="607"/>
      <c r="I156" s="607"/>
      <c r="J156" s="607"/>
      <c r="K156" s="607"/>
      <c r="L156" s="607">
        <v>0</v>
      </c>
      <c r="M156" s="607">
        <v>0</v>
      </c>
      <c r="N156" s="607">
        <v>0</v>
      </c>
      <c r="O156" s="607">
        <v>0</v>
      </c>
      <c r="P156" s="607">
        <v>0</v>
      </c>
    </row>
    <row r="157" spans="1:16" s="620" customFormat="1" ht="12" hidden="1">
      <c r="A157" s="602"/>
      <c r="B157" s="605" t="s">
        <v>2052</v>
      </c>
      <c r="C157" s="618"/>
      <c r="D157" s="618">
        <v>0</v>
      </c>
      <c r="E157" s="619">
        <v>0</v>
      </c>
      <c r="G157" s="607"/>
      <c r="H157" s="607"/>
      <c r="I157" s="607"/>
      <c r="J157" s="607"/>
      <c r="K157" s="607"/>
      <c r="L157" s="607">
        <v>0</v>
      </c>
      <c r="M157" s="607">
        <v>0</v>
      </c>
      <c r="N157" s="607">
        <v>0</v>
      </c>
      <c r="O157" s="607">
        <v>0</v>
      </c>
      <c r="P157" s="607">
        <v>0</v>
      </c>
    </row>
    <row r="158" spans="1:16" s="620" customFormat="1" ht="12" hidden="1">
      <c r="A158" s="602"/>
      <c r="B158" s="605" t="s">
        <v>2053</v>
      </c>
      <c r="C158" s="618"/>
      <c r="D158" s="618">
        <v>0</v>
      </c>
      <c r="E158" s="619">
        <v>0</v>
      </c>
      <c r="G158" s="607"/>
      <c r="H158" s="607"/>
      <c r="I158" s="607"/>
      <c r="J158" s="607"/>
      <c r="K158" s="607"/>
      <c r="L158" s="607">
        <v>0</v>
      </c>
      <c r="M158" s="607">
        <v>0</v>
      </c>
      <c r="N158" s="607">
        <v>0</v>
      </c>
      <c r="O158" s="607">
        <v>0</v>
      </c>
      <c r="P158" s="607">
        <v>0</v>
      </c>
    </row>
    <row r="159" spans="1:16" s="620" customFormat="1" ht="12" hidden="1">
      <c r="A159" s="602"/>
      <c r="B159" s="605" t="s">
        <v>2054</v>
      </c>
      <c r="C159" s="618"/>
      <c r="D159" s="618">
        <v>0</v>
      </c>
      <c r="E159" s="619">
        <v>0</v>
      </c>
      <c r="G159" s="607"/>
      <c r="H159" s="607"/>
      <c r="I159" s="607"/>
      <c r="J159" s="607"/>
      <c r="K159" s="607"/>
      <c r="L159" s="607">
        <v>0</v>
      </c>
      <c r="M159" s="607">
        <v>0</v>
      </c>
      <c r="N159" s="607">
        <v>0</v>
      </c>
      <c r="O159" s="607">
        <v>0</v>
      </c>
      <c r="P159" s="607">
        <v>0</v>
      </c>
    </row>
    <row r="160" spans="1:16" s="620" customFormat="1" ht="15" hidden="1">
      <c r="A160" s="602"/>
      <c r="B160" s="605" t="s">
        <v>2055</v>
      </c>
      <c r="C160" s="609"/>
      <c r="D160" s="609">
        <v>0</v>
      </c>
      <c r="E160" s="610">
        <v>0</v>
      </c>
      <c r="G160" s="607"/>
      <c r="H160" s="607"/>
      <c r="I160" s="607"/>
      <c r="J160" s="607"/>
      <c r="K160" s="607"/>
      <c r="L160" s="607">
        <v>0</v>
      </c>
      <c r="M160" s="607">
        <v>0</v>
      </c>
      <c r="N160" s="607">
        <v>0</v>
      </c>
      <c r="O160" s="607">
        <v>0</v>
      </c>
      <c r="P160" s="607">
        <v>0</v>
      </c>
    </row>
    <row r="161" spans="1:16" s="620" customFormat="1" ht="12" hidden="1">
      <c r="A161" s="602"/>
      <c r="B161" s="605" t="s">
        <v>2056</v>
      </c>
      <c r="C161" s="618"/>
      <c r="D161" s="618">
        <v>0</v>
      </c>
      <c r="E161" s="619">
        <v>0</v>
      </c>
      <c r="G161" s="607"/>
      <c r="H161" s="607"/>
      <c r="I161" s="607"/>
      <c r="J161" s="607"/>
      <c r="K161" s="607"/>
      <c r="L161" s="607">
        <v>0</v>
      </c>
      <c r="M161" s="607">
        <v>0</v>
      </c>
      <c r="N161" s="607">
        <v>0</v>
      </c>
      <c r="O161" s="607">
        <v>0</v>
      </c>
      <c r="P161" s="607">
        <v>0</v>
      </c>
    </row>
    <row r="162" spans="1:16" s="620" customFormat="1" ht="12" hidden="1">
      <c r="A162" s="602"/>
      <c r="B162" s="605" t="s">
        <v>2057</v>
      </c>
      <c r="C162" s="618"/>
      <c r="D162" s="618">
        <v>0</v>
      </c>
      <c r="E162" s="619">
        <v>0</v>
      </c>
      <c r="G162" s="607"/>
      <c r="H162" s="607"/>
      <c r="I162" s="607"/>
      <c r="J162" s="607"/>
      <c r="K162" s="607"/>
      <c r="L162" s="607">
        <v>0</v>
      </c>
      <c r="M162" s="607">
        <v>0</v>
      </c>
      <c r="N162" s="607">
        <v>0</v>
      </c>
      <c r="O162" s="607">
        <v>0</v>
      </c>
      <c r="P162" s="607">
        <v>0</v>
      </c>
    </row>
    <row r="163" spans="1:16" s="620" customFormat="1" ht="24" hidden="1">
      <c r="A163" s="602"/>
      <c r="B163" s="605" t="s">
        <v>2058</v>
      </c>
      <c r="C163" s="618"/>
      <c r="D163" s="618">
        <v>0</v>
      </c>
      <c r="E163" s="619">
        <v>0</v>
      </c>
      <c r="G163" s="607"/>
      <c r="H163" s="607"/>
      <c r="I163" s="607"/>
      <c r="J163" s="607"/>
      <c r="K163" s="607"/>
      <c r="L163" s="607">
        <v>0</v>
      </c>
      <c r="M163" s="607">
        <v>0</v>
      </c>
      <c r="N163" s="607">
        <v>0</v>
      </c>
      <c r="O163" s="607">
        <v>0</v>
      </c>
      <c r="P163" s="607">
        <v>0</v>
      </c>
    </row>
    <row r="164" spans="1:16" s="620" customFormat="1" ht="12" hidden="1">
      <c r="A164" s="602"/>
      <c r="B164" s="605" t="s">
        <v>2059</v>
      </c>
      <c r="C164" s="618"/>
      <c r="D164" s="618">
        <v>0</v>
      </c>
      <c r="E164" s="619">
        <v>0</v>
      </c>
      <c r="G164" s="607"/>
      <c r="H164" s="607"/>
      <c r="I164" s="607"/>
      <c r="J164" s="607"/>
      <c r="K164" s="607"/>
      <c r="L164" s="607">
        <v>0</v>
      </c>
      <c r="M164" s="607">
        <v>0</v>
      </c>
      <c r="N164" s="607">
        <v>0</v>
      </c>
      <c r="O164" s="607">
        <v>0</v>
      </c>
      <c r="P164" s="607">
        <v>0</v>
      </c>
    </row>
    <row r="165" spans="1:16" s="620" customFormat="1" ht="12" hidden="1">
      <c r="A165" s="602"/>
      <c r="B165" s="605" t="s">
        <v>2060</v>
      </c>
      <c r="C165" s="618"/>
      <c r="D165" s="618">
        <v>0</v>
      </c>
      <c r="E165" s="619">
        <v>0</v>
      </c>
      <c r="G165" s="607"/>
      <c r="H165" s="607"/>
      <c r="I165" s="607"/>
      <c r="J165" s="607"/>
      <c r="K165" s="607"/>
      <c r="L165" s="607">
        <v>0</v>
      </c>
      <c r="M165" s="607">
        <v>0</v>
      </c>
      <c r="N165" s="607">
        <v>0</v>
      </c>
      <c r="O165" s="607">
        <v>0</v>
      </c>
      <c r="P165" s="607">
        <v>0</v>
      </c>
    </row>
    <row r="166" spans="1:16" s="620" customFormat="1" ht="12" hidden="1">
      <c r="A166" s="602"/>
      <c r="B166" s="605" t="s">
        <v>2061</v>
      </c>
      <c r="C166" s="618"/>
      <c r="D166" s="618">
        <v>0</v>
      </c>
      <c r="E166" s="619">
        <v>0</v>
      </c>
      <c r="G166" s="607"/>
      <c r="H166" s="607"/>
      <c r="I166" s="607"/>
      <c r="J166" s="607"/>
      <c r="K166" s="607"/>
      <c r="L166" s="607">
        <v>0</v>
      </c>
      <c r="M166" s="607">
        <v>0</v>
      </c>
      <c r="N166" s="607">
        <v>0</v>
      </c>
      <c r="O166" s="607">
        <v>0</v>
      </c>
      <c r="P166" s="607">
        <v>0</v>
      </c>
    </row>
    <row r="167" spans="1:16" s="620" customFormat="1" ht="15" hidden="1">
      <c r="A167" s="602"/>
      <c r="B167" s="605" t="s">
        <v>2062</v>
      </c>
      <c r="C167" s="609"/>
      <c r="D167" s="609">
        <v>0</v>
      </c>
      <c r="E167" s="610">
        <v>0</v>
      </c>
      <c r="G167" s="607"/>
      <c r="H167" s="607"/>
      <c r="I167" s="607"/>
      <c r="J167" s="607"/>
      <c r="K167" s="607"/>
      <c r="L167" s="607">
        <v>0</v>
      </c>
      <c r="M167" s="607">
        <v>0</v>
      </c>
      <c r="N167" s="607">
        <v>0</v>
      </c>
      <c r="O167" s="607">
        <v>0</v>
      </c>
      <c r="P167" s="607">
        <v>0</v>
      </c>
    </row>
    <row r="168" spans="1:16" s="614" customFormat="1" ht="15" customHeight="1" hidden="1">
      <c r="A168" s="602"/>
      <c r="B168" s="603" t="s">
        <v>2063</v>
      </c>
      <c r="C168" s="618"/>
      <c r="D168" s="618">
        <v>1000</v>
      </c>
      <c r="E168" s="619">
        <v>1530</v>
      </c>
      <c r="G168" s="604"/>
      <c r="H168" s="604"/>
      <c r="I168" s="604"/>
      <c r="J168" s="604"/>
      <c r="K168" s="604"/>
      <c r="L168" s="604">
        <v>6208</v>
      </c>
      <c r="M168" s="604">
        <v>1000</v>
      </c>
      <c r="N168" s="604">
        <v>1530</v>
      </c>
      <c r="O168" s="604">
        <v>0</v>
      </c>
      <c r="P168" s="604">
        <v>1530</v>
      </c>
    </row>
    <row r="169" spans="1:16" s="614" customFormat="1" ht="15" hidden="1">
      <c r="A169" s="602"/>
      <c r="B169" s="603" t="s">
        <v>2064</v>
      </c>
      <c r="C169" s="618"/>
      <c r="D169" s="618">
        <v>0</v>
      </c>
      <c r="E169" s="619">
        <v>0</v>
      </c>
      <c r="G169" s="604"/>
      <c r="H169" s="604"/>
      <c r="I169" s="604"/>
      <c r="J169" s="604"/>
      <c r="K169" s="604"/>
      <c r="L169" s="604">
        <v>0</v>
      </c>
      <c r="M169" s="604">
        <v>0</v>
      </c>
      <c r="N169" s="604">
        <v>0</v>
      </c>
      <c r="O169" s="604">
        <v>0</v>
      </c>
      <c r="P169" s="604">
        <v>0</v>
      </c>
    </row>
    <row r="170" spans="1:16" s="614" customFormat="1" ht="15" hidden="1">
      <c r="A170" s="602"/>
      <c r="B170" s="603" t="s">
        <v>2065</v>
      </c>
      <c r="C170" s="618"/>
      <c r="D170" s="618">
        <v>0</v>
      </c>
      <c r="E170" s="619">
        <v>500</v>
      </c>
      <c r="G170" s="604"/>
      <c r="H170" s="604"/>
      <c r="I170" s="604"/>
      <c r="J170" s="604"/>
      <c r="K170" s="604"/>
      <c r="L170" s="604">
        <v>0</v>
      </c>
      <c r="M170" s="604">
        <v>0</v>
      </c>
      <c r="N170" s="604">
        <v>0</v>
      </c>
      <c r="O170" s="604">
        <v>0</v>
      </c>
      <c r="P170" s="604">
        <v>500</v>
      </c>
    </row>
    <row r="171" spans="1:16" s="614" customFormat="1" ht="15" hidden="1">
      <c r="A171" s="602"/>
      <c r="B171" s="603" t="s">
        <v>2066</v>
      </c>
      <c r="C171" s="618"/>
      <c r="D171" s="618">
        <v>0</v>
      </c>
      <c r="E171" s="619">
        <v>500</v>
      </c>
      <c r="G171" s="604"/>
      <c r="H171" s="604"/>
      <c r="I171" s="604"/>
      <c r="J171" s="604"/>
      <c r="K171" s="604"/>
      <c r="L171" s="604">
        <v>0</v>
      </c>
      <c r="M171" s="604">
        <v>0</v>
      </c>
      <c r="N171" s="604">
        <v>0</v>
      </c>
      <c r="O171" s="604">
        <v>0</v>
      </c>
      <c r="P171" s="604">
        <v>1030</v>
      </c>
    </row>
    <row r="172" spans="1:16" s="620" customFormat="1" ht="12" hidden="1">
      <c r="A172" s="602"/>
      <c r="B172" s="605" t="s">
        <v>2067</v>
      </c>
      <c r="C172" s="618"/>
      <c r="D172" s="618">
        <v>0</v>
      </c>
      <c r="E172" s="619">
        <v>0</v>
      </c>
      <c r="G172" s="607"/>
      <c r="H172" s="607"/>
      <c r="I172" s="607"/>
      <c r="J172" s="607"/>
      <c r="K172" s="607"/>
      <c r="L172" s="607">
        <v>0</v>
      </c>
      <c r="M172" s="607">
        <v>0</v>
      </c>
      <c r="N172" s="607">
        <v>0</v>
      </c>
      <c r="O172" s="607">
        <v>0</v>
      </c>
      <c r="P172" s="607">
        <v>0</v>
      </c>
    </row>
    <row r="173" spans="1:16" s="620" customFormat="1" ht="12" hidden="1">
      <c r="A173" s="602"/>
      <c r="B173" s="605" t="s">
        <v>2068</v>
      </c>
      <c r="C173" s="618"/>
      <c r="D173" s="618">
        <v>0</v>
      </c>
      <c r="E173" s="619">
        <v>0</v>
      </c>
      <c r="G173" s="607"/>
      <c r="H173" s="607"/>
      <c r="I173" s="607"/>
      <c r="J173" s="607"/>
      <c r="K173" s="607"/>
      <c r="L173" s="607">
        <v>0</v>
      </c>
      <c r="M173" s="607">
        <v>0</v>
      </c>
      <c r="N173" s="607">
        <v>0</v>
      </c>
      <c r="O173" s="607">
        <v>0</v>
      </c>
      <c r="P173" s="607">
        <v>0</v>
      </c>
    </row>
    <row r="174" spans="1:16" s="620" customFormat="1" ht="12" hidden="1">
      <c r="A174" s="602"/>
      <c r="B174" s="605" t="s">
        <v>2069</v>
      </c>
      <c r="C174" s="618"/>
      <c r="D174" s="618">
        <v>0</v>
      </c>
      <c r="E174" s="619">
        <v>0</v>
      </c>
      <c r="G174" s="607"/>
      <c r="H174" s="607"/>
      <c r="I174" s="607"/>
      <c r="J174" s="607"/>
      <c r="K174" s="607"/>
      <c r="L174" s="607">
        <v>0</v>
      </c>
      <c r="M174" s="607">
        <v>0</v>
      </c>
      <c r="N174" s="607">
        <v>0</v>
      </c>
      <c r="O174" s="607">
        <v>0</v>
      </c>
      <c r="P174" s="607">
        <v>0</v>
      </c>
    </row>
    <row r="175" spans="1:16" s="620" customFormat="1" ht="24" hidden="1">
      <c r="A175" s="602"/>
      <c r="B175" s="605" t="s">
        <v>2070</v>
      </c>
      <c r="C175" s="618"/>
      <c r="D175" s="618">
        <v>0</v>
      </c>
      <c r="E175" s="619">
        <v>0</v>
      </c>
      <c r="G175" s="607"/>
      <c r="H175" s="607"/>
      <c r="I175" s="607"/>
      <c r="J175" s="607"/>
      <c r="K175" s="607"/>
      <c r="L175" s="607">
        <v>0</v>
      </c>
      <c r="M175" s="607">
        <v>0</v>
      </c>
      <c r="N175" s="607">
        <v>0</v>
      </c>
      <c r="O175" s="607">
        <v>0</v>
      </c>
      <c r="P175" s="607">
        <v>0</v>
      </c>
    </row>
    <row r="176" spans="1:16" s="620" customFormat="1" ht="12" hidden="1">
      <c r="A176" s="602"/>
      <c r="B176" s="605" t="s">
        <v>2071</v>
      </c>
      <c r="C176" s="618"/>
      <c r="D176" s="618">
        <v>0</v>
      </c>
      <c r="E176" s="619">
        <v>0</v>
      </c>
      <c r="G176" s="607"/>
      <c r="H176" s="607"/>
      <c r="I176" s="607"/>
      <c r="J176" s="607"/>
      <c r="K176" s="607"/>
      <c r="L176" s="607">
        <v>0</v>
      </c>
      <c r="M176" s="607">
        <v>0</v>
      </c>
      <c r="N176" s="607">
        <v>0</v>
      </c>
      <c r="O176" s="607">
        <v>0</v>
      </c>
      <c r="P176" s="607">
        <v>0</v>
      </c>
    </row>
    <row r="177" spans="1:16" s="620" customFormat="1" ht="12" hidden="1">
      <c r="A177" s="602"/>
      <c r="B177" s="605" t="s">
        <v>2072</v>
      </c>
      <c r="C177" s="618"/>
      <c r="D177" s="618">
        <v>0</v>
      </c>
      <c r="E177" s="619">
        <v>0</v>
      </c>
      <c r="G177" s="607"/>
      <c r="H177" s="607"/>
      <c r="I177" s="607"/>
      <c r="J177" s="607"/>
      <c r="K177" s="607"/>
      <c r="L177" s="607">
        <v>0</v>
      </c>
      <c r="M177" s="607">
        <v>0</v>
      </c>
      <c r="N177" s="607">
        <v>0</v>
      </c>
      <c r="O177" s="607">
        <v>0</v>
      </c>
      <c r="P177" s="607">
        <v>0</v>
      </c>
    </row>
    <row r="178" spans="1:16" s="620" customFormat="1" ht="12" hidden="1">
      <c r="A178" s="602"/>
      <c r="B178" s="605" t="s">
        <v>2073</v>
      </c>
      <c r="C178" s="618"/>
      <c r="D178" s="618">
        <v>0</v>
      </c>
      <c r="E178" s="619">
        <v>0</v>
      </c>
      <c r="G178" s="607"/>
      <c r="H178" s="607"/>
      <c r="I178" s="607"/>
      <c r="J178" s="607"/>
      <c r="K178" s="607"/>
      <c r="L178" s="607">
        <v>0</v>
      </c>
      <c r="M178" s="607">
        <v>0</v>
      </c>
      <c r="N178" s="607">
        <v>0</v>
      </c>
      <c r="O178" s="607">
        <v>0</v>
      </c>
      <c r="P178" s="607">
        <v>0</v>
      </c>
    </row>
    <row r="179" spans="1:16" s="620" customFormat="1" ht="12" hidden="1">
      <c r="A179" s="602"/>
      <c r="B179" s="605" t="s">
        <v>2074</v>
      </c>
      <c r="C179" s="618"/>
      <c r="D179" s="618">
        <v>0</v>
      </c>
      <c r="E179" s="619">
        <v>0</v>
      </c>
      <c r="G179" s="607"/>
      <c r="H179" s="607"/>
      <c r="I179" s="607"/>
      <c r="J179" s="607"/>
      <c r="K179" s="607"/>
      <c r="L179" s="607">
        <v>0</v>
      </c>
      <c r="M179" s="607">
        <v>0</v>
      </c>
      <c r="N179" s="607">
        <v>0</v>
      </c>
      <c r="O179" s="607">
        <v>0</v>
      </c>
      <c r="P179" s="607">
        <v>0</v>
      </c>
    </row>
    <row r="180" spans="1:16" s="614" customFormat="1" ht="15">
      <c r="A180" s="602" t="s">
        <v>1194</v>
      </c>
      <c r="B180" s="603" t="s">
        <v>2075</v>
      </c>
      <c r="C180" s="618">
        <v>6208</v>
      </c>
      <c r="D180" s="618">
        <v>1000</v>
      </c>
      <c r="E180" s="619">
        <v>1000</v>
      </c>
      <c r="G180" s="604"/>
      <c r="H180" s="604"/>
      <c r="I180" s="604"/>
      <c r="J180" s="604"/>
      <c r="K180" s="604"/>
      <c r="L180" s="604">
        <v>6208</v>
      </c>
      <c r="M180" s="604">
        <v>1000</v>
      </c>
      <c r="N180" s="604">
        <v>1530</v>
      </c>
      <c r="O180" s="604">
        <v>0</v>
      </c>
      <c r="P180" s="604">
        <v>1530</v>
      </c>
    </row>
    <row r="181" spans="1:16" s="621" customFormat="1" ht="12.75">
      <c r="A181" s="596" t="s">
        <v>2076</v>
      </c>
      <c r="B181" s="611" t="s">
        <v>2077</v>
      </c>
      <c r="C181" s="615"/>
      <c r="D181" s="615">
        <v>0</v>
      </c>
      <c r="E181" s="616">
        <v>0</v>
      </c>
      <c r="G181" s="622"/>
      <c r="H181" s="622"/>
      <c r="I181" s="622"/>
      <c r="J181" s="622"/>
      <c r="K181" s="622"/>
      <c r="L181" s="622">
        <v>0</v>
      </c>
      <c r="M181" s="622">
        <v>0</v>
      </c>
      <c r="N181" s="622">
        <v>0</v>
      </c>
      <c r="O181" s="622">
        <v>0</v>
      </c>
      <c r="P181" s="622">
        <v>0</v>
      </c>
    </row>
    <row r="182" spans="1:16" s="621" customFormat="1" ht="12.75">
      <c r="A182" s="596" t="s">
        <v>2078</v>
      </c>
      <c r="B182" s="611" t="s">
        <v>2079</v>
      </c>
      <c r="C182" s="615">
        <v>545</v>
      </c>
      <c r="D182" s="615">
        <v>876</v>
      </c>
      <c r="E182" s="616">
        <v>876</v>
      </c>
      <c r="G182" s="622"/>
      <c r="H182" s="622"/>
      <c r="I182" s="622"/>
      <c r="J182" s="622"/>
      <c r="K182" s="622"/>
      <c r="L182" s="622">
        <v>545</v>
      </c>
      <c r="M182" s="622">
        <v>876</v>
      </c>
      <c r="N182" s="622">
        <v>876</v>
      </c>
      <c r="O182" s="622">
        <v>4564</v>
      </c>
      <c r="P182" s="622">
        <v>876</v>
      </c>
    </row>
    <row r="183" spans="1:16" s="606" customFormat="1" ht="12" hidden="1">
      <c r="A183" s="596"/>
      <c r="B183" s="600" t="s">
        <v>2080</v>
      </c>
      <c r="C183" s="615"/>
      <c r="D183" s="615">
        <v>0</v>
      </c>
      <c r="E183" s="616">
        <v>0</v>
      </c>
      <c r="G183" s="608"/>
      <c r="H183" s="608"/>
      <c r="I183" s="608"/>
      <c r="J183" s="608"/>
      <c r="K183" s="608"/>
      <c r="L183" s="608">
        <v>0</v>
      </c>
      <c r="M183" s="608">
        <v>0</v>
      </c>
      <c r="N183" s="608">
        <v>0</v>
      </c>
      <c r="O183" s="608">
        <v>0</v>
      </c>
      <c r="P183" s="608">
        <v>0</v>
      </c>
    </row>
    <row r="184" spans="1:16" s="606" customFormat="1" ht="12" hidden="1">
      <c r="A184" s="596"/>
      <c r="B184" s="600" t="s">
        <v>2081</v>
      </c>
      <c r="C184" s="615"/>
      <c r="D184" s="615">
        <v>0</v>
      </c>
      <c r="E184" s="616">
        <v>0</v>
      </c>
      <c r="G184" s="608"/>
      <c r="H184" s="608"/>
      <c r="I184" s="608"/>
      <c r="J184" s="608"/>
      <c r="K184" s="608"/>
      <c r="L184" s="608">
        <v>0</v>
      </c>
      <c r="M184" s="608">
        <v>0</v>
      </c>
      <c r="N184" s="608">
        <v>0</v>
      </c>
      <c r="O184" s="608">
        <v>0</v>
      </c>
      <c r="P184" s="608">
        <v>0</v>
      </c>
    </row>
    <row r="185" spans="1:16" s="606" customFormat="1" ht="12" hidden="1">
      <c r="A185" s="596"/>
      <c r="B185" s="600" t="s">
        <v>2082</v>
      </c>
      <c r="C185" s="615"/>
      <c r="D185" s="615">
        <v>0</v>
      </c>
      <c r="E185" s="616">
        <v>0</v>
      </c>
      <c r="G185" s="608"/>
      <c r="H185" s="608"/>
      <c r="I185" s="608"/>
      <c r="J185" s="608"/>
      <c r="K185" s="608"/>
      <c r="L185" s="608">
        <v>0</v>
      </c>
      <c r="M185" s="608">
        <v>0</v>
      </c>
      <c r="N185" s="608">
        <v>0</v>
      </c>
      <c r="O185" s="608">
        <v>0</v>
      </c>
      <c r="P185" s="608">
        <v>0</v>
      </c>
    </row>
    <row r="186" spans="1:16" ht="14.25" hidden="1">
      <c r="A186" s="596"/>
      <c r="B186" s="601" t="s">
        <v>2083</v>
      </c>
      <c r="C186" s="615"/>
      <c r="D186" s="615">
        <v>0</v>
      </c>
      <c r="E186" s="616">
        <v>876</v>
      </c>
      <c r="F186" s="582"/>
      <c r="G186" s="595"/>
      <c r="H186" s="595"/>
      <c r="I186" s="595"/>
      <c r="J186" s="595"/>
      <c r="K186" s="595"/>
      <c r="L186" s="595">
        <v>0</v>
      </c>
      <c r="M186" s="595">
        <v>0</v>
      </c>
      <c r="N186" s="595">
        <v>0</v>
      </c>
      <c r="O186" s="595">
        <v>0</v>
      </c>
      <c r="P186" s="595">
        <v>876</v>
      </c>
    </row>
    <row r="187" spans="1:16" ht="14.25" hidden="1">
      <c r="A187" s="596"/>
      <c r="B187" s="601" t="s">
        <v>2084</v>
      </c>
      <c r="C187" s="598"/>
      <c r="D187" s="598">
        <v>0</v>
      </c>
      <c r="E187" s="599">
        <v>0</v>
      </c>
      <c r="F187" s="582"/>
      <c r="G187" s="595"/>
      <c r="H187" s="595"/>
      <c r="I187" s="595"/>
      <c r="J187" s="595"/>
      <c r="K187" s="595"/>
      <c r="L187" s="595">
        <v>0</v>
      </c>
      <c r="M187" s="595">
        <v>0</v>
      </c>
      <c r="N187" s="595">
        <v>0</v>
      </c>
      <c r="O187" s="595">
        <v>0</v>
      </c>
      <c r="P187" s="595">
        <v>0</v>
      </c>
    </row>
    <row r="188" spans="1:16" s="606" customFormat="1" ht="12" hidden="1">
      <c r="A188" s="596"/>
      <c r="B188" s="600" t="s">
        <v>2085</v>
      </c>
      <c r="C188" s="615"/>
      <c r="D188" s="615">
        <v>0</v>
      </c>
      <c r="E188" s="616">
        <v>0</v>
      </c>
      <c r="G188" s="608"/>
      <c r="H188" s="608"/>
      <c r="I188" s="608"/>
      <c r="J188" s="608"/>
      <c r="K188" s="608"/>
      <c r="L188" s="608">
        <v>0</v>
      </c>
      <c r="M188" s="608">
        <v>0</v>
      </c>
      <c r="N188" s="608">
        <v>0</v>
      </c>
      <c r="O188" s="608">
        <v>0</v>
      </c>
      <c r="P188" s="608">
        <v>0</v>
      </c>
    </row>
    <row r="189" spans="1:16" s="606" customFormat="1" ht="24" hidden="1">
      <c r="A189" s="596"/>
      <c r="B189" s="600" t="s">
        <v>2086</v>
      </c>
      <c r="C189" s="615"/>
      <c r="D189" s="615">
        <v>0</v>
      </c>
      <c r="E189" s="616">
        <v>0</v>
      </c>
      <c r="G189" s="608"/>
      <c r="H189" s="608"/>
      <c r="I189" s="608"/>
      <c r="J189" s="608"/>
      <c r="K189" s="608"/>
      <c r="L189" s="608">
        <v>0</v>
      </c>
      <c r="M189" s="608">
        <v>0</v>
      </c>
      <c r="N189" s="608">
        <v>0</v>
      </c>
      <c r="O189" s="608">
        <v>0</v>
      </c>
      <c r="P189" s="608">
        <v>0</v>
      </c>
    </row>
    <row r="190" spans="1:16" s="606" customFormat="1" ht="14.25" hidden="1">
      <c r="A190" s="596"/>
      <c r="B190" s="600" t="s">
        <v>2087</v>
      </c>
      <c r="C190" s="598"/>
      <c r="D190" s="598">
        <v>0</v>
      </c>
      <c r="E190" s="599">
        <v>0</v>
      </c>
      <c r="G190" s="608"/>
      <c r="H190" s="608"/>
      <c r="I190" s="608"/>
      <c r="J190" s="608"/>
      <c r="K190" s="608"/>
      <c r="L190" s="608">
        <v>0</v>
      </c>
      <c r="M190" s="608">
        <v>0</v>
      </c>
      <c r="N190" s="608">
        <v>0</v>
      </c>
      <c r="O190" s="608">
        <v>0</v>
      </c>
      <c r="P190" s="608">
        <v>0</v>
      </c>
    </row>
    <row r="191" spans="1:16" s="606" customFormat="1" ht="12" hidden="1">
      <c r="A191" s="596"/>
      <c r="B191" s="600" t="s">
        <v>2088</v>
      </c>
      <c r="C191" s="615"/>
      <c r="D191" s="615">
        <v>0</v>
      </c>
      <c r="E191" s="616">
        <v>0</v>
      </c>
      <c r="G191" s="608"/>
      <c r="H191" s="608"/>
      <c r="I191" s="608"/>
      <c r="J191" s="608"/>
      <c r="K191" s="608"/>
      <c r="L191" s="608">
        <v>0</v>
      </c>
      <c r="M191" s="608">
        <v>0</v>
      </c>
      <c r="N191" s="608">
        <v>0</v>
      </c>
      <c r="O191" s="608">
        <v>0</v>
      </c>
      <c r="P191" s="608">
        <v>0</v>
      </c>
    </row>
    <row r="192" spans="1:16" s="606" customFormat="1" ht="12" hidden="1">
      <c r="A192" s="596"/>
      <c r="B192" s="600" t="s">
        <v>2089</v>
      </c>
      <c r="C192" s="615"/>
      <c r="D192" s="615">
        <v>0</v>
      </c>
      <c r="E192" s="616">
        <v>0</v>
      </c>
      <c r="G192" s="608"/>
      <c r="H192" s="608"/>
      <c r="I192" s="608"/>
      <c r="J192" s="608"/>
      <c r="K192" s="608"/>
      <c r="L192" s="608">
        <v>0</v>
      </c>
      <c r="M192" s="608">
        <v>0</v>
      </c>
      <c r="N192" s="608">
        <v>0</v>
      </c>
      <c r="O192" s="608">
        <v>0</v>
      </c>
      <c r="P192" s="608">
        <v>0</v>
      </c>
    </row>
    <row r="193" spans="1:16" s="606" customFormat="1" ht="12" hidden="1">
      <c r="A193" s="596"/>
      <c r="B193" s="600" t="s">
        <v>2090</v>
      </c>
      <c r="C193" s="615"/>
      <c r="D193" s="615">
        <v>0</v>
      </c>
      <c r="E193" s="616">
        <v>0</v>
      </c>
      <c r="G193" s="608"/>
      <c r="H193" s="608"/>
      <c r="I193" s="608"/>
      <c r="J193" s="608"/>
      <c r="K193" s="608"/>
      <c r="L193" s="608">
        <v>0</v>
      </c>
      <c r="M193" s="608">
        <v>0</v>
      </c>
      <c r="N193" s="608">
        <v>0</v>
      </c>
      <c r="O193" s="608">
        <v>0</v>
      </c>
      <c r="P193" s="608">
        <v>0</v>
      </c>
    </row>
    <row r="194" spans="1:16" ht="15" customHeight="1">
      <c r="A194" s="596" t="s">
        <v>2091</v>
      </c>
      <c r="B194" s="601" t="s">
        <v>2092</v>
      </c>
      <c r="C194" s="615">
        <v>19812</v>
      </c>
      <c r="D194" s="615">
        <v>20125</v>
      </c>
      <c r="E194" s="616">
        <v>965</v>
      </c>
      <c r="F194" s="582"/>
      <c r="G194" s="595"/>
      <c r="H194" s="595"/>
      <c r="I194" s="595"/>
      <c r="J194" s="595"/>
      <c r="K194" s="595"/>
      <c r="L194" s="595">
        <v>19812</v>
      </c>
      <c r="M194" s="595">
        <v>20125</v>
      </c>
      <c r="N194" s="595">
        <v>21835</v>
      </c>
      <c r="O194" s="595">
        <v>0</v>
      </c>
      <c r="P194" s="595">
        <v>965</v>
      </c>
    </row>
    <row r="195" spans="1:16" s="606" customFormat="1" ht="14.25" hidden="1">
      <c r="A195" s="596"/>
      <c r="B195" s="600" t="s">
        <v>2093</v>
      </c>
      <c r="C195" s="598"/>
      <c r="D195" s="598">
        <v>0</v>
      </c>
      <c r="E195" s="599">
        <v>0</v>
      </c>
      <c r="G195" s="608"/>
      <c r="H195" s="608"/>
      <c r="I195" s="608"/>
      <c r="J195" s="608"/>
      <c r="K195" s="608"/>
      <c r="L195" s="608">
        <v>0</v>
      </c>
      <c r="M195" s="608">
        <v>0</v>
      </c>
      <c r="N195" s="608">
        <v>0</v>
      </c>
      <c r="O195" s="608">
        <v>0</v>
      </c>
      <c r="P195" s="608">
        <v>0</v>
      </c>
    </row>
    <row r="196" spans="1:16" s="606" customFormat="1" ht="12" hidden="1">
      <c r="A196" s="596"/>
      <c r="B196" s="600" t="s">
        <v>2094</v>
      </c>
      <c r="C196" s="615"/>
      <c r="D196" s="615">
        <v>0</v>
      </c>
      <c r="E196" s="616">
        <v>0</v>
      </c>
      <c r="G196" s="608"/>
      <c r="H196" s="608"/>
      <c r="I196" s="608"/>
      <c r="J196" s="608"/>
      <c r="K196" s="608"/>
      <c r="L196" s="608">
        <v>0</v>
      </c>
      <c r="M196" s="608">
        <v>0</v>
      </c>
      <c r="N196" s="608">
        <v>0</v>
      </c>
      <c r="O196" s="608">
        <v>0</v>
      </c>
      <c r="P196" s="608">
        <v>0</v>
      </c>
    </row>
    <row r="197" spans="1:16" s="606" customFormat="1" ht="12" hidden="1">
      <c r="A197" s="596"/>
      <c r="B197" s="600" t="s">
        <v>2095</v>
      </c>
      <c r="C197" s="615"/>
      <c r="D197" s="615">
        <v>0</v>
      </c>
      <c r="E197" s="616">
        <v>0</v>
      </c>
      <c r="G197" s="608"/>
      <c r="H197" s="608"/>
      <c r="I197" s="608"/>
      <c r="J197" s="608"/>
      <c r="K197" s="608"/>
      <c r="L197" s="608">
        <v>0</v>
      </c>
      <c r="M197" s="608">
        <v>0</v>
      </c>
      <c r="N197" s="608">
        <v>0</v>
      </c>
      <c r="O197" s="608">
        <v>0</v>
      </c>
      <c r="P197" s="608">
        <v>0</v>
      </c>
    </row>
    <row r="198" spans="1:16" ht="14.25" hidden="1">
      <c r="A198" s="596"/>
      <c r="B198" s="601" t="s">
        <v>2096</v>
      </c>
      <c r="C198" s="615"/>
      <c r="D198" s="615">
        <v>0</v>
      </c>
      <c r="E198" s="616">
        <v>965</v>
      </c>
      <c r="F198" s="582"/>
      <c r="G198" s="595"/>
      <c r="H198" s="595"/>
      <c r="I198" s="595"/>
      <c r="J198" s="595"/>
      <c r="K198" s="595"/>
      <c r="L198" s="595">
        <v>0</v>
      </c>
      <c r="M198" s="595">
        <v>0</v>
      </c>
      <c r="N198" s="595">
        <v>0</v>
      </c>
      <c r="O198" s="595">
        <v>0</v>
      </c>
      <c r="P198" s="595">
        <v>965</v>
      </c>
    </row>
    <row r="199" spans="1:16" s="606" customFormat="1" ht="14.25" hidden="1">
      <c r="A199" s="596"/>
      <c r="B199" s="600" t="s">
        <v>2097</v>
      </c>
      <c r="C199" s="598"/>
      <c r="D199" s="598">
        <v>0</v>
      </c>
      <c r="E199" s="599">
        <v>0</v>
      </c>
      <c r="G199" s="608"/>
      <c r="H199" s="608"/>
      <c r="I199" s="608"/>
      <c r="J199" s="608"/>
      <c r="K199" s="608"/>
      <c r="L199" s="608">
        <v>0</v>
      </c>
      <c r="M199" s="608">
        <v>0</v>
      </c>
      <c r="N199" s="608">
        <v>0</v>
      </c>
      <c r="O199" s="608">
        <v>0</v>
      </c>
      <c r="P199" s="608">
        <v>0</v>
      </c>
    </row>
    <row r="200" spans="1:16" s="606" customFormat="1" ht="15" hidden="1">
      <c r="A200" s="596"/>
      <c r="B200" s="600" t="s">
        <v>2098</v>
      </c>
      <c r="C200" s="609"/>
      <c r="D200" s="609">
        <v>0</v>
      </c>
      <c r="E200" s="610">
        <v>0</v>
      </c>
      <c r="G200" s="608"/>
      <c r="H200" s="608"/>
      <c r="I200" s="608"/>
      <c r="J200" s="608"/>
      <c r="K200" s="608"/>
      <c r="L200" s="608">
        <v>0</v>
      </c>
      <c r="M200" s="608">
        <v>0</v>
      </c>
      <c r="N200" s="608">
        <v>0</v>
      </c>
      <c r="O200" s="608">
        <v>0</v>
      </c>
      <c r="P200" s="608">
        <v>0</v>
      </c>
    </row>
    <row r="201" spans="1:16" s="606" customFormat="1" ht="24" hidden="1">
      <c r="A201" s="596"/>
      <c r="B201" s="600" t="s">
        <v>2099</v>
      </c>
      <c r="C201" s="598"/>
      <c r="D201" s="598">
        <v>0</v>
      </c>
      <c r="E201" s="599">
        <v>0</v>
      </c>
      <c r="G201" s="608"/>
      <c r="H201" s="608"/>
      <c r="I201" s="608"/>
      <c r="J201" s="608"/>
      <c r="K201" s="608"/>
      <c r="L201" s="608">
        <v>0</v>
      </c>
      <c r="M201" s="608">
        <v>0</v>
      </c>
      <c r="N201" s="608">
        <v>0</v>
      </c>
      <c r="O201" s="608">
        <v>0</v>
      </c>
      <c r="P201" s="608">
        <v>0</v>
      </c>
    </row>
    <row r="202" spans="1:16" s="606" customFormat="1" ht="14.25" hidden="1">
      <c r="A202" s="596"/>
      <c r="B202" s="600" t="s">
        <v>2100</v>
      </c>
      <c r="C202" s="598"/>
      <c r="D202" s="598">
        <v>0</v>
      </c>
      <c r="E202" s="599">
        <v>0</v>
      </c>
      <c r="G202" s="608"/>
      <c r="H202" s="608"/>
      <c r="I202" s="608"/>
      <c r="J202" s="608"/>
      <c r="K202" s="608"/>
      <c r="L202" s="608">
        <v>0</v>
      </c>
      <c r="M202" s="608">
        <v>0</v>
      </c>
      <c r="N202" s="608">
        <v>0</v>
      </c>
      <c r="O202" s="608">
        <v>0</v>
      </c>
      <c r="P202" s="608">
        <v>0</v>
      </c>
    </row>
    <row r="203" spans="1:16" s="606" customFormat="1" ht="14.25" hidden="1">
      <c r="A203" s="596"/>
      <c r="B203" s="600" t="s">
        <v>2101</v>
      </c>
      <c r="C203" s="598"/>
      <c r="D203" s="598">
        <v>0</v>
      </c>
      <c r="E203" s="599">
        <v>0</v>
      </c>
      <c r="G203" s="608"/>
      <c r="H203" s="608"/>
      <c r="I203" s="608"/>
      <c r="J203" s="608"/>
      <c r="K203" s="608"/>
      <c r="L203" s="608">
        <v>0</v>
      </c>
      <c r="M203" s="608">
        <v>0</v>
      </c>
      <c r="N203" s="608">
        <v>0</v>
      </c>
      <c r="O203" s="608">
        <v>0</v>
      </c>
      <c r="P203" s="608">
        <v>0</v>
      </c>
    </row>
    <row r="204" spans="1:16" s="606" customFormat="1" ht="14.25" hidden="1">
      <c r="A204" s="596"/>
      <c r="B204" s="600" t="s">
        <v>2102</v>
      </c>
      <c r="C204" s="598"/>
      <c r="D204" s="598">
        <v>0</v>
      </c>
      <c r="E204" s="599">
        <v>0</v>
      </c>
      <c r="G204" s="608"/>
      <c r="H204" s="608"/>
      <c r="I204" s="608"/>
      <c r="J204" s="608"/>
      <c r="K204" s="608"/>
      <c r="L204" s="608">
        <v>0</v>
      </c>
      <c r="M204" s="608">
        <v>0</v>
      </c>
      <c r="N204" s="608">
        <v>0</v>
      </c>
      <c r="O204" s="608">
        <v>0</v>
      </c>
      <c r="P204" s="608">
        <v>0</v>
      </c>
    </row>
    <row r="205" spans="1:16" s="606" customFormat="1" ht="14.25" hidden="1">
      <c r="A205" s="596"/>
      <c r="B205" s="600" t="s">
        <v>2103</v>
      </c>
      <c r="C205" s="598"/>
      <c r="D205" s="598">
        <v>0</v>
      </c>
      <c r="E205" s="599">
        <v>0</v>
      </c>
      <c r="G205" s="608"/>
      <c r="H205" s="608"/>
      <c r="I205" s="608"/>
      <c r="J205" s="608"/>
      <c r="K205" s="608"/>
      <c r="L205" s="608">
        <v>0</v>
      </c>
      <c r="M205" s="608">
        <v>0</v>
      </c>
      <c r="N205" s="608">
        <v>0</v>
      </c>
      <c r="O205" s="608">
        <v>0</v>
      </c>
      <c r="P205" s="608">
        <v>0</v>
      </c>
    </row>
    <row r="206" spans="1:16" ht="14.25" customHeight="1">
      <c r="A206" s="602" t="s">
        <v>1195</v>
      </c>
      <c r="B206" s="603" t="s">
        <v>2104</v>
      </c>
      <c r="C206" s="598">
        <f>C182+C194</f>
        <v>20357</v>
      </c>
      <c r="D206" s="598">
        <f>D182+D194</f>
        <v>21001</v>
      </c>
      <c r="E206" s="599">
        <f>E182+E194</f>
        <v>1841</v>
      </c>
      <c r="F206" s="582"/>
      <c r="G206" s="604"/>
      <c r="H206" s="604"/>
      <c r="I206" s="604"/>
      <c r="J206" s="604"/>
      <c r="K206" s="604"/>
      <c r="L206" s="604">
        <v>20357</v>
      </c>
      <c r="M206" s="604">
        <v>21001</v>
      </c>
      <c r="N206" s="604">
        <v>22711</v>
      </c>
      <c r="O206" s="604">
        <v>4564</v>
      </c>
      <c r="P206" s="604">
        <v>1841</v>
      </c>
    </row>
    <row r="207" spans="1:16" ht="28.5" customHeight="1" thickBot="1">
      <c r="A207" s="623" t="s">
        <v>1227</v>
      </c>
      <c r="B207" s="624" t="s">
        <v>2105</v>
      </c>
      <c r="C207" s="625">
        <f>C206+C180+C154+C145+C102+C101+C45+C14+C12</f>
        <v>317624</v>
      </c>
      <c r="D207" s="625">
        <f>D206+D180+D154+D145+D102+D101+D45+D14+D12</f>
        <v>409178</v>
      </c>
      <c r="E207" s="626">
        <f>E206+E180+E154+E145+E102+E101+E45+E14+E12</f>
        <v>389874</v>
      </c>
      <c r="F207" s="627"/>
      <c r="G207" s="628"/>
      <c r="H207" s="628"/>
      <c r="I207" s="782" t="s">
        <v>2106</v>
      </c>
      <c r="J207" s="783"/>
      <c r="K207" s="783"/>
      <c r="L207" s="604">
        <v>317604</v>
      </c>
      <c r="M207" s="604">
        <v>409178</v>
      </c>
      <c r="N207" s="604">
        <v>422896</v>
      </c>
      <c r="O207" s="604">
        <v>4649</v>
      </c>
      <c r="P207" s="604">
        <v>390404</v>
      </c>
    </row>
    <row r="208" spans="1:7" ht="39.75" customHeight="1" thickBot="1">
      <c r="A208" s="583"/>
      <c r="B208" s="784" t="s">
        <v>2107</v>
      </c>
      <c r="C208" s="785"/>
      <c r="D208" s="785"/>
      <c r="E208" s="785"/>
      <c r="G208" s="629"/>
    </row>
    <row r="209" spans="1:16" s="584" customFormat="1" ht="26.25" thickBot="1">
      <c r="A209" s="585"/>
      <c r="B209" s="586" t="s">
        <v>617</v>
      </c>
      <c r="C209" s="587" t="s">
        <v>436</v>
      </c>
      <c r="D209" s="587" t="s">
        <v>462</v>
      </c>
      <c r="E209" s="588" t="s">
        <v>463</v>
      </c>
      <c r="G209" s="589"/>
      <c r="H209" s="589"/>
      <c r="I209" s="589"/>
      <c r="J209" s="589"/>
      <c r="K209" s="589"/>
      <c r="L209" s="589" t="s">
        <v>464</v>
      </c>
      <c r="M209" s="589" t="s">
        <v>462</v>
      </c>
      <c r="N209" s="589" t="s">
        <v>465</v>
      </c>
      <c r="O209" s="589" t="s">
        <v>466</v>
      </c>
      <c r="P209" s="589" t="s">
        <v>463</v>
      </c>
    </row>
    <row r="210" spans="1:5" ht="14.25">
      <c r="A210" s="630" t="s">
        <v>2108</v>
      </c>
      <c r="B210" s="631" t="s">
        <v>2109</v>
      </c>
      <c r="C210" s="598"/>
      <c r="D210" s="598">
        <v>0</v>
      </c>
      <c r="E210" s="599">
        <v>0</v>
      </c>
    </row>
    <row r="211" spans="1:5" ht="14.25" hidden="1">
      <c r="A211" s="632"/>
      <c r="B211" s="631" t="s">
        <v>2110</v>
      </c>
      <c r="C211" s="598"/>
      <c r="D211" s="598">
        <v>0</v>
      </c>
      <c r="E211" s="599">
        <v>0</v>
      </c>
    </row>
    <row r="212" spans="1:5" ht="14.25">
      <c r="A212" s="632" t="s">
        <v>2111</v>
      </c>
      <c r="B212" s="633" t="s">
        <v>2112</v>
      </c>
      <c r="C212" s="598"/>
      <c r="D212" s="598">
        <v>0</v>
      </c>
      <c r="E212" s="599">
        <v>0</v>
      </c>
    </row>
    <row r="213" spans="1:5" ht="15">
      <c r="A213" s="632" t="s">
        <v>2113</v>
      </c>
      <c r="B213" s="631" t="s">
        <v>2114</v>
      </c>
      <c r="C213" s="609"/>
      <c r="D213" s="598">
        <v>0</v>
      </c>
      <c r="E213" s="599">
        <v>0</v>
      </c>
    </row>
    <row r="214" spans="1:5" ht="14.25" hidden="1">
      <c r="A214" s="632"/>
      <c r="B214" s="631" t="s">
        <v>512</v>
      </c>
      <c r="C214" s="615"/>
      <c r="D214" s="615">
        <v>0</v>
      </c>
      <c r="E214" s="616">
        <v>0</v>
      </c>
    </row>
    <row r="215" spans="1:6" s="637" customFormat="1" ht="12.75">
      <c r="A215" s="634" t="s">
        <v>1197</v>
      </c>
      <c r="B215" s="635" t="s">
        <v>513</v>
      </c>
      <c r="C215" s="618"/>
      <c r="D215" s="618">
        <f>D210+D212+D213</f>
        <v>0</v>
      </c>
      <c r="E215" s="619">
        <f>E210+E212+E213</f>
        <v>0</v>
      </c>
      <c r="F215" s="636"/>
    </row>
    <row r="216" spans="1:5" ht="15.75" customHeight="1">
      <c r="A216" s="632" t="s">
        <v>514</v>
      </c>
      <c r="B216" s="631" t="s">
        <v>515</v>
      </c>
      <c r="C216" s="615"/>
      <c r="D216" s="615">
        <v>0</v>
      </c>
      <c r="E216" s="616">
        <v>0</v>
      </c>
    </row>
    <row r="217" spans="1:5" ht="14.25">
      <c r="A217" s="632" t="s">
        <v>516</v>
      </c>
      <c r="B217" s="631" t="s">
        <v>517</v>
      </c>
      <c r="C217" s="615"/>
      <c r="D217" s="615">
        <v>0</v>
      </c>
      <c r="E217" s="616">
        <v>0</v>
      </c>
    </row>
    <row r="218" spans="1:5" ht="14.25">
      <c r="A218" s="632" t="s">
        <v>518</v>
      </c>
      <c r="B218" s="631" t="s">
        <v>519</v>
      </c>
      <c r="C218" s="615"/>
      <c r="D218" s="615">
        <v>0</v>
      </c>
      <c r="E218" s="616">
        <v>0</v>
      </c>
    </row>
    <row r="219" spans="1:5" ht="14.25">
      <c r="A219" s="632" t="s">
        <v>520</v>
      </c>
      <c r="B219" s="631" t="s">
        <v>521</v>
      </c>
      <c r="C219" s="615"/>
      <c r="D219" s="615">
        <v>0</v>
      </c>
      <c r="E219" s="616">
        <v>0</v>
      </c>
    </row>
    <row r="220" spans="1:6" s="637" customFormat="1" ht="12.75">
      <c r="A220" s="634" t="s">
        <v>254</v>
      </c>
      <c r="B220" s="635" t="s">
        <v>522</v>
      </c>
      <c r="C220" s="618"/>
      <c r="D220" s="618">
        <f>D216+D217+D218+D219</f>
        <v>0</v>
      </c>
      <c r="E220" s="619">
        <f>E216+E217+E218+E219</f>
        <v>0</v>
      </c>
      <c r="F220" s="636"/>
    </row>
    <row r="221" spans="1:5" ht="14.25">
      <c r="A221" s="632" t="s">
        <v>523</v>
      </c>
      <c r="B221" s="631" t="s">
        <v>524</v>
      </c>
      <c r="C221" s="615">
        <v>75089</v>
      </c>
      <c r="D221" s="615">
        <v>68189</v>
      </c>
      <c r="E221" s="616">
        <v>68189</v>
      </c>
    </row>
    <row r="222" spans="1:5" ht="14.25">
      <c r="A222" s="632" t="s">
        <v>525</v>
      </c>
      <c r="B222" s="631" t="s">
        <v>526</v>
      </c>
      <c r="C222" s="615"/>
      <c r="D222" s="615">
        <v>0</v>
      </c>
      <c r="E222" s="616">
        <v>0</v>
      </c>
    </row>
    <row r="223" spans="1:6" s="637" customFormat="1" ht="12.75">
      <c r="A223" s="634" t="s">
        <v>256</v>
      </c>
      <c r="B223" s="635" t="s">
        <v>527</v>
      </c>
      <c r="C223" s="618">
        <f>SUM(C221:C222)</f>
        <v>75089</v>
      </c>
      <c r="D223" s="618">
        <v>68189</v>
      </c>
      <c r="E223" s="619">
        <v>68189</v>
      </c>
      <c r="F223" s="636"/>
    </row>
    <row r="224" spans="1:5" ht="14.25">
      <c r="A224" s="632" t="s">
        <v>528</v>
      </c>
      <c r="B224" s="631" t="s">
        <v>529</v>
      </c>
      <c r="C224" s="615">
        <v>0</v>
      </c>
      <c r="D224" s="615">
        <v>0</v>
      </c>
      <c r="E224" s="616">
        <v>3562</v>
      </c>
    </row>
    <row r="225" spans="1:5" ht="14.25">
      <c r="A225" s="632" t="s">
        <v>946</v>
      </c>
      <c r="B225" s="631" t="s">
        <v>947</v>
      </c>
      <c r="C225" s="615"/>
      <c r="D225" s="615">
        <v>0</v>
      </c>
      <c r="E225" s="616">
        <v>0</v>
      </c>
    </row>
    <row r="226" spans="1:5" ht="14.25">
      <c r="A226" s="632" t="s">
        <v>948</v>
      </c>
      <c r="B226" s="631" t="s">
        <v>949</v>
      </c>
      <c r="C226" s="615">
        <v>0</v>
      </c>
      <c r="D226" s="615">
        <v>299000</v>
      </c>
      <c r="E226" s="616">
        <v>299000</v>
      </c>
    </row>
    <row r="227" spans="1:5" ht="14.25">
      <c r="A227" s="632" t="s">
        <v>950</v>
      </c>
      <c r="B227" s="631" t="s">
        <v>951</v>
      </c>
      <c r="C227" s="615"/>
      <c r="D227" s="615">
        <v>0</v>
      </c>
      <c r="E227" s="616">
        <v>0</v>
      </c>
    </row>
    <row r="228" spans="1:5" ht="14.25" hidden="1">
      <c r="A228" s="632"/>
      <c r="B228" s="631" t="s">
        <v>952</v>
      </c>
      <c r="C228" s="615"/>
      <c r="D228" s="615">
        <v>0</v>
      </c>
      <c r="E228" s="616">
        <v>0</v>
      </c>
    </row>
    <row r="229" spans="1:6" s="637" customFormat="1" ht="12.75">
      <c r="A229" s="634" t="s">
        <v>258</v>
      </c>
      <c r="B229" s="635" t="s">
        <v>953</v>
      </c>
      <c r="C229" s="618">
        <f>C224+C226+C227</f>
        <v>0</v>
      </c>
      <c r="D229" s="618">
        <f>D224+D226+D227</f>
        <v>299000</v>
      </c>
      <c r="E229" s="619">
        <f>E224+E226+E227</f>
        <v>302562</v>
      </c>
      <c r="F229" s="636"/>
    </row>
    <row r="230" spans="1:5" ht="13.5" customHeight="1">
      <c r="A230" s="632" t="s">
        <v>954</v>
      </c>
      <c r="B230" s="631" t="s">
        <v>955</v>
      </c>
      <c r="C230" s="615"/>
      <c r="D230" s="615">
        <v>0</v>
      </c>
      <c r="E230" s="616">
        <v>0</v>
      </c>
    </row>
    <row r="231" spans="1:10" ht="13.5" customHeight="1">
      <c r="A231" s="632" t="s">
        <v>956</v>
      </c>
      <c r="B231" s="638" t="s">
        <v>957</v>
      </c>
      <c r="C231" s="615"/>
      <c r="D231" s="615">
        <v>0</v>
      </c>
      <c r="E231" s="616">
        <v>0</v>
      </c>
      <c r="F231" s="639"/>
      <c r="G231" s="640"/>
      <c r="H231" s="641"/>
      <c r="I231" s="641"/>
      <c r="J231" s="641"/>
    </row>
    <row r="232" spans="1:10" ht="14.25">
      <c r="A232" s="632" t="s">
        <v>958</v>
      </c>
      <c r="B232" s="631" t="s">
        <v>959</v>
      </c>
      <c r="C232" s="615"/>
      <c r="D232" s="615">
        <v>0</v>
      </c>
      <c r="E232" s="616">
        <v>0</v>
      </c>
      <c r="F232" s="642"/>
      <c r="G232" s="643"/>
      <c r="H232" s="641"/>
      <c r="I232" s="641">
        <v>-198838</v>
      </c>
      <c r="J232" s="641">
        <f>E239-569589</f>
        <v>-198838</v>
      </c>
    </row>
    <row r="233" spans="1:10" ht="14.25">
      <c r="A233" s="632" t="s">
        <v>960</v>
      </c>
      <c r="B233" s="631" t="s">
        <v>961</v>
      </c>
      <c r="C233" s="615"/>
      <c r="D233" s="615">
        <v>0</v>
      </c>
      <c r="E233" s="616">
        <v>0</v>
      </c>
      <c r="F233" s="642"/>
      <c r="G233" s="644"/>
      <c r="H233" s="641"/>
      <c r="I233" s="641"/>
      <c r="J233" s="641"/>
    </row>
    <row r="234" spans="1:10" ht="14.25" hidden="1">
      <c r="A234" s="632" t="s">
        <v>962</v>
      </c>
      <c r="B234" s="631" t="s">
        <v>963</v>
      </c>
      <c r="C234" s="615"/>
      <c r="D234" s="615">
        <v>0</v>
      </c>
      <c r="E234" s="616">
        <v>0</v>
      </c>
      <c r="F234" s="645"/>
      <c r="G234" s="646"/>
      <c r="H234" s="641"/>
      <c r="I234" s="641">
        <v>198838</v>
      </c>
      <c r="J234" s="641">
        <v>198838</v>
      </c>
    </row>
    <row r="235" spans="1:10" ht="14.25" hidden="1">
      <c r="A235" s="632" t="s">
        <v>964</v>
      </c>
      <c r="B235" s="631" t="s">
        <v>965</v>
      </c>
      <c r="C235" s="615"/>
      <c r="D235" s="615">
        <v>0</v>
      </c>
      <c r="E235" s="616">
        <v>0</v>
      </c>
      <c r="F235" s="642"/>
      <c r="G235" s="644"/>
      <c r="H235" s="641"/>
      <c r="I235" s="641">
        <f>D239</f>
        <v>367189</v>
      </c>
      <c r="J235" s="641">
        <f>E239</f>
        <v>370751</v>
      </c>
    </row>
    <row r="236" spans="1:5" ht="14.25" hidden="1">
      <c r="A236" s="632" t="s">
        <v>966</v>
      </c>
      <c r="B236" s="631" t="s">
        <v>967</v>
      </c>
      <c r="C236" s="615"/>
      <c r="D236" s="615">
        <v>0</v>
      </c>
      <c r="E236" s="616">
        <v>0</v>
      </c>
    </row>
    <row r="237" spans="1:5" s="637" customFormat="1" ht="12.75">
      <c r="A237" s="634" t="s">
        <v>260</v>
      </c>
      <c r="B237" s="635" t="s">
        <v>968</v>
      </c>
      <c r="C237" s="618"/>
      <c r="D237" s="618">
        <v>0</v>
      </c>
      <c r="E237" s="619">
        <v>0</v>
      </c>
    </row>
    <row r="238" spans="1:6" ht="18" customHeight="1">
      <c r="A238" s="632" t="s">
        <v>262</v>
      </c>
      <c r="B238" s="631" t="s">
        <v>969</v>
      </c>
      <c r="C238" s="615"/>
      <c r="D238" s="615">
        <v>0</v>
      </c>
      <c r="E238" s="616">
        <v>0</v>
      </c>
      <c r="F238" s="582"/>
    </row>
    <row r="239" spans="1:5" s="637" customFormat="1" ht="27" customHeight="1">
      <c r="A239" s="634" t="s">
        <v>264</v>
      </c>
      <c r="B239" s="635" t="s">
        <v>970</v>
      </c>
      <c r="C239" s="618">
        <f>C223+C224+C226</f>
        <v>75089</v>
      </c>
      <c r="D239" s="618">
        <f>D223+D224+D226</f>
        <v>367189</v>
      </c>
      <c r="E239" s="619">
        <f>E223+E224+E226</f>
        <v>370751</v>
      </c>
    </row>
    <row r="240" spans="1:6" ht="23.25" customHeight="1" thickBot="1">
      <c r="A240" s="647" t="s">
        <v>266</v>
      </c>
      <c r="B240" s="648" t="s">
        <v>971</v>
      </c>
      <c r="C240" s="649">
        <f>C239+C207</f>
        <v>392713</v>
      </c>
      <c r="D240" s="649">
        <f>D239+D207</f>
        <v>776367</v>
      </c>
      <c r="E240" s="650">
        <f>E239+E207</f>
        <v>760625</v>
      </c>
      <c r="F240" s="582"/>
    </row>
    <row r="241" spans="1:5" ht="14.25">
      <c r="A241" s="582"/>
      <c r="B241" s="582"/>
      <c r="C241" s="582"/>
      <c r="D241" s="582"/>
      <c r="E241" s="582"/>
    </row>
    <row r="242" spans="1:7" ht="30.75" customHeight="1">
      <c r="A242" s="583"/>
      <c r="B242" s="776" t="s">
        <v>972</v>
      </c>
      <c r="C242" s="777"/>
      <c r="D242" s="777"/>
      <c r="E242" s="777"/>
      <c r="G242" s="629"/>
    </row>
    <row r="243" spans="1:3" ht="15" thickBot="1">
      <c r="A243" s="651"/>
      <c r="B243" s="652"/>
      <c r="C243" s="653"/>
    </row>
    <row r="244" spans="1:16" s="584" customFormat="1" ht="26.25" thickBot="1">
      <c r="A244" s="585"/>
      <c r="B244" s="586" t="s">
        <v>617</v>
      </c>
      <c r="C244" s="587" t="s">
        <v>436</v>
      </c>
      <c r="D244" s="587" t="s">
        <v>462</v>
      </c>
      <c r="E244" s="588" t="s">
        <v>463</v>
      </c>
      <c r="G244" s="589"/>
      <c r="H244" s="589"/>
      <c r="I244" s="589"/>
      <c r="J244" s="589"/>
      <c r="K244" s="589"/>
      <c r="L244" s="589" t="s">
        <v>464</v>
      </c>
      <c r="M244" s="589" t="s">
        <v>462</v>
      </c>
      <c r="N244" s="589" t="s">
        <v>465</v>
      </c>
      <c r="O244" s="589" t="s">
        <v>466</v>
      </c>
      <c r="P244" s="589" t="s">
        <v>463</v>
      </c>
    </row>
    <row r="245" spans="1:5" ht="14.25">
      <c r="A245" s="655"/>
      <c r="B245" s="656" t="s">
        <v>973</v>
      </c>
      <c r="C245" s="593">
        <v>66491</v>
      </c>
      <c r="D245" s="593">
        <v>69656</v>
      </c>
      <c r="E245" s="594">
        <v>68789</v>
      </c>
    </row>
    <row r="246" spans="1:5" ht="14.25">
      <c r="A246" s="657"/>
      <c r="B246" s="617" t="s">
        <v>974</v>
      </c>
      <c r="C246" s="598">
        <v>600</v>
      </c>
      <c r="D246" s="598">
        <v>3331</v>
      </c>
      <c r="E246" s="599">
        <v>3330</v>
      </c>
    </row>
    <row r="247" spans="1:5" ht="14.25">
      <c r="A247" s="657"/>
      <c r="B247" s="617" t="s">
        <v>975</v>
      </c>
      <c r="C247" s="598"/>
      <c r="D247" s="598">
        <v>432</v>
      </c>
      <c r="E247" s="599">
        <v>258</v>
      </c>
    </row>
    <row r="248" spans="1:5" ht="15" customHeight="1">
      <c r="A248" s="657"/>
      <c r="B248" s="617" t="s">
        <v>976</v>
      </c>
      <c r="C248" s="598">
        <v>1120</v>
      </c>
      <c r="D248" s="598">
        <v>415</v>
      </c>
      <c r="E248" s="599">
        <v>0</v>
      </c>
    </row>
    <row r="249" spans="1:5" ht="14.25">
      <c r="A249" s="657"/>
      <c r="B249" s="617" t="s">
        <v>977</v>
      </c>
      <c r="C249" s="598"/>
      <c r="D249" s="598">
        <v>0</v>
      </c>
      <c r="E249" s="599">
        <v>0</v>
      </c>
    </row>
    <row r="250" spans="1:5" ht="14.25">
      <c r="A250" s="658"/>
      <c r="B250" s="617" t="s">
        <v>978</v>
      </c>
      <c r="C250" s="598">
        <v>3899</v>
      </c>
      <c r="D250" s="598">
        <v>3958</v>
      </c>
      <c r="E250" s="599">
        <v>3958</v>
      </c>
    </row>
    <row r="251" spans="1:5" ht="14.25">
      <c r="A251" s="657"/>
      <c r="B251" s="617" t="s">
        <v>979</v>
      </c>
      <c r="C251" s="598">
        <v>3655</v>
      </c>
      <c r="D251" s="598">
        <v>3809</v>
      </c>
      <c r="E251" s="599">
        <v>3809</v>
      </c>
    </row>
    <row r="252" spans="1:5" ht="14.25">
      <c r="A252" s="658"/>
      <c r="B252" s="617" t="s">
        <v>980</v>
      </c>
      <c r="C252" s="598">
        <v>0</v>
      </c>
      <c r="D252" s="598">
        <v>0</v>
      </c>
      <c r="E252" s="599">
        <v>0</v>
      </c>
    </row>
    <row r="253" spans="1:5" ht="14.25">
      <c r="A253" s="657"/>
      <c r="B253" s="617" t="s">
        <v>981</v>
      </c>
      <c r="C253" s="598">
        <v>336</v>
      </c>
      <c r="D253" s="598">
        <v>467</v>
      </c>
      <c r="E253" s="599">
        <v>342</v>
      </c>
    </row>
    <row r="254" spans="1:5" ht="14.25">
      <c r="A254" s="657"/>
      <c r="B254" s="617" t="s">
        <v>982</v>
      </c>
      <c r="C254" s="598">
        <v>180</v>
      </c>
      <c r="D254" s="598">
        <v>0</v>
      </c>
      <c r="E254" s="599">
        <v>0</v>
      </c>
    </row>
    <row r="255" spans="1:5" ht="14.25">
      <c r="A255" s="657"/>
      <c r="B255" s="617" t="s">
        <v>983</v>
      </c>
      <c r="C255" s="598"/>
      <c r="D255" s="598">
        <v>0</v>
      </c>
      <c r="E255" s="599">
        <v>0</v>
      </c>
    </row>
    <row r="256" spans="1:5" ht="14.25">
      <c r="A256" s="657"/>
      <c r="B256" s="617" t="s">
        <v>984</v>
      </c>
      <c r="C256" s="598"/>
      <c r="D256" s="598">
        <v>0</v>
      </c>
      <c r="E256" s="599">
        <v>0</v>
      </c>
    </row>
    <row r="257" spans="1:5" ht="14.25">
      <c r="A257" s="657"/>
      <c r="B257" s="617" t="s">
        <v>985</v>
      </c>
      <c r="C257" s="598">
        <v>300</v>
      </c>
      <c r="D257" s="598">
        <v>3073</v>
      </c>
      <c r="E257" s="599">
        <v>3048</v>
      </c>
    </row>
    <row r="258" spans="1:5" ht="14.25">
      <c r="A258" s="657"/>
      <c r="B258" s="617" t="s">
        <v>986</v>
      </c>
      <c r="C258" s="598"/>
      <c r="D258" s="598">
        <v>0</v>
      </c>
      <c r="E258" s="599">
        <v>0</v>
      </c>
    </row>
    <row r="259" spans="1:5" ht="15">
      <c r="A259" s="657"/>
      <c r="B259" s="659" t="s">
        <v>987</v>
      </c>
      <c r="C259" s="609">
        <f>SUM(C245:C258)</f>
        <v>76581</v>
      </c>
      <c r="D259" s="609">
        <f>SUM(D245:D258)</f>
        <v>85141</v>
      </c>
      <c r="E259" s="610">
        <f>SUM(E245:E258)</f>
        <v>83534</v>
      </c>
    </row>
    <row r="260" spans="1:5" ht="14.25">
      <c r="A260" s="657"/>
      <c r="B260" s="617" t="s">
        <v>988</v>
      </c>
      <c r="C260" s="598">
        <v>5415</v>
      </c>
      <c r="D260" s="598">
        <v>5433</v>
      </c>
      <c r="E260" s="599">
        <v>5312</v>
      </c>
    </row>
    <row r="261" spans="1:5" ht="16.5" customHeight="1">
      <c r="A261" s="657"/>
      <c r="B261" s="600" t="s">
        <v>989</v>
      </c>
      <c r="C261" s="598">
        <v>970</v>
      </c>
      <c r="D261" s="598">
        <v>2153</v>
      </c>
      <c r="E261" s="599">
        <v>1743</v>
      </c>
    </row>
    <row r="262" spans="1:5" ht="14.25">
      <c r="A262" s="657"/>
      <c r="B262" s="617" t="s">
        <v>990</v>
      </c>
      <c r="C262" s="598">
        <v>1280</v>
      </c>
      <c r="D262" s="598">
        <v>200</v>
      </c>
      <c r="E262" s="599">
        <v>171</v>
      </c>
    </row>
    <row r="263" spans="1:5" ht="15">
      <c r="A263" s="657"/>
      <c r="B263" s="659" t="s">
        <v>991</v>
      </c>
      <c r="C263" s="609">
        <f>SUM(C260:C262)</f>
        <v>7665</v>
      </c>
      <c r="D263" s="609">
        <f>SUM(D260:D262)</f>
        <v>7786</v>
      </c>
      <c r="E263" s="610">
        <f>SUM(E260:E262)</f>
        <v>7226</v>
      </c>
    </row>
    <row r="264" spans="1:5" ht="15">
      <c r="A264" s="657" t="s">
        <v>467</v>
      </c>
      <c r="B264" s="659" t="s">
        <v>992</v>
      </c>
      <c r="C264" s="609">
        <f>C259+C263</f>
        <v>84246</v>
      </c>
      <c r="D264" s="609">
        <f>D259+D263</f>
        <v>92927</v>
      </c>
      <c r="E264" s="610">
        <f>E259+E263</f>
        <v>90760</v>
      </c>
    </row>
    <row r="265" spans="1:5" ht="15">
      <c r="A265" s="657" t="s">
        <v>469</v>
      </c>
      <c r="B265" s="659" t="s">
        <v>993</v>
      </c>
      <c r="C265" s="609">
        <v>21657</v>
      </c>
      <c r="D265" s="609">
        <v>25718</v>
      </c>
      <c r="E265" s="610">
        <f>SUM(E266:E272)</f>
        <v>25172</v>
      </c>
    </row>
    <row r="266" spans="1:5" ht="14.25">
      <c r="A266" s="657"/>
      <c r="B266" s="617" t="s">
        <v>994</v>
      </c>
      <c r="C266" s="598"/>
      <c r="D266" s="598">
        <v>0</v>
      </c>
      <c r="E266" s="599">
        <v>22426</v>
      </c>
    </row>
    <row r="267" spans="1:5" ht="14.25">
      <c r="A267" s="657"/>
      <c r="B267" s="617" t="s">
        <v>995</v>
      </c>
      <c r="C267" s="598"/>
      <c r="D267" s="598">
        <v>0</v>
      </c>
      <c r="E267" s="599">
        <v>1360</v>
      </c>
    </row>
    <row r="268" spans="1:5" ht="14.25" hidden="1">
      <c r="A268" s="657"/>
      <c r="B268" s="617" t="s">
        <v>996</v>
      </c>
      <c r="C268" s="598"/>
      <c r="D268" s="598">
        <v>0</v>
      </c>
      <c r="E268" s="599">
        <v>0</v>
      </c>
    </row>
    <row r="269" spans="1:5" ht="14.25">
      <c r="A269" s="657"/>
      <c r="B269" s="617" t="s">
        <v>997</v>
      </c>
      <c r="C269" s="598"/>
      <c r="D269" s="598">
        <v>0</v>
      </c>
      <c r="E269" s="599">
        <v>637</v>
      </c>
    </row>
    <row r="270" spans="1:5" ht="14.25">
      <c r="A270" s="657"/>
      <c r="B270" s="617" t="s">
        <v>998</v>
      </c>
      <c r="C270" s="598"/>
      <c r="D270" s="598">
        <v>0</v>
      </c>
      <c r="E270" s="599">
        <v>19</v>
      </c>
    </row>
    <row r="271" spans="1:5" ht="25.5" hidden="1">
      <c r="A271" s="657"/>
      <c r="B271" s="617" t="s">
        <v>999</v>
      </c>
      <c r="C271" s="598"/>
      <c r="D271" s="598">
        <v>0</v>
      </c>
      <c r="E271" s="599">
        <v>0</v>
      </c>
    </row>
    <row r="272" spans="1:5" ht="14.25">
      <c r="A272" s="657"/>
      <c r="B272" s="617" t="s">
        <v>1000</v>
      </c>
      <c r="C272" s="598"/>
      <c r="D272" s="598">
        <v>0</v>
      </c>
      <c r="E272" s="599">
        <v>730</v>
      </c>
    </row>
    <row r="273" spans="1:5" ht="14.25">
      <c r="A273" s="657"/>
      <c r="B273" s="617" t="s">
        <v>1001</v>
      </c>
      <c r="C273" s="598">
        <v>2797</v>
      </c>
      <c r="D273" s="598">
        <v>2162</v>
      </c>
      <c r="E273" s="599">
        <v>1061</v>
      </c>
    </row>
    <row r="274" spans="1:5" ht="14.25">
      <c r="A274" s="657"/>
      <c r="B274" s="617" t="s">
        <v>1002</v>
      </c>
      <c r="C274" s="598">
        <v>28457</v>
      </c>
      <c r="D274" s="598">
        <v>27453</v>
      </c>
      <c r="E274" s="599">
        <v>27397</v>
      </c>
    </row>
    <row r="275" spans="1:5" ht="14.25">
      <c r="A275" s="657"/>
      <c r="B275" s="617" t="s">
        <v>1003</v>
      </c>
      <c r="C275" s="598">
        <v>0</v>
      </c>
      <c r="D275" s="598">
        <v>0</v>
      </c>
      <c r="E275" s="599">
        <v>0</v>
      </c>
    </row>
    <row r="276" spans="1:5" ht="15">
      <c r="A276" s="657"/>
      <c r="B276" s="659" t="s">
        <v>1004</v>
      </c>
      <c r="C276" s="609">
        <f>SUM(C273:C275)</f>
        <v>31254</v>
      </c>
      <c r="D276" s="609">
        <f>SUM(D273:D275)</f>
        <v>29615</v>
      </c>
      <c r="E276" s="610">
        <f>SUM(E273:E275)</f>
        <v>28458</v>
      </c>
    </row>
    <row r="277" spans="1:5" ht="14.25">
      <c r="A277" s="657"/>
      <c r="B277" s="617" t="s">
        <v>1005</v>
      </c>
      <c r="C277" s="598">
        <v>2636</v>
      </c>
      <c r="D277" s="598">
        <v>781</v>
      </c>
      <c r="E277" s="599">
        <v>778</v>
      </c>
    </row>
    <row r="278" spans="1:5" ht="14.25">
      <c r="A278" s="657"/>
      <c r="B278" s="617" t="s">
        <v>1006</v>
      </c>
      <c r="C278" s="598">
        <v>497</v>
      </c>
      <c r="D278" s="598">
        <v>1884</v>
      </c>
      <c r="E278" s="599">
        <v>1641</v>
      </c>
    </row>
    <row r="279" spans="1:5" ht="15">
      <c r="A279" s="657"/>
      <c r="B279" s="659" t="s">
        <v>1007</v>
      </c>
      <c r="C279" s="609">
        <f>SUM(C277:C278)</f>
        <v>3133</v>
      </c>
      <c r="D279" s="609">
        <f>SUM(D277:D278)</f>
        <v>2665</v>
      </c>
      <c r="E279" s="610">
        <f>SUM(E277:E278)</f>
        <v>2419</v>
      </c>
    </row>
    <row r="280" spans="1:5" ht="14.25">
      <c r="A280" s="657"/>
      <c r="B280" s="617" t="s">
        <v>1008</v>
      </c>
      <c r="C280" s="598">
        <v>24475</v>
      </c>
      <c r="D280" s="598">
        <v>24472</v>
      </c>
      <c r="E280" s="599">
        <v>23240</v>
      </c>
    </row>
    <row r="281" spans="1:5" ht="14.25">
      <c r="A281" s="657"/>
      <c r="B281" s="617" t="s">
        <v>1009</v>
      </c>
      <c r="C281" s="598"/>
      <c r="D281" s="598">
        <v>0</v>
      </c>
      <c r="E281" s="599">
        <v>0</v>
      </c>
    </row>
    <row r="282" spans="1:5" ht="14.25">
      <c r="A282" s="657"/>
      <c r="B282" s="617" t="s">
        <v>1010</v>
      </c>
      <c r="C282" s="598">
        <v>3157</v>
      </c>
      <c r="D282" s="598">
        <v>985</v>
      </c>
      <c r="E282" s="599">
        <v>985</v>
      </c>
    </row>
    <row r="283" spans="1:5" ht="25.5" hidden="1">
      <c r="A283" s="658"/>
      <c r="B283" s="617" t="s">
        <v>1011</v>
      </c>
      <c r="C283" s="598"/>
      <c r="D283" s="598">
        <v>0</v>
      </c>
      <c r="E283" s="599">
        <v>0</v>
      </c>
    </row>
    <row r="284" spans="1:5" ht="14.25">
      <c r="A284" s="657"/>
      <c r="B284" s="617" t="s">
        <v>1012</v>
      </c>
      <c r="C284" s="598">
        <v>6850</v>
      </c>
      <c r="D284" s="598">
        <v>4956</v>
      </c>
      <c r="E284" s="599">
        <v>3886</v>
      </c>
    </row>
    <row r="285" spans="1:5" ht="14.25">
      <c r="A285" s="657"/>
      <c r="B285" s="617" t="s">
        <v>1013</v>
      </c>
      <c r="C285" s="598">
        <v>3800</v>
      </c>
      <c r="D285" s="598">
        <v>4391</v>
      </c>
      <c r="E285" s="599">
        <v>4391</v>
      </c>
    </row>
    <row r="286" spans="1:5" ht="14.25" hidden="1">
      <c r="A286" s="657"/>
      <c r="B286" s="617" t="s">
        <v>1014</v>
      </c>
      <c r="C286" s="598"/>
      <c r="D286" s="598">
        <v>0</v>
      </c>
      <c r="E286" s="599">
        <v>0</v>
      </c>
    </row>
    <row r="287" spans="1:5" ht="14.25">
      <c r="A287" s="657"/>
      <c r="B287" s="617" t="s">
        <v>1015</v>
      </c>
      <c r="C287" s="598">
        <v>31274</v>
      </c>
      <c r="D287" s="598">
        <v>40208</v>
      </c>
      <c r="E287" s="599">
        <v>37097</v>
      </c>
    </row>
    <row r="288" spans="1:5" ht="14.25">
      <c r="A288" s="657"/>
      <c r="B288" s="617" t="s">
        <v>1016</v>
      </c>
      <c r="C288" s="598">
        <v>8836</v>
      </c>
      <c r="D288" s="598">
        <v>10320</v>
      </c>
      <c r="E288" s="599">
        <v>9679</v>
      </c>
    </row>
    <row r="289" spans="1:5" ht="15">
      <c r="A289" s="657"/>
      <c r="B289" s="659" t="s">
        <v>1017</v>
      </c>
      <c r="C289" s="609">
        <f>SUM(C280:C288)</f>
        <v>78392</v>
      </c>
      <c r="D289" s="609">
        <f>SUM(D280:D288)</f>
        <v>85332</v>
      </c>
      <c r="E289" s="610">
        <f>SUM(E280:E288)</f>
        <v>79278</v>
      </c>
    </row>
    <row r="290" spans="1:5" ht="14.25">
      <c r="A290" s="657"/>
      <c r="B290" s="617" t="s">
        <v>1018</v>
      </c>
      <c r="C290" s="598">
        <v>1000</v>
      </c>
      <c r="D290" s="598">
        <v>884</v>
      </c>
      <c r="E290" s="599">
        <v>477</v>
      </c>
    </row>
    <row r="291" spans="1:5" ht="14.25">
      <c r="A291" s="657"/>
      <c r="B291" s="617" t="s">
        <v>1019</v>
      </c>
      <c r="C291" s="598">
        <v>200</v>
      </c>
      <c r="D291" s="598">
        <v>142</v>
      </c>
      <c r="E291" s="599">
        <v>142</v>
      </c>
    </row>
    <row r="292" spans="1:5" ht="21" customHeight="1">
      <c r="A292" s="657"/>
      <c r="B292" s="659" t="s">
        <v>1020</v>
      </c>
      <c r="C292" s="609">
        <f>SUM(C290:C291)</f>
        <v>1200</v>
      </c>
      <c r="D292" s="609">
        <f>SUM(D290:D291)</f>
        <v>1026</v>
      </c>
      <c r="E292" s="610">
        <f>SUM(E290:E291)</f>
        <v>619</v>
      </c>
    </row>
    <row r="293" spans="1:5" ht="18" customHeight="1">
      <c r="A293" s="657"/>
      <c r="B293" s="617" t="s">
        <v>1021</v>
      </c>
      <c r="C293" s="598">
        <v>26719</v>
      </c>
      <c r="D293" s="598">
        <v>24682</v>
      </c>
      <c r="E293" s="599">
        <v>23313</v>
      </c>
    </row>
    <row r="294" spans="1:5" ht="14.25">
      <c r="A294" s="657"/>
      <c r="B294" s="617" t="s">
        <v>1022</v>
      </c>
      <c r="C294" s="598">
        <v>3200</v>
      </c>
      <c r="D294" s="598">
        <v>4936</v>
      </c>
      <c r="E294" s="599">
        <v>4286</v>
      </c>
    </row>
    <row r="295" spans="1:5" ht="14.25">
      <c r="A295" s="657"/>
      <c r="B295" s="617" t="s">
        <v>1023</v>
      </c>
      <c r="C295" s="615">
        <v>938</v>
      </c>
      <c r="D295" s="615">
        <v>0</v>
      </c>
      <c r="E295" s="616">
        <v>0</v>
      </c>
    </row>
    <row r="296" spans="1:5" ht="14.25" hidden="1">
      <c r="A296" s="657"/>
      <c r="B296" s="617" t="s">
        <v>1024</v>
      </c>
      <c r="C296" s="615"/>
      <c r="D296" s="615">
        <v>0</v>
      </c>
      <c r="E296" s="616">
        <v>0</v>
      </c>
    </row>
    <row r="297" spans="1:5" ht="14.25" hidden="1">
      <c r="A297" s="657"/>
      <c r="B297" s="617" t="s">
        <v>1025</v>
      </c>
      <c r="C297" s="615"/>
      <c r="D297" s="615">
        <v>0</v>
      </c>
      <c r="E297" s="616">
        <v>0</v>
      </c>
    </row>
    <row r="298" spans="1:5" ht="14.25">
      <c r="A298" s="657"/>
      <c r="B298" s="617" t="s">
        <v>1026</v>
      </c>
      <c r="C298" s="615"/>
      <c r="D298" s="615">
        <v>0</v>
      </c>
      <c r="E298" s="616">
        <v>0</v>
      </c>
    </row>
    <row r="299" spans="1:5" ht="14.25" hidden="1">
      <c r="A299" s="657"/>
      <c r="B299" s="617" t="s">
        <v>1027</v>
      </c>
      <c r="C299" s="615"/>
      <c r="D299" s="615">
        <v>0</v>
      </c>
      <c r="E299" s="616">
        <v>0</v>
      </c>
    </row>
    <row r="300" spans="1:5" ht="25.5" hidden="1">
      <c r="A300" s="657"/>
      <c r="B300" s="617" t="s">
        <v>1028</v>
      </c>
      <c r="C300" s="615"/>
      <c r="D300" s="615">
        <v>0</v>
      </c>
      <c r="E300" s="616">
        <v>0</v>
      </c>
    </row>
    <row r="301" spans="1:5" ht="14.25" hidden="1">
      <c r="A301" s="657"/>
      <c r="B301" s="617" t="s">
        <v>1029</v>
      </c>
      <c r="C301" s="615"/>
      <c r="D301" s="615">
        <v>0</v>
      </c>
      <c r="E301" s="616">
        <v>0</v>
      </c>
    </row>
    <row r="302" spans="1:5" ht="14.25">
      <c r="A302" s="657"/>
      <c r="B302" s="617" t="s">
        <v>1030</v>
      </c>
      <c r="C302" s="598">
        <v>3520</v>
      </c>
      <c r="D302" s="598">
        <v>670</v>
      </c>
      <c r="E302" s="599">
        <v>670</v>
      </c>
    </row>
    <row r="303" spans="1:5" ht="22.5" customHeight="1">
      <c r="A303" s="657"/>
      <c r="B303" s="659" t="s">
        <v>1031</v>
      </c>
      <c r="C303" s="609">
        <f>SUM(C293:C302)</f>
        <v>34377</v>
      </c>
      <c r="D303" s="609">
        <f>SUM(D293:D302)</f>
        <v>30288</v>
      </c>
      <c r="E303" s="610">
        <f>SUM(E293:E302)</f>
        <v>28269</v>
      </c>
    </row>
    <row r="304" spans="1:5" ht="15">
      <c r="A304" s="657" t="s">
        <v>471</v>
      </c>
      <c r="B304" s="659" t="s">
        <v>1032</v>
      </c>
      <c r="C304" s="609">
        <f>C276+C279+C289+C292+C303</f>
        <v>148356</v>
      </c>
      <c r="D304" s="609">
        <f>D276+D279+D289+D292+D303</f>
        <v>148926</v>
      </c>
      <c r="E304" s="610">
        <f>E276+E279+E289+E292+E303</f>
        <v>139043</v>
      </c>
    </row>
    <row r="305" spans="1:5" ht="14.25">
      <c r="A305" s="657"/>
      <c r="B305" s="617" t="s">
        <v>1033</v>
      </c>
      <c r="C305" s="598"/>
      <c r="D305" s="598">
        <v>0</v>
      </c>
      <c r="E305" s="599">
        <v>0</v>
      </c>
    </row>
    <row r="306" spans="1:5" ht="14.25">
      <c r="A306" s="657"/>
      <c r="B306" s="617" t="s">
        <v>1034</v>
      </c>
      <c r="C306" s="598">
        <v>200</v>
      </c>
      <c r="D306" s="598">
        <v>392</v>
      </c>
      <c r="E306" s="599">
        <v>331</v>
      </c>
    </row>
    <row r="307" spans="1:5" ht="14.25" hidden="1">
      <c r="A307" s="657"/>
      <c r="B307" s="617" t="s">
        <v>1035</v>
      </c>
      <c r="C307" s="615"/>
      <c r="D307" s="615">
        <v>0</v>
      </c>
      <c r="E307" s="616">
        <v>0</v>
      </c>
    </row>
    <row r="308" spans="1:5" ht="14.25" hidden="1">
      <c r="A308" s="657"/>
      <c r="B308" s="617" t="s">
        <v>1036</v>
      </c>
      <c r="C308" s="615"/>
      <c r="D308" s="615">
        <v>0</v>
      </c>
      <c r="E308" s="616">
        <v>0</v>
      </c>
    </row>
    <row r="309" spans="1:5" ht="14.25" hidden="1">
      <c r="A309" s="657"/>
      <c r="B309" s="617" t="s">
        <v>1037</v>
      </c>
      <c r="C309" s="615"/>
      <c r="D309" s="615">
        <v>0</v>
      </c>
      <c r="E309" s="616">
        <v>0</v>
      </c>
    </row>
    <row r="310" spans="1:5" ht="14.25" hidden="1">
      <c r="A310" s="657"/>
      <c r="B310" s="617" t="s">
        <v>1038</v>
      </c>
      <c r="C310" s="615"/>
      <c r="D310" s="615">
        <v>0</v>
      </c>
      <c r="E310" s="616">
        <v>0</v>
      </c>
    </row>
    <row r="311" spans="1:5" ht="25.5" hidden="1">
      <c r="A311" s="657"/>
      <c r="B311" s="617" t="s">
        <v>1039</v>
      </c>
      <c r="C311" s="615"/>
      <c r="D311" s="615">
        <v>0</v>
      </c>
      <c r="E311" s="616">
        <v>0</v>
      </c>
    </row>
    <row r="312" spans="1:5" ht="14.25" hidden="1">
      <c r="A312" s="657"/>
      <c r="B312" s="617" t="s">
        <v>1040</v>
      </c>
      <c r="C312" s="615"/>
      <c r="D312" s="615">
        <v>0</v>
      </c>
      <c r="E312" s="616">
        <v>0</v>
      </c>
    </row>
    <row r="313" spans="1:5" ht="14.25" hidden="1">
      <c r="A313" s="657"/>
      <c r="B313" s="617" t="s">
        <v>1041</v>
      </c>
      <c r="C313" s="615"/>
      <c r="D313" s="615">
        <v>0</v>
      </c>
      <c r="E313" s="616">
        <v>0</v>
      </c>
    </row>
    <row r="314" spans="1:5" ht="14.25" hidden="1">
      <c r="A314" s="657"/>
      <c r="B314" s="617" t="s">
        <v>1042</v>
      </c>
      <c r="C314" s="615"/>
      <c r="D314" s="615">
        <v>0</v>
      </c>
      <c r="E314" s="616">
        <v>0</v>
      </c>
    </row>
    <row r="315" spans="1:5" ht="25.5" hidden="1">
      <c r="A315" s="657"/>
      <c r="B315" s="617" t="s">
        <v>1043</v>
      </c>
      <c r="C315" s="615"/>
      <c r="D315" s="615">
        <v>0</v>
      </c>
      <c r="E315" s="616">
        <v>0</v>
      </c>
    </row>
    <row r="316" spans="1:5" ht="14.25" hidden="1">
      <c r="A316" s="657"/>
      <c r="B316" s="617" t="s">
        <v>1044</v>
      </c>
      <c r="C316" s="615"/>
      <c r="D316" s="615">
        <v>0</v>
      </c>
      <c r="E316" s="616">
        <v>0</v>
      </c>
    </row>
    <row r="317" spans="1:5" ht="25.5">
      <c r="A317" s="657"/>
      <c r="B317" s="617" t="s">
        <v>1045</v>
      </c>
      <c r="C317" s="598"/>
      <c r="D317" s="598">
        <v>0</v>
      </c>
      <c r="E317" s="599">
        <v>331</v>
      </c>
    </row>
    <row r="318" spans="1:5" ht="14.25">
      <c r="A318" s="657"/>
      <c r="B318" s="617" t="s">
        <v>1046</v>
      </c>
      <c r="C318" s="598"/>
      <c r="D318" s="598">
        <v>0</v>
      </c>
      <c r="E318" s="599">
        <v>0</v>
      </c>
    </row>
    <row r="319" spans="1:5" ht="15" customHeight="1">
      <c r="A319" s="657"/>
      <c r="B319" s="600" t="s">
        <v>1047</v>
      </c>
      <c r="C319" s="598">
        <v>100</v>
      </c>
      <c r="D319" s="598">
        <v>100</v>
      </c>
      <c r="E319" s="599">
        <v>55</v>
      </c>
    </row>
    <row r="320" spans="1:5" ht="14.25" hidden="1">
      <c r="A320" s="657"/>
      <c r="B320" s="617" t="s">
        <v>1048</v>
      </c>
      <c r="C320" s="615"/>
      <c r="D320" s="615">
        <v>0</v>
      </c>
      <c r="E320" s="616">
        <v>0</v>
      </c>
    </row>
    <row r="321" spans="1:5" ht="25.5" hidden="1">
      <c r="A321" s="657"/>
      <c r="B321" s="617" t="s">
        <v>1049</v>
      </c>
      <c r="C321" s="615"/>
      <c r="D321" s="615">
        <v>0</v>
      </c>
      <c r="E321" s="616">
        <v>0</v>
      </c>
    </row>
    <row r="322" spans="1:5" ht="25.5" hidden="1">
      <c r="A322" s="657"/>
      <c r="B322" s="617" t="s">
        <v>1050</v>
      </c>
      <c r="C322" s="615"/>
      <c r="D322" s="615">
        <v>0</v>
      </c>
      <c r="E322" s="616">
        <v>0</v>
      </c>
    </row>
    <row r="323" spans="1:5" ht="25.5" hidden="1">
      <c r="A323" s="657"/>
      <c r="B323" s="617" t="s">
        <v>1051</v>
      </c>
      <c r="C323" s="615"/>
      <c r="D323" s="615">
        <v>0</v>
      </c>
      <c r="E323" s="616">
        <v>0</v>
      </c>
    </row>
    <row r="324" spans="1:5" ht="25.5" hidden="1">
      <c r="A324" s="657"/>
      <c r="B324" s="617" t="s">
        <v>1052</v>
      </c>
      <c r="C324" s="615"/>
      <c r="D324" s="615">
        <v>0</v>
      </c>
      <c r="E324" s="616">
        <v>0</v>
      </c>
    </row>
    <row r="325" spans="1:5" ht="14.25" hidden="1">
      <c r="A325" s="657"/>
      <c r="B325" s="617" t="s">
        <v>1053</v>
      </c>
      <c r="C325" s="615"/>
      <c r="D325" s="615">
        <v>0</v>
      </c>
      <c r="E325" s="616">
        <v>0</v>
      </c>
    </row>
    <row r="326" spans="1:5" ht="14.25">
      <c r="A326" s="657"/>
      <c r="B326" s="600" t="s">
        <v>1054</v>
      </c>
      <c r="C326" s="598"/>
      <c r="D326" s="598">
        <v>0</v>
      </c>
      <c r="E326" s="599">
        <v>55</v>
      </c>
    </row>
    <row r="327" spans="1:5" ht="14.25">
      <c r="A327" s="657"/>
      <c r="B327" s="617" t="s">
        <v>1055</v>
      </c>
      <c r="C327" s="598">
        <v>2220</v>
      </c>
      <c r="D327" s="598">
        <v>2241</v>
      </c>
      <c r="E327" s="599">
        <v>2241</v>
      </c>
    </row>
    <row r="328" spans="1:5" ht="51" hidden="1">
      <c r="A328" s="657"/>
      <c r="B328" s="617" t="s">
        <v>1056</v>
      </c>
      <c r="C328" s="615"/>
      <c r="D328" s="615">
        <v>0</v>
      </c>
      <c r="E328" s="616">
        <v>0</v>
      </c>
    </row>
    <row r="329" spans="1:5" ht="25.5" hidden="1">
      <c r="A329" s="657"/>
      <c r="B329" s="617" t="s">
        <v>1057</v>
      </c>
      <c r="C329" s="615"/>
      <c r="D329" s="615">
        <v>0</v>
      </c>
      <c r="E329" s="616">
        <v>0</v>
      </c>
    </row>
    <row r="330" spans="1:5" ht="25.5" hidden="1">
      <c r="A330" s="657"/>
      <c r="B330" s="617" t="s">
        <v>1058</v>
      </c>
      <c r="C330" s="615"/>
      <c r="D330" s="615">
        <v>0</v>
      </c>
      <c r="E330" s="616">
        <v>0</v>
      </c>
    </row>
    <row r="331" spans="1:5" ht="14.25" hidden="1">
      <c r="A331" s="657"/>
      <c r="B331" s="617" t="s">
        <v>1059</v>
      </c>
      <c r="C331" s="615"/>
      <c r="D331" s="615">
        <v>0</v>
      </c>
      <c r="E331" s="616">
        <v>0</v>
      </c>
    </row>
    <row r="332" spans="1:5" ht="14.25" hidden="1">
      <c r="A332" s="657"/>
      <c r="B332" s="617" t="s">
        <v>1060</v>
      </c>
      <c r="C332" s="615"/>
      <c r="D332" s="615">
        <v>0</v>
      </c>
      <c r="E332" s="616">
        <v>0</v>
      </c>
    </row>
    <row r="333" spans="1:5" ht="25.5" hidden="1">
      <c r="A333" s="657"/>
      <c r="B333" s="617" t="s">
        <v>1061</v>
      </c>
      <c r="C333" s="615"/>
      <c r="D333" s="615">
        <v>0</v>
      </c>
      <c r="E333" s="616">
        <v>0</v>
      </c>
    </row>
    <row r="334" spans="1:5" ht="14.25" hidden="1">
      <c r="A334" s="657"/>
      <c r="B334" s="617" t="s">
        <v>1062</v>
      </c>
      <c r="C334" s="615"/>
      <c r="D334" s="615">
        <v>0</v>
      </c>
      <c r="E334" s="616">
        <v>0</v>
      </c>
    </row>
    <row r="335" spans="1:5" ht="14.25">
      <c r="A335" s="657"/>
      <c r="B335" s="600" t="s">
        <v>1063</v>
      </c>
      <c r="C335" s="598"/>
      <c r="D335" s="598">
        <v>0</v>
      </c>
      <c r="E335" s="599">
        <v>2241</v>
      </c>
    </row>
    <row r="336" spans="1:5" ht="14.25" hidden="1">
      <c r="A336" s="657"/>
      <c r="B336" s="617" t="s">
        <v>1064</v>
      </c>
      <c r="C336" s="598"/>
      <c r="D336" s="598">
        <v>0</v>
      </c>
      <c r="E336" s="599">
        <v>0</v>
      </c>
    </row>
    <row r="337" spans="1:5" ht="14.25">
      <c r="A337" s="657"/>
      <c r="B337" s="617" t="s">
        <v>1065</v>
      </c>
      <c r="C337" s="598">
        <v>1260</v>
      </c>
      <c r="D337" s="598">
        <v>1239</v>
      </c>
      <c r="E337" s="599">
        <v>817</v>
      </c>
    </row>
    <row r="338" spans="1:5" ht="14.25" hidden="1">
      <c r="A338" s="657"/>
      <c r="B338" s="617" t="s">
        <v>1066</v>
      </c>
      <c r="C338" s="598"/>
      <c r="D338" s="598">
        <v>0</v>
      </c>
      <c r="E338" s="599">
        <v>0</v>
      </c>
    </row>
    <row r="339" spans="1:5" ht="14.25" hidden="1">
      <c r="A339" s="657"/>
      <c r="B339" s="617" t="s">
        <v>1067</v>
      </c>
      <c r="C339" s="598"/>
      <c r="D339" s="598">
        <v>0</v>
      </c>
      <c r="E339" s="599">
        <v>0</v>
      </c>
    </row>
    <row r="340" spans="1:5" ht="17.25" customHeight="1">
      <c r="A340" s="657"/>
      <c r="B340" s="617" t="s">
        <v>1068</v>
      </c>
      <c r="C340" s="598"/>
      <c r="D340" s="598">
        <v>0</v>
      </c>
      <c r="E340" s="599">
        <v>817</v>
      </c>
    </row>
    <row r="341" spans="1:5" ht="25.5" hidden="1">
      <c r="A341" s="657"/>
      <c r="B341" s="617" t="s">
        <v>1069</v>
      </c>
      <c r="C341" s="598"/>
      <c r="D341" s="598">
        <v>0</v>
      </c>
      <c r="E341" s="599">
        <v>0</v>
      </c>
    </row>
    <row r="342" spans="1:5" ht="25.5" hidden="1">
      <c r="A342" s="657"/>
      <c r="B342" s="617" t="s">
        <v>1070</v>
      </c>
      <c r="C342" s="598"/>
      <c r="D342" s="598">
        <v>0</v>
      </c>
      <c r="E342" s="599">
        <v>0</v>
      </c>
    </row>
    <row r="343" spans="1:5" ht="38.25" hidden="1">
      <c r="A343" s="657"/>
      <c r="B343" s="617" t="s">
        <v>1071</v>
      </c>
      <c r="C343" s="598"/>
      <c r="D343" s="598">
        <v>0</v>
      </c>
      <c r="E343" s="599">
        <v>0</v>
      </c>
    </row>
    <row r="344" spans="1:5" ht="14.25">
      <c r="A344" s="657"/>
      <c r="B344" s="617" t="s">
        <v>1072</v>
      </c>
      <c r="C344" s="598">
        <v>160</v>
      </c>
      <c r="D344" s="598">
        <v>160</v>
      </c>
      <c r="E344" s="599">
        <v>150</v>
      </c>
    </row>
    <row r="345" spans="1:5" ht="14.25" hidden="1">
      <c r="A345" s="657"/>
      <c r="B345" s="617" t="s">
        <v>1073</v>
      </c>
      <c r="C345" s="598"/>
      <c r="D345" s="598">
        <v>0</v>
      </c>
      <c r="E345" s="599">
        <v>0</v>
      </c>
    </row>
    <row r="346" spans="1:5" ht="14.25">
      <c r="A346" s="657"/>
      <c r="B346" s="617" t="s">
        <v>1074</v>
      </c>
      <c r="C346" s="598"/>
      <c r="D346" s="598">
        <v>0</v>
      </c>
      <c r="E346" s="599">
        <v>150</v>
      </c>
    </row>
    <row r="347" spans="1:5" ht="14.25">
      <c r="A347" s="657"/>
      <c r="B347" s="617" t="s">
        <v>1075</v>
      </c>
      <c r="C347" s="598">
        <v>5100</v>
      </c>
      <c r="D347" s="598">
        <v>7644</v>
      </c>
      <c r="E347" s="599">
        <v>6907</v>
      </c>
    </row>
    <row r="348" spans="1:5" ht="14.25" hidden="1">
      <c r="A348" s="657"/>
      <c r="B348" s="617" t="s">
        <v>1076</v>
      </c>
      <c r="C348" s="615"/>
      <c r="D348" s="615">
        <v>0</v>
      </c>
      <c r="E348" s="616">
        <v>0</v>
      </c>
    </row>
    <row r="349" spans="1:5" ht="25.5" hidden="1">
      <c r="A349" s="657"/>
      <c r="B349" s="617" t="s">
        <v>1077</v>
      </c>
      <c r="C349" s="615"/>
      <c r="D349" s="615">
        <v>0</v>
      </c>
      <c r="E349" s="616">
        <v>0</v>
      </c>
    </row>
    <row r="350" spans="1:5" ht="25.5" hidden="1">
      <c r="A350" s="657"/>
      <c r="B350" s="617" t="s">
        <v>1078</v>
      </c>
      <c r="C350" s="615"/>
      <c r="D350" s="615">
        <v>0</v>
      </c>
      <c r="E350" s="616">
        <v>0</v>
      </c>
    </row>
    <row r="351" spans="1:5" ht="14.25" hidden="1">
      <c r="A351" s="657"/>
      <c r="B351" s="617" t="s">
        <v>1079</v>
      </c>
      <c r="C351" s="615"/>
      <c r="D351" s="615">
        <v>0</v>
      </c>
      <c r="E351" s="616">
        <v>0</v>
      </c>
    </row>
    <row r="352" spans="1:5" ht="14.25" hidden="1">
      <c r="A352" s="657"/>
      <c r="B352" s="617" t="s">
        <v>1080</v>
      </c>
      <c r="C352" s="615"/>
      <c r="D352" s="615">
        <v>0</v>
      </c>
      <c r="E352" s="616">
        <v>0</v>
      </c>
    </row>
    <row r="353" spans="1:5" ht="25.5" hidden="1">
      <c r="A353" s="658"/>
      <c r="B353" s="617" t="s">
        <v>1081</v>
      </c>
      <c r="C353" s="615"/>
      <c r="D353" s="615">
        <v>0</v>
      </c>
      <c r="E353" s="616">
        <v>0</v>
      </c>
    </row>
    <row r="354" spans="1:5" ht="25.5" hidden="1">
      <c r="A354" s="657"/>
      <c r="B354" s="617" t="s">
        <v>1082</v>
      </c>
      <c r="C354" s="615"/>
      <c r="D354" s="615">
        <v>0</v>
      </c>
      <c r="E354" s="616">
        <v>0</v>
      </c>
    </row>
    <row r="355" spans="1:5" ht="25.5" hidden="1">
      <c r="A355" s="657"/>
      <c r="B355" s="617" t="s">
        <v>1083</v>
      </c>
      <c r="C355" s="615"/>
      <c r="D355" s="615">
        <v>0</v>
      </c>
      <c r="E355" s="616">
        <v>0</v>
      </c>
    </row>
    <row r="356" spans="1:5" ht="25.5" hidden="1">
      <c r="A356" s="657"/>
      <c r="B356" s="617" t="s">
        <v>1084</v>
      </c>
      <c r="C356" s="615"/>
      <c r="D356" s="615">
        <v>0</v>
      </c>
      <c r="E356" s="616">
        <v>0</v>
      </c>
    </row>
    <row r="357" spans="1:5" ht="25.5" hidden="1">
      <c r="A357" s="657"/>
      <c r="B357" s="617" t="s">
        <v>1085</v>
      </c>
      <c r="C357" s="615"/>
      <c r="D357" s="615">
        <v>0</v>
      </c>
      <c r="E357" s="616">
        <v>0</v>
      </c>
    </row>
    <row r="358" spans="1:5" ht="14.25" hidden="1">
      <c r="A358" s="657"/>
      <c r="B358" s="617" t="s">
        <v>1086</v>
      </c>
      <c r="C358" s="615"/>
      <c r="D358" s="615">
        <v>0</v>
      </c>
      <c r="E358" s="616">
        <v>0</v>
      </c>
    </row>
    <row r="359" spans="1:5" ht="25.5" hidden="1">
      <c r="A359" s="657"/>
      <c r="B359" s="617" t="s">
        <v>1087</v>
      </c>
      <c r="C359" s="615"/>
      <c r="D359" s="615">
        <v>0</v>
      </c>
      <c r="E359" s="616">
        <v>0</v>
      </c>
    </row>
    <row r="360" spans="1:5" ht="14.25" hidden="1">
      <c r="A360" s="657"/>
      <c r="B360" s="617" t="s">
        <v>1088</v>
      </c>
      <c r="C360" s="615"/>
      <c r="D360" s="615">
        <v>0</v>
      </c>
      <c r="E360" s="616">
        <v>0</v>
      </c>
    </row>
    <row r="361" spans="1:5" ht="14.25" hidden="1">
      <c r="A361" s="657"/>
      <c r="B361" s="617" t="s">
        <v>1089</v>
      </c>
      <c r="C361" s="615"/>
      <c r="D361" s="615">
        <v>0</v>
      </c>
      <c r="E361" s="616">
        <v>0</v>
      </c>
    </row>
    <row r="362" spans="1:5" ht="14.25">
      <c r="A362" s="657"/>
      <c r="B362" s="617" t="s">
        <v>1090</v>
      </c>
      <c r="C362" s="598"/>
      <c r="D362" s="598">
        <v>0</v>
      </c>
      <c r="E362" s="599">
        <v>324</v>
      </c>
    </row>
    <row r="363" spans="1:5" ht="14.25">
      <c r="A363" s="657"/>
      <c r="B363" s="617" t="s">
        <v>1091</v>
      </c>
      <c r="C363" s="598"/>
      <c r="D363" s="598">
        <v>0</v>
      </c>
      <c r="E363" s="599">
        <v>409</v>
      </c>
    </row>
    <row r="364" spans="1:5" ht="14.25">
      <c r="A364" s="657"/>
      <c r="B364" s="617" t="s">
        <v>1092</v>
      </c>
      <c r="C364" s="598"/>
      <c r="D364" s="598">
        <v>0</v>
      </c>
      <c r="E364" s="599">
        <v>2917</v>
      </c>
    </row>
    <row r="365" spans="1:5" ht="14.25">
      <c r="A365" s="657"/>
      <c r="B365" s="600" t="s">
        <v>1093</v>
      </c>
      <c r="C365" s="598"/>
      <c r="D365" s="598">
        <v>0</v>
      </c>
      <c r="E365" s="599">
        <v>1222</v>
      </c>
    </row>
    <row r="366" spans="1:5" ht="14.25" hidden="1">
      <c r="A366" s="657"/>
      <c r="B366" s="617" t="s">
        <v>1094</v>
      </c>
      <c r="C366" s="615"/>
      <c r="D366" s="615">
        <v>0</v>
      </c>
      <c r="E366" s="616">
        <v>0</v>
      </c>
    </row>
    <row r="367" spans="1:5" ht="14.25" hidden="1">
      <c r="A367" s="657"/>
      <c r="B367" s="617" t="s">
        <v>1095</v>
      </c>
      <c r="C367" s="615"/>
      <c r="D367" s="615">
        <v>0</v>
      </c>
      <c r="E367" s="616">
        <v>0</v>
      </c>
    </row>
    <row r="368" spans="1:5" ht="25.5" hidden="1">
      <c r="A368" s="657"/>
      <c r="B368" s="617" t="s">
        <v>1096</v>
      </c>
      <c r="C368" s="615"/>
      <c r="D368" s="615">
        <v>0</v>
      </c>
      <c r="E368" s="616">
        <v>0</v>
      </c>
    </row>
    <row r="369" spans="1:5" ht="30.75" customHeight="1">
      <c r="A369" s="657"/>
      <c r="B369" s="600" t="s">
        <v>1097</v>
      </c>
      <c r="C369" s="598"/>
      <c r="D369" s="598">
        <v>0</v>
      </c>
      <c r="E369" s="599">
        <v>450</v>
      </c>
    </row>
    <row r="370" spans="1:5" ht="30.75" customHeight="1">
      <c r="A370" s="657"/>
      <c r="B370" s="600" t="s">
        <v>1098</v>
      </c>
      <c r="C370" s="598"/>
      <c r="D370" s="598">
        <v>0</v>
      </c>
      <c r="E370" s="599">
        <v>1585</v>
      </c>
    </row>
    <row r="371" spans="1:8" ht="15">
      <c r="A371" s="657" t="s">
        <v>473</v>
      </c>
      <c r="B371" s="659" t="s">
        <v>1099</v>
      </c>
      <c r="C371" s="609">
        <f>C305+C306+C318+C319+C327+C337+C344+C347</f>
        <v>9040</v>
      </c>
      <c r="D371" s="609">
        <f>D305+D306+D318+D319+D327+D337+D344+D347</f>
        <v>11776</v>
      </c>
      <c r="E371" s="610">
        <f>E305+E306+E318+E319+E327+E337+E344+E347</f>
        <v>10501</v>
      </c>
      <c r="F371" s="660"/>
      <c r="G371" s="604"/>
      <c r="H371" s="604"/>
    </row>
    <row r="372" spans="1:5" ht="14.25">
      <c r="A372" s="657"/>
      <c r="B372" s="617" t="s">
        <v>1100</v>
      </c>
      <c r="C372" s="598"/>
      <c r="D372" s="598">
        <v>0</v>
      </c>
      <c r="E372" s="599">
        <v>0</v>
      </c>
    </row>
    <row r="373" spans="1:5" ht="14.25" hidden="1">
      <c r="A373" s="657"/>
      <c r="B373" s="617" t="s">
        <v>1101</v>
      </c>
      <c r="C373" s="598"/>
      <c r="D373" s="598">
        <v>0</v>
      </c>
      <c r="E373" s="599">
        <v>0</v>
      </c>
    </row>
    <row r="374" spans="1:5" ht="14.25">
      <c r="A374" s="657" t="s">
        <v>437</v>
      </c>
      <c r="B374" s="617" t="s">
        <v>1102</v>
      </c>
      <c r="C374" s="598"/>
      <c r="D374" s="598">
        <v>137</v>
      </c>
      <c r="E374" s="599">
        <v>137</v>
      </c>
    </row>
    <row r="375" spans="1:5" ht="24">
      <c r="A375" s="657"/>
      <c r="B375" s="600" t="s">
        <v>1103</v>
      </c>
      <c r="C375" s="615"/>
      <c r="D375" s="615">
        <v>0</v>
      </c>
      <c r="E375" s="616">
        <v>0</v>
      </c>
    </row>
    <row r="376" spans="1:5" ht="24">
      <c r="A376" s="657"/>
      <c r="B376" s="600" t="s">
        <v>1104</v>
      </c>
      <c r="C376" s="615"/>
      <c r="D376" s="615">
        <v>0</v>
      </c>
      <c r="E376" s="616">
        <v>0</v>
      </c>
    </row>
    <row r="377" spans="1:5" ht="14.25" hidden="1">
      <c r="A377" s="657"/>
      <c r="B377" s="600" t="s">
        <v>1105</v>
      </c>
      <c r="C377" s="615"/>
      <c r="D377" s="615">
        <v>0</v>
      </c>
      <c r="E377" s="616">
        <v>0</v>
      </c>
    </row>
    <row r="378" spans="1:5" ht="14.25" hidden="1">
      <c r="A378" s="657"/>
      <c r="B378" s="600" t="s">
        <v>1106</v>
      </c>
      <c r="C378" s="615"/>
      <c r="D378" s="615">
        <v>0</v>
      </c>
      <c r="E378" s="616">
        <v>0</v>
      </c>
    </row>
    <row r="379" spans="1:5" ht="24" hidden="1">
      <c r="A379" s="657"/>
      <c r="B379" s="600" t="s">
        <v>1107</v>
      </c>
      <c r="C379" s="615"/>
      <c r="D379" s="615">
        <v>0</v>
      </c>
      <c r="E379" s="616">
        <v>0</v>
      </c>
    </row>
    <row r="380" spans="1:5" ht="14.25" hidden="1">
      <c r="A380" s="657"/>
      <c r="B380" s="600" t="s">
        <v>1108</v>
      </c>
      <c r="C380" s="615"/>
      <c r="D380" s="615">
        <v>0</v>
      </c>
      <c r="E380" s="616">
        <v>0</v>
      </c>
    </row>
    <row r="381" spans="1:5" ht="14.25" hidden="1">
      <c r="A381" s="657"/>
      <c r="B381" s="600" t="s">
        <v>1109</v>
      </c>
      <c r="C381" s="615"/>
      <c r="D381" s="615">
        <v>0</v>
      </c>
      <c r="E381" s="616">
        <v>0</v>
      </c>
    </row>
    <row r="382" spans="1:5" ht="14.25" hidden="1">
      <c r="A382" s="657"/>
      <c r="B382" s="600" t="s">
        <v>1110</v>
      </c>
      <c r="C382" s="615"/>
      <c r="D382" s="615">
        <v>0</v>
      </c>
      <c r="E382" s="616">
        <v>0</v>
      </c>
    </row>
    <row r="383" spans="1:5" ht="14.25" hidden="1">
      <c r="A383" s="658"/>
      <c r="B383" s="600" t="s">
        <v>1111</v>
      </c>
      <c r="C383" s="615"/>
      <c r="D383" s="615">
        <v>0</v>
      </c>
      <c r="E383" s="616">
        <v>0</v>
      </c>
    </row>
    <row r="384" spans="1:5" ht="14.25" hidden="1">
      <c r="A384" s="657"/>
      <c r="B384" s="600" t="s">
        <v>1112</v>
      </c>
      <c r="C384" s="615"/>
      <c r="D384" s="615">
        <v>0</v>
      </c>
      <c r="E384" s="616">
        <v>0</v>
      </c>
    </row>
    <row r="385" spans="1:5" ht="14.25" hidden="1">
      <c r="A385" s="657"/>
      <c r="B385" s="600" t="s">
        <v>1502</v>
      </c>
      <c r="C385" s="615"/>
      <c r="D385" s="615">
        <v>0</v>
      </c>
      <c r="E385" s="616">
        <v>0</v>
      </c>
    </row>
    <row r="386" spans="1:5" ht="14.25" hidden="1">
      <c r="A386" s="657"/>
      <c r="B386" s="600" t="s">
        <v>1503</v>
      </c>
      <c r="C386" s="615"/>
      <c r="D386" s="615">
        <v>0</v>
      </c>
      <c r="E386" s="616">
        <v>0</v>
      </c>
    </row>
    <row r="387" spans="1:5" ht="16.5" customHeight="1">
      <c r="A387" s="657" t="s">
        <v>476</v>
      </c>
      <c r="B387" s="600" t="s">
        <v>1504</v>
      </c>
      <c r="C387" s="615"/>
      <c r="D387" s="615">
        <v>0</v>
      </c>
      <c r="E387" s="616">
        <v>0</v>
      </c>
    </row>
    <row r="388" spans="1:5" ht="14.25" hidden="1">
      <c r="A388" s="657"/>
      <c r="B388" s="617" t="s">
        <v>1505</v>
      </c>
      <c r="C388" s="615"/>
      <c r="D388" s="615">
        <v>0</v>
      </c>
      <c r="E388" s="616">
        <v>0</v>
      </c>
    </row>
    <row r="389" spans="1:5" ht="14.25" hidden="1">
      <c r="A389" s="657"/>
      <c r="B389" s="617" t="s">
        <v>1506</v>
      </c>
      <c r="C389" s="615"/>
      <c r="D389" s="615">
        <v>0</v>
      </c>
      <c r="E389" s="616">
        <v>0</v>
      </c>
    </row>
    <row r="390" spans="1:5" ht="25.5" hidden="1">
      <c r="A390" s="657"/>
      <c r="B390" s="617" t="s">
        <v>1507</v>
      </c>
      <c r="C390" s="615"/>
      <c r="D390" s="615">
        <v>0</v>
      </c>
      <c r="E390" s="616">
        <v>0</v>
      </c>
    </row>
    <row r="391" spans="1:5" ht="14.25" hidden="1">
      <c r="A391" s="657"/>
      <c r="B391" s="617" t="s">
        <v>1508</v>
      </c>
      <c r="C391" s="615"/>
      <c r="D391" s="615">
        <v>0</v>
      </c>
      <c r="E391" s="616">
        <v>0</v>
      </c>
    </row>
    <row r="392" spans="1:5" ht="14.25" hidden="1">
      <c r="A392" s="658"/>
      <c r="B392" s="617" t="s">
        <v>1509</v>
      </c>
      <c r="C392" s="615"/>
      <c r="D392" s="615">
        <v>0</v>
      </c>
      <c r="E392" s="616">
        <v>0</v>
      </c>
    </row>
    <row r="393" spans="1:5" ht="14.25" hidden="1">
      <c r="A393" s="657"/>
      <c r="B393" s="617" t="s">
        <v>1510</v>
      </c>
      <c r="C393" s="615"/>
      <c r="D393" s="615">
        <v>0</v>
      </c>
      <c r="E393" s="616">
        <v>0</v>
      </c>
    </row>
    <row r="394" spans="1:5" ht="14.25" hidden="1">
      <c r="A394" s="657"/>
      <c r="B394" s="617" t="s">
        <v>1511</v>
      </c>
      <c r="C394" s="615"/>
      <c r="D394" s="615">
        <v>0</v>
      </c>
      <c r="E394" s="616">
        <v>0</v>
      </c>
    </row>
    <row r="395" spans="1:5" ht="14.25" hidden="1">
      <c r="A395" s="657"/>
      <c r="B395" s="617" t="s">
        <v>1512</v>
      </c>
      <c r="C395" s="615"/>
      <c r="D395" s="615">
        <v>0</v>
      </c>
      <c r="E395" s="616">
        <v>0</v>
      </c>
    </row>
    <row r="396" spans="1:5" ht="25.5" hidden="1">
      <c r="A396" s="657"/>
      <c r="B396" s="617" t="s">
        <v>1513</v>
      </c>
      <c r="C396" s="615"/>
      <c r="D396" s="615">
        <v>0</v>
      </c>
      <c r="E396" s="616">
        <v>0</v>
      </c>
    </row>
    <row r="397" spans="1:5" ht="14.25" hidden="1">
      <c r="A397" s="657"/>
      <c r="B397" s="617" t="s">
        <v>1514</v>
      </c>
      <c r="C397" s="615"/>
      <c r="D397" s="615">
        <v>0</v>
      </c>
      <c r="E397" s="616">
        <v>0</v>
      </c>
    </row>
    <row r="398" spans="1:5" ht="16.5" customHeight="1">
      <c r="A398" s="657" t="s">
        <v>1515</v>
      </c>
      <c r="B398" s="617" t="s">
        <v>1516</v>
      </c>
      <c r="C398" s="598">
        <v>22668</v>
      </c>
      <c r="D398" s="598">
        <v>23927</v>
      </c>
      <c r="E398" s="599">
        <v>23433</v>
      </c>
    </row>
    <row r="399" spans="1:5" ht="14.25" hidden="1">
      <c r="A399" s="657"/>
      <c r="B399" s="617" t="s">
        <v>1517</v>
      </c>
      <c r="C399" s="615"/>
      <c r="D399" s="615">
        <v>0</v>
      </c>
      <c r="E399" s="616">
        <v>0</v>
      </c>
    </row>
    <row r="400" spans="1:5" ht="14.25" hidden="1">
      <c r="A400" s="657"/>
      <c r="B400" s="617" t="s">
        <v>1518</v>
      </c>
      <c r="C400" s="615"/>
      <c r="D400" s="615">
        <v>0</v>
      </c>
      <c r="E400" s="616">
        <v>0</v>
      </c>
    </row>
    <row r="401" spans="1:5" ht="25.5" hidden="1">
      <c r="A401" s="657"/>
      <c r="B401" s="617" t="s">
        <v>1519</v>
      </c>
      <c r="C401" s="615"/>
      <c r="D401" s="615">
        <v>0</v>
      </c>
      <c r="E401" s="616">
        <v>0</v>
      </c>
    </row>
    <row r="402" spans="1:5" ht="14.25" hidden="1">
      <c r="A402" s="657"/>
      <c r="B402" s="617" t="s">
        <v>1520</v>
      </c>
      <c r="C402" s="615"/>
      <c r="D402" s="615">
        <v>0</v>
      </c>
      <c r="E402" s="616">
        <v>0</v>
      </c>
    </row>
    <row r="403" spans="1:5" ht="14.25" hidden="1">
      <c r="A403" s="657"/>
      <c r="B403" s="617" t="s">
        <v>1521</v>
      </c>
      <c r="C403" s="615"/>
      <c r="D403" s="615">
        <v>0</v>
      </c>
      <c r="E403" s="616">
        <v>0</v>
      </c>
    </row>
    <row r="404" spans="1:5" ht="14.25" hidden="1">
      <c r="A404" s="657"/>
      <c r="B404" s="617" t="s">
        <v>1522</v>
      </c>
      <c r="C404" s="615"/>
      <c r="D404" s="615">
        <v>0</v>
      </c>
      <c r="E404" s="616">
        <v>0</v>
      </c>
    </row>
    <row r="405" spans="1:5" ht="19.5" customHeight="1">
      <c r="A405" s="657"/>
      <c r="B405" s="617" t="s">
        <v>1523</v>
      </c>
      <c r="C405" s="598"/>
      <c r="D405" s="598">
        <v>0</v>
      </c>
      <c r="E405" s="599">
        <v>23433</v>
      </c>
    </row>
    <row r="406" spans="1:5" ht="14.25" hidden="1">
      <c r="A406" s="657"/>
      <c r="B406" s="617" t="s">
        <v>1524</v>
      </c>
      <c r="C406" s="615"/>
      <c r="D406" s="615">
        <v>0</v>
      </c>
      <c r="E406" s="616">
        <v>0</v>
      </c>
    </row>
    <row r="407" spans="1:5" ht="25.5" hidden="1">
      <c r="A407" s="657"/>
      <c r="B407" s="617" t="s">
        <v>1525</v>
      </c>
      <c r="C407" s="615"/>
      <c r="D407" s="615">
        <v>0</v>
      </c>
      <c r="E407" s="616">
        <v>0</v>
      </c>
    </row>
    <row r="408" spans="1:5" ht="14.25" hidden="1">
      <c r="A408" s="657"/>
      <c r="B408" s="617" t="s">
        <v>1526</v>
      </c>
      <c r="C408" s="615"/>
      <c r="D408" s="615">
        <v>0</v>
      </c>
      <c r="E408" s="616">
        <v>0</v>
      </c>
    </row>
    <row r="409" spans="1:5" ht="15" customHeight="1">
      <c r="A409" s="657" t="s">
        <v>1527</v>
      </c>
      <c r="B409" s="611" t="s">
        <v>1528</v>
      </c>
      <c r="C409" s="615"/>
      <c r="D409" s="615">
        <v>0</v>
      </c>
      <c r="E409" s="616">
        <v>0</v>
      </c>
    </row>
    <row r="410" spans="1:5" ht="25.5" hidden="1">
      <c r="A410" s="657"/>
      <c r="B410" s="617" t="s">
        <v>1529</v>
      </c>
      <c r="C410" s="615"/>
      <c r="D410" s="615">
        <v>0</v>
      </c>
      <c r="E410" s="616">
        <v>0</v>
      </c>
    </row>
    <row r="411" spans="1:5" ht="16.5" customHeight="1">
      <c r="A411" s="657" t="s">
        <v>1530</v>
      </c>
      <c r="B411" s="611" t="s">
        <v>1531</v>
      </c>
      <c r="C411" s="615"/>
      <c r="D411" s="615">
        <v>0</v>
      </c>
      <c r="E411" s="616">
        <v>0</v>
      </c>
    </row>
    <row r="412" spans="1:5" ht="14.25" hidden="1">
      <c r="A412" s="657"/>
      <c r="B412" s="617" t="s">
        <v>1532</v>
      </c>
      <c r="C412" s="615"/>
      <c r="D412" s="615">
        <v>0</v>
      </c>
      <c r="E412" s="616">
        <v>0</v>
      </c>
    </row>
    <row r="413" spans="1:5" ht="14.25" hidden="1">
      <c r="A413" s="657"/>
      <c r="B413" s="617" t="s">
        <v>1533</v>
      </c>
      <c r="C413" s="615"/>
      <c r="D413" s="615">
        <v>0</v>
      </c>
      <c r="E413" s="616">
        <v>0</v>
      </c>
    </row>
    <row r="414" spans="1:5" ht="14.25" hidden="1">
      <c r="A414" s="657"/>
      <c r="B414" s="617" t="s">
        <v>1534</v>
      </c>
      <c r="C414" s="615"/>
      <c r="D414" s="615">
        <v>0</v>
      </c>
      <c r="E414" s="616">
        <v>0</v>
      </c>
    </row>
    <row r="415" spans="1:5" ht="14.25" hidden="1">
      <c r="A415" s="657"/>
      <c r="B415" s="617" t="s">
        <v>1535</v>
      </c>
      <c r="C415" s="615"/>
      <c r="D415" s="615">
        <v>0</v>
      </c>
      <c r="E415" s="616">
        <v>0</v>
      </c>
    </row>
    <row r="416" spans="1:5" ht="14.25" hidden="1">
      <c r="A416" s="657"/>
      <c r="B416" s="617" t="s">
        <v>1536</v>
      </c>
      <c r="C416" s="615"/>
      <c r="D416" s="615">
        <v>0</v>
      </c>
      <c r="E416" s="616">
        <v>0</v>
      </c>
    </row>
    <row r="417" spans="1:5" ht="25.5" hidden="1">
      <c r="A417" s="657"/>
      <c r="B417" s="617" t="s">
        <v>1537</v>
      </c>
      <c r="C417" s="615"/>
      <c r="D417" s="615">
        <v>0</v>
      </c>
      <c r="E417" s="616">
        <v>0</v>
      </c>
    </row>
    <row r="418" spans="1:5" ht="25.5" hidden="1">
      <c r="A418" s="658"/>
      <c r="B418" s="617" t="s">
        <v>1538</v>
      </c>
      <c r="C418" s="615"/>
      <c r="D418" s="615">
        <v>0</v>
      </c>
      <c r="E418" s="616">
        <v>0</v>
      </c>
    </row>
    <row r="419" spans="1:5" ht="14.25" hidden="1">
      <c r="A419" s="657"/>
      <c r="B419" s="617" t="s">
        <v>1539</v>
      </c>
      <c r="C419" s="615"/>
      <c r="D419" s="615">
        <v>0</v>
      </c>
      <c r="E419" s="616">
        <v>0</v>
      </c>
    </row>
    <row r="420" spans="1:5" ht="14.25" hidden="1">
      <c r="A420" s="657"/>
      <c r="B420" s="617" t="s">
        <v>1540</v>
      </c>
      <c r="C420" s="615"/>
      <c r="D420" s="615">
        <v>0</v>
      </c>
      <c r="E420" s="616">
        <v>0</v>
      </c>
    </row>
    <row r="421" spans="1:5" ht="14.25" hidden="1">
      <c r="A421" s="657"/>
      <c r="B421" s="617" t="s">
        <v>1541</v>
      </c>
      <c r="C421" s="615"/>
      <c r="D421" s="615">
        <v>0</v>
      </c>
      <c r="E421" s="616">
        <v>0</v>
      </c>
    </row>
    <row r="422" spans="1:5" ht="14.25" hidden="1">
      <c r="A422" s="657"/>
      <c r="B422" s="617" t="s">
        <v>1542</v>
      </c>
      <c r="C422" s="615"/>
      <c r="D422" s="615">
        <v>0</v>
      </c>
      <c r="E422" s="616">
        <v>0</v>
      </c>
    </row>
    <row r="423" spans="1:5" ht="14.25">
      <c r="A423" s="657" t="s">
        <v>1543</v>
      </c>
      <c r="B423" s="617" t="s">
        <v>1544</v>
      </c>
      <c r="C423" s="615"/>
      <c r="D423" s="615">
        <v>0</v>
      </c>
      <c r="E423" s="616">
        <v>0</v>
      </c>
    </row>
    <row r="424" spans="1:5" ht="14.25">
      <c r="A424" s="657" t="s">
        <v>1545</v>
      </c>
      <c r="B424" s="617" t="s">
        <v>1546</v>
      </c>
      <c r="C424" s="615"/>
      <c r="D424" s="615">
        <v>0</v>
      </c>
      <c r="E424" s="616">
        <v>0</v>
      </c>
    </row>
    <row r="425" spans="1:5" ht="18" customHeight="1">
      <c r="A425" s="657" t="s">
        <v>1547</v>
      </c>
      <c r="B425" s="617" t="s">
        <v>1548</v>
      </c>
      <c r="C425" s="598">
        <v>18561</v>
      </c>
      <c r="D425" s="598">
        <v>32063</v>
      </c>
      <c r="E425" s="599">
        <v>30998</v>
      </c>
    </row>
    <row r="426" spans="1:5" ht="14.25" hidden="1">
      <c r="A426" s="657"/>
      <c r="B426" s="617" t="s">
        <v>1549</v>
      </c>
      <c r="C426" s="615"/>
      <c r="D426" s="615">
        <v>0</v>
      </c>
      <c r="E426" s="616">
        <v>0</v>
      </c>
    </row>
    <row r="427" spans="1:5" ht="14.25" hidden="1">
      <c r="A427" s="657"/>
      <c r="B427" s="617" t="s">
        <v>1550</v>
      </c>
      <c r="C427" s="615"/>
      <c r="D427" s="615">
        <v>0</v>
      </c>
      <c r="E427" s="616">
        <v>0</v>
      </c>
    </row>
    <row r="428" spans="1:5" ht="14.25">
      <c r="A428" s="657" t="s">
        <v>1551</v>
      </c>
      <c r="B428" s="617" t="s">
        <v>1552</v>
      </c>
      <c r="C428" s="598"/>
      <c r="D428" s="598">
        <v>0</v>
      </c>
      <c r="E428" s="599">
        <v>6968</v>
      </c>
    </row>
    <row r="429" spans="1:5" ht="14.25" hidden="1">
      <c r="A429" s="657"/>
      <c r="B429" s="617" t="s">
        <v>1553</v>
      </c>
      <c r="C429" s="615"/>
      <c r="D429" s="615">
        <v>0</v>
      </c>
      <c r="E429" s="616">
        <v>0</v>
      </c>
    </row>
    <row r="430" spans="1:5" ht="14.25" hidden="1">
      <c r="A430" s="657"/>
      <c r="B430" s="617" t="s">
        <v>1554</v>
      </c>
      <c r="C430" s="615"/>
      <c r="D430" s="615">
        <v>0</v>
      </c>
      <c r="E430" s="616">
        <v>0</v>
      </c>
    </row>
    <row r="431" spans="1:5" ht="25.5" hidden="1">
      <c r="A431" s="657"/>
      <c r="B431" s="617" t="s">
        <v>1555</v>
      </c>
      <c r="C431" s="615"/>
      <c r="D431" s="615">
        <v>0</v>
      </c>
      <c r="E431" s="616">
        <v>0</v>
      </c>
    </row>
    <row r="432" spans="1:5" ht="25.5" hidden="1">
      <c r="A432" s="657"/>
      <c r="B432" s="617" t="s">
        <v>1556</v>
      </c>
      <c r="C432" s="615"/>
      <c r="D432" s="615">
        <v>0</v>
      </c>
      <c r="E432" s="616">
        <v>0</v>
      </c>
    </row>
    <row r="433" spans="1:5" ht="14.25">
      <c r="A433" s="657"/>
      <c r="B433" s="617" t="s">
        <v>1557</v>
      </c>
      <c r="C433" s="598"/>
      <c r="D433" s="598">
        <v>0</v>
      </c>
      <c r="E433" s="599">
        <v>24342</v>
      </c>
    </row>
    <row r="434" spans="1:5" ht="14.25" hidden="1">
      <c r="A434" s="657"/>
      <c r="B434" s="617" t="s">
        <v>1558</v>
      </c>
      <c r="C434" s="615"/>
      <c r="D434" s="615">
        <v>0</v>
      </c>
      <c r="E434" s="616">
        <v>0</v>
      </c>
    </row>
    <row r="435" spans="1:5" ht="14.25" hidden="1">
      <c r="A435" s="657"/>
      <c r="B435" s="617" t="s">
        <v>1559</v>
      </c>
      <c r="C435" s="615"/>
      <c r="D435" s="615">
        <v>0</v>
      </c>
      <c r="E435" s="616">
        <v>0</v>
      </c>
    </row>
    <row r="436" spans="1:5" ht="14.25" hidden="1">
      <c r="A436" s="657"/>
      <c r="B436" s="617" t="s">
        <v>1560</v>
      </c>
      <c r="C436" s="615"/>
      <c r="D436" s="615">
        <v>0</v>
      </c>
      <c r="E436" s="616">
        <v>0</v>
      </c>
    </row>
    <row r="437" spans="1:6" ht="14.25">
      <c r="A437" s="657" t="s">
        <v>1561</v>
      </c>
      <c r="B437" s="617" t="s">
        <v>1562</v>
      </c>
      <c r="C437" s="598">
        <v>57292</v>
      </c>
      <c r="D437" s="598">
        <v>61620</v>
      </c>
      <c r="E437" s="599">
        <v>0</v>
      </c>
      <c r="F437" s="660"/>
    </row>
    <row r="438" spans="1:8" ht="15">
      <c r="A438" s="657">
        <v>1</v>
      </c>
      <c r="B438" s="659" t="s">
        <v>1563</v>
      </c>
      <c r="C438" s="609">
        <f>C372+C374+C375+C376+C387+C398+C409+C411+C423+C424+C425+C437</f>
        <v>98521</v>
      </c>
      <c r="D438" s="609">
        <f>D372+D374+D375+D376+D387+D398+D409+D411+D423+D424+D425+D437</f>
        <v>117747</v>
      </c>
      <c r="E438" s="610">
        <f>E372+E374+E375+E376+E387+E398+E409+E411+E423+E424+E425+E437</f>
        <v>54568</v>
      </c>
      <c r="G438" s="604"/>
      <c r="H438" s="604"/>
    </row>
    <row r="439" spans="1:5" ht="14.25">
      <c r="A439" s="657"/>
      <c r="B439" s="617" t="s">
        <v>1564</v>
      </c>
      <c r="C439" s="598">
        <v>530</v>
      </c>
      <c r="D439" s="598">
        <v>1021</v>
      </c>
      <c r="E439" s="599">
        <v>621</v>
      </c>
    </row>
    <row r="440" spans="1:5" ht="14.25">
      <c r="A440" s="657"/>
      <c r="B440" s="617" t="s">
        <v>1565</v>
      </c>
      <c r="C440" s="598"/>
      <c r="D440" s="598">
        <v>3422</v>
      </c>
      <c r="E440" s="599">
        <v>3422</v>
      </c>
    </row>
    <row r="441" spans="1:5" ht="14.25" hidden="1">
      <c r="A441" s="657"/>
      <c r="B441" s="617" t="s">
        <v>1566</v>
      </c>
      <c r="C441" s="598"/>
      <c r="D441" s="598">
        <v>0</v>
      </c>
      <c r="E441" s="599">
        <v>0</v>
      </c>
    </row>
    <row r="442" spans="1:5" ht="14.25">
      <c r="A442" s="657"/>
      <c r="B442" s="617" t="s">
        <v>1567</v>
      </c>
      <c r="C442" s="598">
        <v>370</v>
      </c>
      <c r="D442" s="598">
        <v>1351</v>
      </c>
      <c r="E442" s="599">
        <v>1349</v>
      </c>
    </row>
    <row r="443" spans="1:5" ht="14.25">
      <c r="A443" s="657"/>
      <c r="B443" s="617" t="s">
        <v>1568</v>
      </c>
      <c r="C443" s="598">
        <v>11435</v>
      </c>
      <c r="D443" s="598">
        <v>8834</v>
      </c>
      <c r="E443" s="599">
        <v>8833</v>
      </c>
    </row>
    <row r="444" spans="1:5" ht="14.25">
      <c r="A444" s="658"/>
      <c r="B444" s="617" t="s">
        <v>1569</v>
      </c>
      <c r="C444" s="598"/>
      <c r="D444" s="598">
        <v>0</v>
      </c>
      <c r="E444" s="599">
        <v>0</v>
      </c>
    </row>
    <row r="445" spans="1:5" ht="12.75" customHeight="1">
      <c r="A445" s="658"/>
      <c r="B445" s="617" t="s">
        <v>1570</v>
      </c>
      <c r="C445" s="598">
        <v>1820</v>
      </c>
      <c r="D445" s="598">
        <v>0</v>
      </c>
      <c r="E445" s="599">
        <v>0</v>
      </c>
    </row>
    <row r="446" spans="1:5" ht="13.5" customHeight="1">
      <c r="A446" s="657"/>
      <c r="B446" s="600" t="s">
        <v>1571</v>
      </c>
      <c r="C446" s="598">
        <v>1887</v>
      </c>
      <c r="D446" s="598">
        <v>3778</v>
      </c>
      <c r="E446" s="599">
        <v>3759</v>
      </c>
    </row>
    <row r="447" spans="1:5" ht="15">
      <c r="A447" s="657" t="s">
        <v>478</v>
      </c>
      <c r="B447" s="659" t="s">
        <v>1572</v>
      </c>
      <c r="C447" s="609">
        <f>SUM(C439:C446)</f>
        <v>16042</v>
      </c>
      <c r="D447" s="609">
        <f>SUM(D439:D446)</f>
        <v>18406</v>
      </c>
      <c r="E447" s="610">
        <f>SUM(E439:E446)</f>
        <v>17984</v>
      </c>
    </row>
    <row r="448" spans="1:5" ht="14.25">
      <c r="A448" s="657"/>
      <c r="B448" s="617" t="s">
        <v>1573</v>
      </c>
      <c r="C448" s="598">
        <v>9237</v>
      </c>
      <c r="D448" s="598">
        <v>20803</v>
      </c>
      <c r="E448" s="599">
        <v>14664</v>
      </c>
    </row>
    <row r="449" spans="1:5" ht="14.25">
      <c r="A449" s="657"/>
      <c r="B449" s="617" t="s">
        <v>1574</v>
      </c>
      <c r="C449" s="598"/>
      <c r="D449" s="598">
        <v>0</v>
      </c>
      <c r="E449" s="599">
        <v>0</v>
      </c>
    </row>
    <row r="450" spans="1:5" ht="14.25">
      <c r="A450" s="657"/>
      <c r="B450" s="617" t="s">
        <v>1575</v>
      </c>
      <c r="C450" s="598"/>
      <c r="D450" s="598">
        <v>0</v>
      </c>
      <c r="E450" s="599">
        <v>0</v>
      </c>
    </row>
    <row r="451" spans="1:5" ht="15.75" customHeight="1">
      <c r="A451" s="657"/>
      <c r="B451" s="617" t="s">
        <v>1576</v>
      </c>
      <c r="C451" s="598">
        <v>2494</v>
      </c>
      <c r="D451" s="598">
        <v>5071</v>
      </c>
      <c r="E451" s="599">
        <v>3573</v>
      </c>
    </row>
    <row r="452" spans="1:8" ht="15">
      <c r="A452" s="657" t="s">
        <v>1577</v>
      </c>
      <c r="B452" s="659" t="s">
        <v>1578</v>
      </c>
      <c r="C452" s="609">
        <f>SUM(C448:C451)</f>
        <v>11731</v>
      </c>
      <c r="D452" s="609">
        <f>SUM(D448:D451)</f>
        <v>25874</v>
      </c>
      <c r="E452" s="610">
        <f>SUM(E448:E451)</f>
        <v>18237</v>
      </c>
      <c r="G452" s="604"/>
      <c r="H452" s="604"/>
    </row>
    <row r="453" spans="1:5" ht="25.5">
      <c r="A453" s="657" t="s">
        <v>1579</v>
      </c>
      <c r="B453" s="617" t="s">
        <v>1580</v>
      </c>
      <c r="C453" s="615"/>
      <c r="D453" s="615">
        <v>0</v>
      </c>
      <c r="E453" s="616">
        <v>0</v>
      </c>
    </row>
    <row r="454" spans="1:5" ht="25.5">
      <c r="A454" s="657" t="s">
        <v>1581</v>
      </c>
      <c r="B454" s="617" t="s">
        <v>1582</v>
      </c>
      <c r="C454" s="615"/>
      <c r="D454" s="615">
        <v>0</v>
      </c>
      <c r="E454" s="616">
        <v>0</v>
      </c>
    </row>
    <row r="455" spans="1:5" ht="14.25" hidden="1">
      <c r="A455" s="657"/>
      <c r="B455" s="617" t="s">
        <v>1583</v>
      </c>
      <c r="C455" s="615"/>
      <c r="D455" s="615">
        <v>0</v>
      </c>
      <c r="E455" s="616">
        <v>0</v>
      </c>
    </row>
    <row r="456" spans="1:5" ht="14.25" hidden="1">
      <c r="A456" s="657"/>
      <c r="B456" s="617" t="s">
        <v>1584</v>
      </c>
      <c r="C456" s="615"/>
      <c r="D456" s="615">
        <v>0</v>
      </c>
      <c r="E456" s="616">
        <v>0</v>
      </c>
    </row>
    <row r="457" spans="1:5" ht="25.5" hidden="1">
      <c r="A457" s="657"/>
      <c r="B457" s="617" t="s">
        <v>1585</v>
      </c>
      <c r="C457" s="615"/>
      <c r="D457" s="615">
        <v>0</v>
      </c>
      <c r="E457" s="616">
        <v>0</v>
      </c>
    </row>
    <row r="458" spans="1:5" ht="14.25" hidden="1">
      <c r="A458" s="657"/>
      <c r="B458" s="617" t="s">
        <v>1586</v>
      </c>
      <c r="C458" s="615"/>
      <c r="D458" s="615">
        <v>0</v>
      </c>
      <c r="E458" s="616">
        <v>0</v>
      </c>
    </row>
    <row r="459" spans="1:5" ht="14.25" hidden="1">
      <c r="A459" s="657"/>
      <c r="B459" s="617" t="s">
        <v>1587</v>
      </c>
      <c r="C459" s="615"/>
      <c r="D459" s="615">
        <v>0</v>
      </c>
      <c r="E459" s="616">
        <v>0</v>
      </c>
    </row>
    <row r="460" spans="1:5" ht="14.25" hidden="1">
      <c r="A460" s="657"/>
      <c r="B460" s="617" t="s">
        <v>1588</v>
      </c>
      <c r="C460" s="615"/>
      <c r="D460" s="615">
        <v>0</v>
      </c>
      <c r="E460" s="616">
        <v>0</v>
      </c>
    </row>
    <row r="461" spans="1:5" ht="14.25" hidden="1">
      <c r="A461" s="657"/>
      <c r="B461" s="617" t="s">
        <v>1589</v>
      </c>
      <c r="C461" s="615"/>
      <c r="D461" s="615">
        <v>0</v>
      </c>
      <c r="E461" s="616">
        <v>0</v>
      </c>
    </row>
    <row r="462" spans="1:5" ht="14.25" hidden="1">
      <c r="A462" s="657"/>
      <c r="B462" s="617" t="s">
        <v>1590</v>
      </c>
      <c r="C462" s="615"/>
      <c r="D462" s="615">
        <v>0</v>
      </c>
      <c r="E462" s="616">
        <v>0</v>
      </c>
    </row>
    <row r="463" spans="1:5" ht="25.5" hidden="1">
      <c r="A463" s="657"/>
      <c r="B463" s="617" t="s">
        <v>1591</v>
      </c>
      <c r="C463" s="615"/>
      <c r="D463" s="615">
        <v>0</v>
      </c>
      <c r="E463" s="616">
        <v>0</v>
      </c>
    </row>
    <row r="464" spans="1:5" ht="14.25" hidden="1">
      <c r="A464" s="657"/>
      <c r="B464" s="617" t="s">
        <v>1592</v>
      </c>
      <c r="C464" s="615"/>
      <c r="D464" s="615">
        <v>0</v>
      </c>
      <c r="E464" s="616">
        <v>0</v>
      </c>
    </row>
    <row r="465" spans="1:5" ht="25.5">
      <c r="A465" s="657" t="s">
        <v>1593</v>
      </c>
      <c r="B465" s="617" t="s">
        <v>1594</v>
      </c>
      <c r="C465" s="615"/>
      <c r="D465" s="615">
        <v>0</v>
      </c>
      <c r="E465" s="616">
        <v>0</v>
      </c>
    </row>
    <row r="466" spans="1:5" ht="14.25" hidden="1">
      <c r="A466" s="657"/>
      <c r="B466" s="617" t="s">
        <v>1595</v>
      </c>
      <c r="C466" s="615"/>
      <c r="D466" s="615">
        <v>0</v>
      </c>
      <c r="E466" s="616">
        <v>0</v>
      </c>
    </row>
    <row r="467" spans="1:5" ht="14.25" hidden="1">
      <c r="A467" s="657"/>
      <c r="B467" s="617" t="s">
        <v>1596</v>
      </c>
      <c r="C467" s="615"/>
      <c r="D467" s="615">
        <v>0</v>
      </c>
      <c r="E467" s="616">
        <v>0</v>
      </c>
    </row>
    <row r="468" spans="1:5" ht="25.5" hidden="1">
      <c r="A468" s="657"/>
      <c r="B468" s="617" t="s">
        <v>1597</v>
      </c>
      <c r="C468" s="615"/>
      <c r="D468" s="615">
        <v>0</v>
      </c>
      <c r="E468" s="616">
        <v>0</v>
      </c>
    </row>
    <row r="469" spans="1:5" ht="14.25" hidden="1">
      <c r="A469" s="657"/>
      <c r="B469" s="617" t="s">
        <v>1598</v>
      </c>
      <c r="C469" s="615"/>
      <c r="D469" s="615">
        <v>0</v>
      </c>
      <c r="E469" s="616">
        <v>0</v>
      </c>
    </row>
    <row r="470" spans="1:5" ht="14.25" hidden="1">
      <c r="A470" s="657"/>
      <c r="B470" s="617" t="s">
        <v>1599</v>
      </c>
      <c r="C470" s="615"/>
      <c r="D470" s="615">
        <v>0</v>
      </c>
      <c r="E470" s="616">
        <v>0</v>
      </c>
    </row>
    <row r="471" spans="1:5" ht="14.25" hidden="1">
      <c r="A471" s="657"/>
      <c r="B471" s="617" t="s">
        <v>1600</v>
      </c>
      <c r="C471" s="615"/>
      <c r="D471" s="615">
        <v>0</v>
      </c>
      <c r="E471" s="616">
        <v>0</v>
      </c>
    </row>
    <row r="472" spans="1:5" ht="14.25" hidden="1">
      <c r="A472" s="657"/>
      <c r="B472" s="617" t="s">
        <v>1601</v>
      </c>
      <c r="C472" s="615"/>
      <c r="D472" s="615">
        <v>0</v>
      </c>
      <c r="E472" s="616">
        <v>0</v>
      </c>
    </row>
    <row r="473" spans="1:5" ht="14.25" hidden="1">
      <c r="A473" s="657"/>
      <c r="B473" s="617" t="s">
        <v>1602</v>
      </c>
      <c r="C473" s="615"/>
      <c r="D473" s="615">
        <v>0</v>
      </c>
      <c r="E473" s="616">
        <v>0</v>
      </c>
    </row>
    <row r="474" spans="1:5" ht="25.5" hidden="1">
      <c r="A474" s="657"/>
      <c r="B474" s="617" t="s">
        <v>1603</v>
      </c>
      <c r="C474" s="615"/>
      <c r="D474" s="615">
        <v>0</v>
      </c>
      <c r="E474" s="616">
        <v>0</v>
      </c>
    </row>
    <row r="475" spans="1:5" ht="14.25" hidden="1">
      <c r="A475" s="657"/>
      <c r="B475" s="617" t="s">
        <v>1604</v>
      </c>
      <c r="C475" s="615"/>
      <c r="D475" s="615">
        <v>0</v>
      </c>
      <c r="E475" s="616">
        <v>0</v>
      </c>
    </row>
    <row r="476" spans="1:5" ht="25.5">
      <c r="A476" s="657" t="s">
        <v>1605</v>
      </c>
      <c r="B476" s="617" t="s">
        <v>1606</v>
      </c>
      <c r="C476" s="615"/>
      <c r="D476" s="615">
        <v>0</v>
      </c>
      <c r="E476" s="616">
        <v>0</v>
      </c>
    </row>
    <row r="477" spans="1:5" ht="14.25" hidden="1">
      <c r="A477" s="657"/>
      <c r="B477" s="617" t="s">
        <v>1607</v>
      </c>
      <c r="C477" s="615"/>
      <c r="D477" s="615">
        <v>0</v>
      </c>
      <c r="E477" s="616">
        <v>0</v>
      </c>
    </row>
    <row r="478" spans="1:5" ht="14.25" hidden="1">
      <c r="A478" s="657"/>
      <c r="B478" s="617" t="s">
        <v>1608</v>
      </c>
      <c r="C478" s="615"/>
      <c r="D478" s="615">
        <v>0</v>
      </c>
      <c r="E478" s="616">
        <v>0</v>
      </c>
    </row>
    <row r="479" spans="1:5" ht="25.5" hidden="1">
      <c r="A479" s="657"/>
      <c r="B479" s="617" t="s">
        <v>1609</v>
      </c>
      <c r="C479" s="615"/>
      <c r="D479" s="615">
        <v>0</v>
      </c>
      <c r="E479" s="616">
        <v>0</v>
      </c>
    </row>
    <row r="480" spans="1:5" ht="14.25" hidden="1">
      <c r="A480" s="657"/>
      <c r="B480" s="617" t="s">
        <v>1610</v>
      </c>
      <c r="C480" s="615"/>
      <c r="D480" s="615">
        <v>0</v>
      </c>
      <c r="E480" s="616">
        <v>0</v>
      </c>
    </row>
    <row r="481" spans="1:5" ht="14.25" hidden="1">
      <c r="A481" s="657"/>
      <c r="B481" s="617" t="s">
        <v>1611</v>
      </c>
      <c r="C481" s="615"/>
      <c r="D481" s="615">
        <v>0</v>
      </c>
      <c r="E481" s="616">
        <v>0</v>
      </c>
    </row>
    <row r="482" spans="1:5" ht="14.25" hidden="1">
      <c r="A482" s="657"/>
      <c r="B482" s="617" t="s">
        <v>1612</v>
      </c>
      <c r="C482" s="615"/>
      <c r="D482" s="615">
        <v>0</v>
      </c>
      <c r="E482" s="616">
        <v>0</v>
      </c>
    </row>
    <row r="483" spans="1:5" ht="14.25" hidden="1">
      <c r="A483" s="657"/>
      <c r="B483" s="617" t="s">
        <v>1613</v>
      </c>
      <c r="C483" s="615"/>
      <c r="D483" s="615">
        <v>0</v>
      </c>
      <c r="E483" s="616">
        <v>0</v>
      </c>
    </row>
    <row r="484" spans="1:5" ht="14.25" hidden="1">
      <c r="A484" s="657"/>
      <c r="B484" s="617" t="s">
        <v>1614</v>
      </c>
      <c r="C484" s="615"/>
      <c r="D484" s="615">
        <v>0</v>
      </c>
      <c r="E484" s="616">
        <v>0</v>
      </c>
    </row>
    <row r="485" spans="1:5" ht="25.5" hidden="1">
      <c r="A485" s="657"/>
      <c r="B485" s="617" t="s">
        <v>1615</v>
      </c>
      <c r="C485" s="615"/>
      <c r="D485" s="615">
        <v>0</v>
      </c>
      <c r="E485" s="616">
        <v>0</v>
      </c>
    </row>
    <row r="486" spans="1:5" ht="14.25" hidden="1">
      <c r="A486" s="661"/>
      <c r="B486" s="617" t="s">
        <v>1616</v>
      </c>
      <c r="C486" s="615"/>
      <c r="D486" s="615">
        <v>0</v>
      </c>
      <c r="E486" s="616">
        <v>0</v>
      </c>
    </row>
    <row r="487" spans="1:5" ht="25.5">
      <c r="A487" s="657" t="s">
        <v>1617</v>
      </c>
      <c r="B487" s="617" t="s">
        <v>1618</v>
      </c>
      <c r="C487" s="615"/>
      <c r="D487" s="615">
        <v>0</v>
      </c>
      <c r="E487" s="616">
        <v>0</v>
      </c>
    </row>
    <row r="488" spans="1:5" ht="25.5" hidden="1">
      <c r="A488" s="657"/>
      <c r="B488" s="617" t="s">
        <v>1619</v>
      </c>
      <c r="C488" s="615"/>
      <c r="D488" s="615">
        <v>0</v>
      </c>
      <c r="E488" s="616">
        <v>0</v>
      </c>
    </row>
    <row r="489" spans="1:5" ht="24">
      <c r="A489" s="657" t="s">
        <v>1620</v>
      </c>
      <c r="B489" s="600" t="s">
        <v>1621</v>
      </c>
      <c r="C489" s="615">
        <v>600</v>
      </c>
      <c r="D489" s="615">
        <v>600</v>
      </c>
      <c r="E489" s="616">
        <v>0</v>
      </c>
    </row>
    <row r="490" spans="1:5" ht="14.25" hidden="1">
      <c r="A490" s="657"/>
      <c r="B490" s="617" t="s">
        <v>1622</v>
      </c>
      <c r="C490" s="615"/>
      <c r="D490" s="615">
        <v>0</v>
      </c>
      <c r="E490" s="616">
        <v>0</v>
      </c>
    </row>
    <row r="491" spans="1:5" ht="14.25" hidden="1">
      <c r="A491" s="657"/>
      <c r="B491" s="617" t="s">
        <v>1623</v>
      </c>
      <c r="C491" s="615"/>
      <c r="D491" s="615">
        <v>0</v>
      </c>
      <c r="E491" s="616">
        <v>0</v>
      </c>
    </row>
    <row r="492" spans="1:5" ht="14.25" hidden="1">
      <c r="A492" s="657"/>
      <c r="B492" s="617" t="s">
        <v>1624</v>
      </c>
      <c r="C492" s="615"/>
      <c r="D492" s="615">
        <v>0</v>
      </c>
      <c r="E492" s="616">
        <v>0</v>
      </c>
    </row>
    <row r="493" spans="1:5" ht="14.25" hidden="1">
      <c r="A493" s="657"/>
      <c r="B493" s="617" t="s">
        <v>1625</v>
      </c>
      <c r="C493" s="615"/>
      <c r="D493" s="615">
        <v>0</v>
      </c>
      <c r="E493" s="616">
        <v>0</v>
      </c>
    </row>
    <row r="494" spans="1:5" ht="14.25" hidden="1">
      <c r="A494" s="657"/>
      <c r="B494" s="617" t="s">
        <v>1626</v>
      </c>
      <c r="C494" s="615"/>
      <c r="D494" s="615">
        <v>0</v>
      </c>
      <c r="E494" s="616">
        <v>0</v>
      </c>
    </row>
    <row r="495" spans="1:5" ht="14.25" hidden="1">
      <c r="A495" s="657"/>
      <c r="B495" s="617" t="s">
        <v>1627</v>
      </c>
      <c r="C495" s="615"/>
      <c r="D495" s="615">
        <v>0</v>
      </c>
      <c r="E495" s="616">
        <v>0</v>
      </c>
    </row>
    <row r="496" spans="1:5" ht="25.5" hidden="1">
      <c r="A496" s="657"/>
      <c r="B496" s="617" t="s">
        <v>1628</v>
      </c>
      <c r="C496" s="615"/>
      <c r="D496" s="615">
        <v>0</v>
      </c>
      <c r="E496" s="616">
        <v>0</v>
      </c>
    </row>
    <row r="497" spans="1:5" ht="14.25" hidden="1">
      <c r="A497" s="657"/>
      <c r="B497" s="617" t="s">
        <v>1629</v>
      </c>
      <c r="C497" s="615"/>
      <c r="D497" s="615">
        <v>0</v>
      </c>
      <c r="E497" s="616">
        <v>0</v>
      </c>
    </row>
    <row r="498" spans="1:5" ht="14.25" hidden="1">
      <c r="A498" s="657"/>
      <c r="B498" s="617" t="s">
        <v>1630</v>
      </c>
      <c r="C498" s="615"/>
      <c r="D498" s="615">
        <v>0</v>
      </c>
      <c r="E498" s="616">
        <v>0</v>
      </c>
    </row>
    <row r="499" spans="1:5" ht="14.25" hidden="1">
      <c r="A499" s="657"/>
      <c r="B499" s="617" t="s">
        <v>1631</v>
      </c>
      <c r="C499" s="615"/>
      <c r="D499" s="615">
        <v>0</v>
      </c>
      <c r="E499" s="616">
        <v>0</v>
      </c>
    </row>
    <row r="500" spans="1:5" ht="14.25" hidden="1">
      <c r="A500" s="657"/>
      <c r="B500" s="617" t="s">
        <v>1632</v>
      </c>
      <c r="C500" s="615"/>
      <c r="D500" s="615">
        <v>0</v>
      </c>
      <c r="E500" s="616">
        <v>0</v>
      </c>
    </row>
    <row r="501" spans="1:5" ht="14.25">
      <c r="A501" s="657" t="s">
        <v>1633</v>
      </c>
      <c r="B501" s="617" t="s">
        <v>1634</v>
      </c>
      <c r="C501" s="615"/>
      <c r="D501" s="615">
        <v>0</v>
      </c>
      <c r="E501" s="616">
        <v>0</v>
      </c>
    </row>
    <row r="502" spans="1:5" ht="16.5" customHeight="1">
      <c r="A502" s="657" t="s">
        <v>1635</v>
      </c>
      <c r="B502" s="617" t="s">
        <v>1636</v>
      </c>
      <c r="C502" s="598">
        <v>2500</v>
      </c>
      <c r="D502" s="598">
        <v>593</v>
      </c>
      <c r="E502" s="599">
        <v>593</v>
      </c>
    </row>
    <row r="503" spans="1:5" ht="14.25" hidden="1">
      <c r="A503" s="657"/>
      <c r="B503" s="617" t="s">
        <v>1637</v>
      </c>
      <c r="C503" s="615"/>
      <c r="D503" s="615">
        <v>0</v>
      </c>
      <c r="E503" s="616">
        <v>0</v>
      </c>
    </row>
    <row r="504" spans="1:5" ht="14.25" hidden="1">
      <c r="A504" s="657"/>
      <c r="B504" s="617" t="s">
        <v>1638</v>
      </c>
      <c r="C504" s="615"/>
      <c r="D504" s="615">
        <v>0</v>
      </c>
      <c r="E504" s="616">
        <v>0</v>
      </c>
    </row>
    <row r="505" spans="1:5" ht="14.25" hidden="1">
      <c r="A505" s="657"/>
      <c r="B505" s="617" t="s">
        <v>1639</v>
      </c>
      <c r="C505" s="615"/>
      <c r="D505" s="615">
        <v>0</v>
      </c>
      <c r="E505" s="616">
        <v>0</v>
      </c>
    </row>
    <row r="506" spans="1:5" ht="14.25" hidden="1">
      <c r="A506" s="657"/>
      <c r="B506" s="617" t="s">
        <v>1640</v>
      </c>
      <c r="C506" s="615"/>
      <c r="D506" s="615">
        <v>0</v>
      </c>
      <c r="E506" s="616">
        <v>0</v>
      </c>
    </row>
    <row r="507" spans="1:5" ht="14.25" hidden="1">
      <c r="A507" s="657"/>
      <c r="B507" s="617" t="s">
        <v>1641</v>
      </c>
      <c r="C507" s="615"/>
      <c r="D507" s="615">
        <v>0</v>
      </c>
      <c r="E507" s="616">
        <v>0</v>
      </c>
    </row>
    <row r="508" spans="1:5" ht="14.25" hidden="1">
      <c r="A508" s="657"/>
      <c r="B508" s="617" t="s">
        <v>1642</v>
      </c>
      <c r="C508" s="615"/>
      <c r="D508" s="615">
        <v>0</v>
      </c>
      <c r="E508" s="616">
        <v>0</v>
      </c>
    </row>
    <row r="509" spans="1:5" ht="25.5" hidden="1">
      <c r="A509" s="657"/>
      <c r="B509" s="617" t="s">
        <v>1643</v>
      </c>
      <c r="C509" s="615"/>
      <c r="D509" s="615">
        <v>0</v>
      </c>
      <c r="E509" s="616">
        <v>0</v>
      </c>
    </row>
    <row r="510" spans="1:5" ht="14.25">
      <c r="A510" s="657"/>
      <c r="B510" s="617" t="s">
        <v>1644</v>
      </c>
      <c r="C510" s="598"/>
      <c r="D510" s="598">
        <v>0</v>
      </c>
      <c r="E510" s="599">
        <v>593</v>
      </c>
    </row>
    <row r="511" spans="1:5" ht="14.25" hidden="1">
      <c r="A511" s="657"/>
      <c r="B511" s="617" t="s">
        <v>1645</v>
      </c>
      <c r="C511" s="615"/>
      <c r="D511" s="615">
        <v>0</v>
      </c>
      <c r="E511" s="616">
        <v>0</v>
      </c>
    </row>
    <row r="512" spans="1:5" ht="14.25" hidden="1">
      <c r="A512" s="657"/>
      <c r="B512" s="617" t="s">
        <v>1646</v>
      </c>
      <c r="C512" s="615"/>
      <c r="D512" s="615">
        <v>0</v>
      </c>
      <c r="E512" s="616">
        <v>0</v>
      </c>
    </row>
    <row r="513" spans="1:5" ht="14.25" hidden="1">
      <c r="A513" s="657"/>
      <c r="B513" s="617" t="s">
        <v>1647</v>
      </c>
      <c r="C513" s="615"/>
      <c r="D513" s="615">
        <v>0</v>
      </c>
      <c r="E513" s="616">
        <v>0</v>
      </c>
    </row>
    <row r="514" spans="1:5" ht="15">
      <c r="A514" s="657" t="s">
        <v>1648</v>
      </c>
      <c r="B514" s="659" t="s">
        <v>1649</v>
      </c>
      <c r="C514" s="609">
        <f>C453+C454+C465+C476+C487+C489+C501+C502</f>
        <v>3100</v>
      </c>
      <c r="D514" s="609">
        <f>D453+D454+D465+D476+D487+D489+D501+D502</f>
        <v>1193</v>
      </c>
      <c r="E514" s="610">
        <f>E453+E454+E465+E476+E487+E489+E501+E502</f>
        <v>593</v>
      </c>
    </row>
    <row r="515" spans="1:5" ht="15">
      <c r="A515" s="658" t="s">
        <v>480</v>
      </c>
      <c r="B515" s="659" t="s">
        <v>1650</v>
      </c>
      <c r="C515" s="609">
        <f>C447+C452+C514</f>
        <v>30873</v>
      </c>
      <c r="D515" s="609">
        <f>D447+D452+D514</f>
        <v>45473</v>
      </c>
      <c r="E515" s="610">
        <f>E447+E452+E514</f>
        <v>36814</v>
      </c>
    </row>
    <row r="516" spans="1:5" ht="16.5" customHeight="1" thickBot="1">
      <c r="A516" s="662" t="s">
        <v>1917</v>
      </c>
      <c r="B516" s="663" t="s">
        <v>1562</v>
      </c>
      <c r="C516" s="664">
        <f>C437</f>
        <v>57292</v>
      </c>
      <c r="D516" s="664">
        <f>D437</f>
        <v>61620</v>
      </c>
      <c r="E516" s="665">
        <f>E437</f>
        <v>0</v>
      </c>
    </row>
    <row r="517" spans="1:8" ht="25.5" customHeight="1" thickBot="1">
      <c r="A517" s="666">
        <v>4</v>
      </c>
      <c r="B517" s="667" t="s">
        <v>1651</v>
      </c>
      <c r="C517" s="668">
        <f>C264+C265+C304+C371+C438+C447+C452+C514</f>
        <v>392693</v>
      </c>
      <c r="D517" s="668">
        <f>D264+D265+D304+D371+D438+D447+D452+D514</f>
        <v>442567</v>
      </c>
      <c r="E517" s="669">
        <f>E264+E265+E304+E371+E438+E447+E452+E514</f>
        <v>356858</v>
      </c>
      <c r="G517" s="604"/>
      <c r="H517" s="604"/>
    </row>
    <row r="518" spans="1:8" s="584" customFormat="1" ht="25.5" customHeight="1" hidden="1">
      <c r="A518" s="670"/>
      <c r="B518" s="671"/>
      <c r="C518" s="672"/>
      <c r="D518" s="672"/>
      <c r="E518" s="672"/>
      <c r="G518" s="673"/>
      <c r="H518" s="673"/>
    </row>
    <row r="519" spans="1:7" ht="39.75" customHeight="1" thickBot="1">
      <c r="A519" s="583"/>
      <c r="B519" s="776" t="s">
        <v>1652</v>
      </c>
      <c r="C519" s="777"/>
      <c r="D519" s="777"/>
      <c r="E519" s="777"/>
      <c r="F519" s="582"/>
      <c r="G519" s="629"/>
    </row>
    <row r="520" spans="1:16" s="584" customFormat="1" ht="26.25" thickBot="1">
      <c r="A520" s="585"/>
      <c r="B520" s="586" t="s">
        <v>617</v>
      </c>
      <c r="C520" s="587" t="s">
        <v>436</v>
      </c>
      <c r="D520" s="587" t="s">
        <v>462</v>
      </c>
      <c r="E520" s="588" t="s">
        <v>463</v>
      </c>
      <c r="G520" s="589"/>
      <c r="H520" s="589"/>
      <c r="I520" s="589"/>
      <c r="J520" s="589"/>
      <c r="K520" s="589"/>
      <c r="L520" s="589" t="s">
        <v>464</v>
      </c>
      <c r="M520" s="589" t="s">
        <v>462</v>
      </c>
      <c r="N520" s="589" t="s">
        <v>465</v>
      </c>
      <c r="O520" s="589" t="s">
        <v>466</v>
      </c>
      <c r="P520" s="589" t="s">
        <v>463</v>
      </c>
    </row>
    <row r="521" spans="1:6" ht="14.25">
      <c r="A521" s="655" t="s">
        <v>1994</v>
      </c>
      <c r="B521" s="656" t="s">
        <v>1653</v>
      </c>
      <c r="C521" s="592"/>
      <c r="D521" s="592">
        <v>0</v>
      </c>
      <c r="E521" s="674">
        <v>0</v>
      </c>
      <c r="F521" s="582"/>
    </row>
    <row r="522" spans="1:5" ht="14.25" hidden="1">
      <c r="A522" s="657"/>
      <c r="B522" s="617" t="s">
        <v>1654</v>
      </c>
      <c r="C522" s="675"/>
      <c r="D522" s="675">
        <v>0</v>
      </c>
      <c r="E522" s="676">
        <v>0</v>
      </c>
    </row>
    <row r="523" spans="1:5" ht="14.25" hidden="1">
      <c r="A523" s="657"/>
      <c r="B523" s="617" t="s">
        <v>1655</v>
      </c>
      <c r="C523" s="675"/>
      <c r="D523" s="675">
        <v>0</v>
      </c>
      <c r="E523" s="676">
        <v>0</v>
      </c>
    </row>
    <row r="524" spans="1:5" ht="12" customHeight="1">
      <c r="A524" s="657" t="s">
        <v>1996</v>
      </c>
      <c r="B524" s="611" t="s">
        <v>1656</v>
      </c>
      <c r="C524" s="675"/>
      <c r="D524" s="675">
        <v>0</v>
      </c>
      <c r="E524" s="676">
        <v>0</v>
      </c>
    </row>
    <row r="525" spans="1:5" ht="16.5" customHeight="1">
      <c r="A525" s="657" t="s">
        <v>2000</v>
      </c>
      <c r="B525" s="617" t="s">
        <v>1657</v>
      </c>
      <c r="C525" s="675"/>
      <c r="D525" s="675">
        <v>0</v>
      </c>
      <c r="E525" s="676">
        <v>0</v>
      </c>
    </row>
    <row r="526" spans="1:5" ht="14.25" hidden="1">
      <c r="A526" s="657"/>
      <c r="B526" s="617" t="s">
        <v>1658</v>
      </c>
      <c r="C526" s="675"/>
      <c r="D526" s="675">
        <v>0</v>
      </c>
      <c r="E526" s="676">
        <v>0</v>
      </c>
    </row>
    <row r="527" spans="1:5" ht="14.25" hidden="1">
      <c r="A527" s="657"/>
      <c r="B527" s="617" t="s">
        <v>1659</v>
      </c>
      <c r="C527" s="675"/>
      <c r="D527" s="675">
        <v>0</v>
      </c>
      <c r="E527" s="676">
        <v>0</v>
      </c>
    </row>
    <row r="528" spans="1:5" ht="14.25">
      <c r="A528" s="658" t="s">
        <v>2034</v>
      </c>
      <c r="B528" s="659" t="s">
        <v>1660</v>
      </c>
      <c r="C528" s="677"/>
      <c r="D528" s="677">
        <f>D521+D524+D525</f>
        <v>0</v>
      </c>
      <c r="E528" s="678">
        <f>E521+E524+E525</f>
        <v>0</v>
      </c>
    </row>
    <row r="529" spans="1:5" ht="15" customHeight="1">
      <c r="A529" s="657" t="s">
        <v>1994</v>
      </c>
      <c r="B529" s="617" t="s">
        <v>1661</v>
      </c>
      <c r="C529" s="675"/>
      <c r="D529" s="675">
        <v>0</v>
      </c>
      <c r="E529" s="676">
        <v>0</v>
      </c>
    </row>
    <row r="530" spans="1:5" ht="14.25" hidden="1">
      <c r="A530" s="657"/>
      <c r="B530" s="617" t="s">
        <v>1662</v>
      </c>
      <c r="C530" s="675"/>
      <c r="D530" s="675">
        <v>0</v>
      </c>
      <c r="E530" s="676">
        <v>0</v>
      </c>
    </row>
    <row r="531" spans="1:5" ht="14.25" hidden="1">
      <c r="A531" s="657"/>
      <c r="B531" s="617" t="s">
        <v>1663</v>
      </c>
      <c r="C531" s="675"/>
      <c r="D531" s="675">
        <v>0</v>
      </c>
      <c r="E531" s="676">
        <v>0</v>
      </c>
    </row>
    <row r="532" spans="1:5" ht="15" customHeight="1">
      <c r="A532" s="657" t="s">
        <v>1996</v>
      </c>
      <c r="B532" s="600" t="s">
        <v>1664</v>
      </c>
      <c r="C532" s="675"/>
      <c r="D532" s="675">
        <v>0</v>
      </c>
      <c r="E532" s="676">
        <v>0</v>
      </c>
    </row>
    <row r="533" spans="1:5" ht="14.25" hidden="1">
      <c r="A533" s="657"/>
      <c r="B533" s="617" t="s">
        <v>1665</v>
      </c>
      <c r="C533" s="675"/>
      <c r="D533" s="675">
        <v>0</v>
      </c>
      <c r="E533" s="676">
        <v>0</v>
      </c>
    </row>
    <row r="534" spans="1:5" ht="14.25" hidden="1">
      <c r="A534" s="657"/>
      <c r="B534" s="617" t="s">
        <v>1666</v>
      </c>
      <c r="C534" s="675"/>
      <c r="D534" s="675">
        <v>0</v>
      </c>
      <c r="E534" s="676">
        <v>0</v>
      </c>
    </row>
    <row r="535" spans="1:5" ht="14.25" hidden="1">
      <c r="A535" s="657"/>
      <c r="B535" s="617" t="s">
        <v>1667</v>
      </c>
      <c r="C535" s="675"/>
      <c r="D535" s="675">
        <v>0</v>
      </c>
      <c r="E535" s="676">
        <v>0</v>
      </c>
    </row>
    <row r="536" spans="1:5" ht="14.25">
      <c r="A536" s="657" t="s">
        <v>2000</v>
      </c>
      <c r="B536" s="617" t="s">
        <v>1668</v>
      </c>
      <c r="C536" s="675"/>
      <c r="D536" s="675">
        <v>0</v>
      </c>
      <c r="E536" s="676">
        <v>0</v>
      </c>
    </row>
    <row r="537" spans="1:5" ht="14.25">
      <c r="A537" s="657" t="s">
        <v>2002</v>
      </c>
      <c r="B537" s="617" t="s">
        <v>1669</v>
      </c>
      <c r="C537" s="675"/>
      <c r="D537" s="675">
        <v>0</v>
      </c>
      <c r="E537" s="676">
        <v>0</v>
      </c>
    </row>
    <row r="538" spans="1:5" ht="14.25" hidden="1">
      <c r="A538" s="657"/>
      <c r="B538" s="617" t="s">
        <v>1670</v>
      </c>
      <c r="C538" s="675"/>
      <c r="D538" s="675">
        <v>0</v>
      </c>
      <c r="E538" s="676">
        <v>0</v>
      </c>
    </row>
    <row r="539" spans="1:5" ht="14.25">
      <c r="A539" s="658" t="s">
        <v>1671</v>
      </c>
      <c r="B539" s="659" t="s">
        <v>1672</v>
      </c>
      <c r="C539" s="677"/>
      <c r="D539" s="677">
        <f>D529+D532+D536+D537</f>
        <v>0</v>
      </c>
      <c r="E539" s="678">
        <f>E529+E532+E536+E537</f>
        <v>0</v>
      </c>
    </row>
    <row r="540" spans="1:5" ht="14.25">
      <c r="A540" s="657" t="s">
        <v>2036</v>
      </c>
      <c r="B540" s="617" t="s">
        <v>1673</v>
      </c>
      <c r="C540" s="675"/>
      <c r="D540" s="675">
        <v>0</v>
      </c>
      <c r="E540" s="676">
        <v>0</v>
      </c>
    </row>
    <row r="541" spans="1:5" ht="14.25">
      <c r="A541" s="657" t="s">
        <v>2039</v>
      </c>
      <c r="B541" s="617" t="s">
        <v>1674</v>
      </c>
      <c r="C541" s="675"/>
      <c r="D541" s="675">
        <v>0</v>
      </c>
      <c r="E541" s="676">
        <v>0</v>
      </c>
    </row>
    <row r="542" spans="1:5" ht="14.25">
      <c r="A542" s="657" t="s">
        <v>2042</v>
      </c>
      <c r="B542" s="617" t="s">
        <v>1675</v>
      </c>
      <c r="C542" s="675">
        <v>210922</v>
      </c>
      <c r="D542" s="675">
        <v>198838</v>
      </c>
      <c r="E542" s="676">
        <v>198838</v>
      </c>
    </row>
    <row r="543" spans="1:5" ht="14.25">
      <c r="A543" s="657" t="s">
        <v>2044</v>
      </c>
      <c r="B543" s="617" t="s">
        <v>1676</v>
      </c>
      <c r="C543" s="675"/>
      <c r="D543" s="675">
        <v>334000</v>
      </c>
      <c r="E543" s="676">
        <v>334000</v>
      </c>
    </row>
    <row r="544" spans="1:5" ht="14.25">
      <c r="A544" s="657" t="s">
        <v>2047</v>
      </c>
      <c r="B544" s="617" t="s">
        <v>1677</v>
      </c>
      <c r="C544" s="675"/>
      <c r="D544" s="675">
        <v>0</v>
      </c>
      <c r="E544" s="676">
        <v>0</v>
      </c>
    </row>
    <row r="545" spans="1:5" ht="14.25">
      <c r="A545" s="657" t="s">
        <v>1678</v>
      </c>
      <c r="B545" s="617" t="s">
        <v>1679</v>
      </c>
      <c r="C545" s="675"/>
      <c r="D545" s="675">
        <v>0</v>
      </c>
      <c r="E545" s="676">
        <v>0</v>
      </c>
    </row>
    <row r="546" spans="1:5" ht="14.25">
      <c r="A546" s="658" t="s">
        <v>1680</v>
      </c>
      <c r="B546" s="659" t="s">
        <v>1681</v>
      </c>
      <c r="C546" s="677">
        <f>SUM(C540:C545)</f>
        <v>210922</v>
      </c>
      <c r="D546" s="677">
        <f>SUM(D540:D545)</f>
        <v>532838</v>
      </c>
      <c r="E546" s="678">
        <f>SUM(E540:E545)</f>
        <v>532838</v>
      </c>
    </row>
    <row r="547" spans="1:5" ht="14.25">
      <c r="A547" s="657" t="s">
        <v>1682</v>
      </c>
      <c r="B547" s="617" t="s">
        <v>1683</v>
      </c>
      <c r="C547" s="675"/>
      <c r="D547" s="675">
        <v>0</v>
      </c>
      <c r="E547" s="676">
        <v>0</v>
      </c>
    </row>
    <row r="548" spans="1:5" ht="14.25">
      <c r="A548" s="657" t="s">
        <v>1684</v>
      </c>
      <c r="B548" s="617" t="s">
        <v>1685</v>
      </c>
      <c r="C548" s="675"/>
      <c r="D548" s="675">
        <v>0</v>
      </c>
      <c r="E548" s="676">
        <v>0</v>
      </c>
    </row>
    <row r="549" spans="1:5" ht="14.25">
      <c r="A549" s="657" t="s">
        <v>1686</v>
      </c>
      <c r="B549" s="617" t="s">
        <v>1687</v>
      </c>
      <c r="C549" s="675"/>
      <c r="D549" s="675">
        <v>0</v>
      </c>
      <c r="E549" s="676">
        <v>0</v>
      </c>
    </row>
    <row r="550" spans="1:5" ht="14.25" hidden="1">
      <c r="A550" s="657" t="s">
        <v>1688</v>
      </c>
      <c r="B550" s="617" t="s">
        <v>1689</v>
      </c>
      <c r="C550" s="675"/>
      <c r="D550" s="675">
        <v>0</v>
      </c>
      <c r="E550" s="676">
        <v>0</v>
      </c>
    </row>
    <row r="551" spans="1:5" ht="14.25" hidden="1">
      <c r="A551" s="657" t="s">
        <v>1690</v>
      </c>
      <c r="B551" s="617" t="s">
        <v>1691</v>
      </c>
      <c r="C551" s="675"/>
      <c r="D551" s="675">
        <v>0</v>
      </c>
      <c r="E551" s="676">
        <v>0</v>
      </c>
    </row>
    <row r="552" spans="1:5" ht="14.25" hidden="1">
      <c r="A552" s="657"/>
      <c r="B552" s="617" t="s">
        <v>1692</v>
      </c>
      <c r="C552" s="675"/>
      <c r="D552" s="675">
        <v>0</v>
      </c>
      <c r="E552" s="676">
        <v>0</v>
      </c>
    </row>
    <row r="553" spans="1:5" ht="14.25" hidden="1">
      <c r="A553" s="657"/>
      <c r="B553" s="617" t="s">
        <v>1693</v>
      </c>
      <c r="C553" s="675"/>
      <c r="D553" s="675">
        <v>0</v>
      </c>
      <c r="E553" s="676">
        <v>0</v>
      </c>
    </row>
    <row r="554" spans="1:5" ht="14.25" hidden="1">
      <c r="A554" s="657"/>
      <c r="B554" s="617" t="s">
        <v>1694</v>
      </c>
      <c r="C554" s="675"/>
      <c r="D554" s="675">
        <v>0</v>
      </c>
      <c r="E554" s="676">
        <v>0</v>
      </c>
    </row>
    <row r="555" spans="1:5" ht="14.25" hidden="1">
      <c r="A555" s="657"/>
      <c r="B555" s="617" t="s">
        <v>1695</v>
      </c>
      <c r="C555" s="675"/>
      <c r="D555" s="675">
        <v>0</v>
      </c>
      <c r="E555" s="676">
        <v>0</v>
      </c>
    </row>
    <row r="556" spans="1:5" ht="14.25">
      <c r="A556" s="658" t="s">
        <v>1195</v>
      </c>
      <c r="B556" s="659" t="s">
        <v>1696</v>
      </c>
      <c r="C556" s="677"/>
      <c r="D556" s="677">
        <f>SUM(D547:D555)</f>
        <v>0</v>
      </c>
      <c r="E556" s="678">
        <f>E547+E548+E549+E550+E551</f>
        <v>0</v>
      </c>
    </row>
    <row r="557" spans="1:5" ht="14.25">
      <c r="A557" s="658" t="s">
        <v>1196</v>
      </c>
      <c r="B557" s="617" t="s">
        <v>1697</v>
      </c>
      <c r="C557" s="675"/>
      <c r="D557" s="675">
        <v>0</v>
      </c>
      <c r="E557" s="676">
        <v>0</v>
      </c>
    </row>
    <row r="558" spans="1:8" ht="31.5" customHeight="1" thickBot="1">
      <c r="A558" s="662" t="s">
        <v>1229</v>
      </c>
      <c r="B558" s="663" t="s">
        <v>1698</v>
      </c>
      <c r="C558" s="679">
        <f>C528+C539+C546+C556+C557</f>
        <v>210922</v>
      </c>
      <c r="D558" s="679">
        <f>D528+D539+D546+D556+D557</f>
        <v>532838</v>
      </c>
      <c r="E558" s="680">
        <f>E528+E539+E546+E556+E557</f>
        <v>532838</v>
      </c>
      <c r="G558" s="545"/>
      <c r="H558" s="545"/>
    </row>
    <row r="559" spans="1:5" ht="33.75" customHeight="1" thickBot="1">
      <c r="A559" s="666" t="s">
        <v>254</v>
      </c>
      <c r="B559" s="667" t="s">
        <v>1699</v>
      </c>
      <c r="C559" s="681">
        <f>C558+C517</f>
        <v>603615</v>
      </c>
      <c r="D559" s="681">
        <f>D558+D517</f>
        <v>975405</v>
      </c>
      <c r="E559" s="682">
        <f>E558+E517</f>
        <v>889696</v>
      </c>
    </row>
    <row r="560" spans="1:3" ht="14.25" hidden="1">
      <c r="A560" s="683"/>
      <c r="C560" s="653"/>
    </row>
    <row r="561" spans="1:5" ht="14.25">
      <c r="A561" s="730" t="s">
        <v>256</v>
      </c>
      <c r="B561" s="731" t="s">
        <v>2159</v>
      </c>
      <c r="C561" s="732"/>
      <c r="D561" s="733"/>
      <c r="E561" s="733">
        <v>198838</v>
      </c>
    </row>
    <row r="562" spans="1:5" ht="15" thickBot="1">
      <c r="A562" s="734"/>
      <c r="B562" s="735" t="s">
        <v>2160</v>
      </c>
      <c r="C562" s="736"/>
      <c r="D562" s="737"/>
      <c r="E562" s="736">
        <f>E559-E561</f>
        <v>690858</v>
      </c>
    </row>
    <row r="563" spans="1:3" ht="15" thickTop="1">
      <c r="A563" s="683"/>
      <c r="C563" s="653"/>
    </row>
    <row r="564" spans="1:5" ht="15">
      <c r="A564" s="683"/>
      <c r="C564" s="653"/>
      <c r="D564" s="684"/>
      <c r="E564" s="684"/>
    </row>
    <row r="565" spans="1:5" ht="15">
      <c r="A565" s="683"/>
      <c r="C565" s="653"/>
      <c r="D565" s="684"/>
      <c r="E565" s="684"/>
    </row>
    <row r="566" spans="1:5" ht="15">
      <c r="A566" s="683"/>
      <c r="C566" s="653"/>
      <c r="D566" s="684"/>
      <c r="E566" s="684"/>
    </row>
    <row r="567" ht="14.25">
      <c r="C567" s="653"/>
    </row>
    <row r="568" ht="14.25">
      <c r="C568" s="653"/>
    </row>
    <row r="569" ht="14.25">
      <c r="C569" s="653"/>
    </row>
    <row r="570" ht="14.25">
      <c r="C570" s="653"/>
    </row>
    <row r="571" ht="14.25">
      <c r="C571" s="653"/>
    </row>
    <row r="572" ht="14.25">
      <c r="C572" s="653"/>
    </row>
    <row r="573" ht="14.25">
      <c r="C573" s="653"/>
    </row>
    <row r="574" ht="14.25">
      <c r="C574" s="653"/>
    </row>
    <row r="575" ht="14.25">
      <c r="C575" s="653"/>
    </row>
    <row r="576" ht="14.25">
      <c r="C576" s="653"/>
    </row>
    <row r="577" ht="14.25">
      <c r="C577" s="653"/>
    </row>
    <row r="578" ht="14.25">
      <c r="C578" s="653"/>
    </row>
    <row r="579" ht="14.25">
      <c r="C579" s="653"/>
    </row>
    <row r="580" ht="14.25">
      <c r="C580" s="653"/>
    </row>
    <row r="581" ht="14.25">
      <c r="C581" s="653"/>
    </row>
    <row r="582" ht="14.25">
      <c r="C582" s="653"/>
    </row>
    <row r="583" ht="14.25">
      <c r="C583" s="653"/>
    </row>
    <row r="584" ht="14.25">
      <c r="C584" s="653"/>
    </row>
    <row r="585" ht="14.25">
      <c r="C585" s="653"/>
    </row>
    <row r="586" ht="14.25">
      <c r="C586" s="653"/>
    </row>
    <row r="587" ht="14.25">
      <c r="C587" s="653"/>
    </row>
    <row r="588" ht="14.25">
      <c r="C588" s="653"/>
    </row>
    <row r="589" ht="14.25">
      <c r="C589" s="653"/>
    </row>
    <row r="590" ht="14.25">
      <c r="C590" s="653"/>
    </row>
    <row r="591" ht="14.25">
      <c r="C591" s="653"/>
    </row>
    <row r="592" ht="14.25">
      <c r="C592" s="653"/>
    </row>
    <row r="593" ht="14.25">
      <c r="C593" s="653"/>
    </row>
    <row r="594" ht="14.25">
      <c r="C594" s="653"/>
    </row>
    <row r="595" ht="14.25">
      <c r="C595" s="653"/>
    </row>
    <row r="596" ht="14.25">
      <c r="C596" s="653"/>
    </row>
    <row r="597" ht="14.25">
      <c r="C597" s="653"/>
    </row>
    <row r="598" ht="14.25">
      <c r="C598" s="653"/>
    </row>
    <row r="599" ht="14.25">
      <c r="C599" s="653"/>
    </row>
    <row r="600" ht="14.25">
      <c r="C600" s="653"/>
    </row>
    <row r="601" ht="14.25">
      <c r="C601" s="653"/>
    </row>
    <row r="602" ht="14.25">
      <c r="C602" s="653"/>
    </row>
    <row r="603" ht="14.25">
      <c r="C603" s="653"/>
    </row>
    <row r="604" ht="14.25">
      <c r="C604" s="653"/>
    </row>
    <row r="605" ht="14.25">
      <c r="C605" s="653"/>
    </row>
    <row r="606" ht="14.25">
      <c r="C606" s="653"/>
    </row>
    <row r="607" ht="14.25">
      <c r="C607" s="653"/>
    </row>
    <row r="608" ht="14.25">
      <c r="C608" s="653"/>
    </row>
    <row r="609" ht="14.25">
      <c r="C609" s="653"/>
    </row>
    <row r="610" ht="14.25">
      <c r="C610" s="653"/>
    </row>
    <row r="611" ht="14.25">
      <c r="C611" s="653"/>
    </row>
    <row r="612" ht="14.25">
      <c r="C612" s="653"/>
    </row>
    <row r="613" ht="14.25">
      <c r="C613" s="653"/>
    </row>
    <row r="614" ht="14.25">
      <c r="C614" s="653"/>
    </row>
    <row r="615" ht="14.25">
      <c r="C615" s="653"/>
    </row>
    <row r="616" ht="14.25">
      <c r="C616" s="653"/>
    </row>
    <row r="617" ht="14.25">
      <c r="C617" s="653"/>
    </row>
    <row r="618" ht="14.25">
      <c r="C618" s="653"/>
    </row>
    <row r="619" ht="14.25">
      <c r="C619" s="653"/>
    </row>
  </sheetData>
  <sheetProtection/>
  <mergeCells count="6">
    <mergeCell ref="B519:E519"/>
    <mergeCell ref="A2:E3"/>
    <mergeCell ref="B4:E4"/>
    <mergeCell ref="I207:K207"/>
    <mergeCell ref="B208:E208"/>
    <mergeCell ref="B242:E242"/>
  </mergeCells>
  <printOptions/>
  <pageMargins left="0.7" right="0.7" top="0.75" bottom="0.75" header="0.3" footer="0.3"/>
  <pageSetup horizontalDpi="300" verticalDpi="300" orientation="portrait" paperSize="9" scale="80" r:id="rId1"/>
  <rowBreaks count="4" manualBreakCount="4">
    <brk id="207" max="255" man="1"/>
    <brk id="241" max="5" man="1"/>
    <brk id="304" max="5" man="1"/>
    <brk id="452" max="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F53"/>
  <sheetViews>
    <sheetView view="pageBreakPreview" zoomScale="60" zoomScalePageLayoutView="0" workbookViewId="0" topLeftCell="A1">
      <selection activeCell="B48" sqref="B48:F53"/>
    </sheetView>
  </sheetViews>
  <sheetFormatPr defaultColWidth="9.140625" defaultRowHeight="15"/>
  <cols>
    <col min="3" max="3" width="40.7109375" style="0" customWidth="1"/>
    <col min="5" max="5" width="8.421875" style="0" customWidth="1"/>
  </cols>
  <sheetData>
    <row r="1" ht="15">
      <c r="B1" t="s">
        <v>449</v>
      </c>
    </row>
    <row r="2" spans="2:6" ht="15">
      <c r="B2" s="577"/>
      <c r="C2" s="771" t="s">
        <v>1734</v>
      </c>
      <c r="D2" s="772"/>
      <c r="E2" s="772"/>
      <c r="F2" s="577"/>
    </row>
    <row r="3" spans="2:6" ht="22.5" customHeight="1">
      <c r="B3" s="577"/>
      <c r="C3" s="772"/>
      <c r="D3" s="772"/>
      <c r="E3" s="772"/>
      <c r="F3" s="577"/>
    </row>
    <row r="4" spans="2:6" ht="15.75" thickBot="1">
      <c r="B4" s="773" t="s">
        <v>272</v>
      </c>
      <c r="C4" s="786"/>
      <c r="D4" s="786"/>
      <c r="E4" s="786"/>
      <c r="F4" s="786"/>
    </row>
    <row r="5" spans="2:6" ht="24">
      <c r="B5" s="528"/>
      <c r="C5" s="529" t="s">
        <v>617</v>
      </c>
      <c r="D5" s="529" t="s">
        <v>273</v>
      </c>
      <c r="E5" s="529" t="s">
        <v>274</v>
      </c>
      <c r="F5" s="530" t="s">
        <v>275</v>
      </c>
    </row>
    <row r="6" spans="2:6" ht="24" customHeight="1">
      <c r="B6" s="531" t="s">
        <v>235</v>
      </c>
      <c r="C6" s="532" t="s">
        <v>276</v>
      </c>
      <c r="D6" s="533">
        <v>0</v>
      </c>
      <c r="E6" s="533">
        <v>0</v>
      </c>
      <c r="F6" s="534">
        <v>156508</v>
      </c>
    </row>
    <row r="7" spans="2:6" ht="32.25" customHeight="1">
      <c r="B7" s="531" t="s">
        <v>237</v>
      </c>
      <c r="C7" s="532" t="s">
        <v>277</v>
      </c>
      <c r="D7" s="533">
        <v>0</v>
      </c>
      <c r="E7" s="533">
        <v>0</v>
      </c>
      <c r="F7" s="534">
        <v>44875</v>
      </c>
    </row>
    <row r="8" spans="2:6" ht="31.5" customHeight="1">
      <c r="B8" s="531" t="s">
        <v>239</v>
      </c>
      <c r="C8" s="532" t="s">
        <v>278</v>
      </c>
      <c r="D8" s="533">
        <v>0</v>
      </c>
      <c r="E8" s="533">
        <v>0</v>
      </c>
      <c r="F8" s="534"/>
    </row>
    <row r="9" spans="2:6" ht="33" customHeight="1">
      <c r="B9" s="535" t="s">
        <v>241</v>
      </c>
      <c r="C9" s="536" t="s">
        <v>279</v>
      </c>
      <c r="D9" s="537">
        <v>0</v>
      </c>
      <c r="E9" s="537">
        <v>0</v>
      </c>
      <c r="F9" s="538">
        <f>F6+F7+F8</f>
        <v>201383</v>
      </c>
    </row>
    <row r="10" spans="2:6" ht="27.75" customHeight="1">
      <c r="B10" s="531" t="s">
        <v>243</v>
      </c>
      <c r="C10" s="532" t="s">
        <v>280</v>
      </c>
      <c r="D10" s="533">
        <v>0</v>
      </c>
      <c r="E10" s="533">
        <v>0</v>
      </c>
      <c r="F10" s="534">
        <v>0</v>
      </c>
    </row>
    <row r="11" spans="2:6" ht="25.5" customHeight="1">
      <c r="B11" s="531" t="s">
        <v>245</v>
      </c>
      <c r="C11" s="532" t="s">
        <v>281</v>
      </c>
      <c r="D11" s="533">
        <v>0</v>
      </c>
      <c r="E11" s="533">
        <v>0</v>
      </c>
      <c r="F11" s="534">
        <v>0</v>
      </c>
    </row>
    <row r="12" spans="2:6" ht="30" customHeight="1">
      <c r="B12" s="535" t="s">
        <v>247</v>
      </c>
      <c r="C12" s="536" t="s">
        <v>282</v>
      </c>
      <c r="D12" s="537">
        <v>0</v>
      </c>
      <c r="E12" s="537">
        <v>0</v>
      </c>
      <c r="F12" s="538">
        <v>0</v>
      </c>
    </row>
    <row r="13" spans="2:6" ht="47.25" customHeight="1">
      <c r="B13" s="531" t="s">
        <v>249</v>
      </c>
      <c r="C13" s="532" t="s">
        <v>283</v>
      </c>
      <c r="D13" s="533">
        <v>0</v>
      </c>
      <c r="E13" s="533">
        <v>0</v>
      </c>
      <c r="F13" s="534">
        <v>149519</v>
      </c>
    </row>
    <row r="14" spans="2:6" ht="48" customHeight="1">
      <c r="B14" s="531" t="s">
        <v>251</v>
      </c>
      <c r="C14" s="532" t="s">
        <v>284</v>
      </c>
      <c r="D14" s="533">
        <v>0</v>
      </c>
      <c r="E14" s="533">
        <v>0</v>
      </c>
      <c r="F14" s="534">
        <v>179800</v>
      </c>
    </row>
    <row r="15" spans="2:6" ht="27.75" customHeight="1">
      <c r="B15" s="531" t="s">
        <v>1197</v>
      </c>
      <c r="C15" s="532" t="s">
        <v>285</v>
      </c>
      <c r="D15" s="533">
        <v>0</v>
      </c>
      <c r="E15" s="533">
        <v>0</v>
      </c>
      <c r="F15" s="534">
        <v>4121</v>
      </c>
    </row>
    <row r="16" spans="2:6" ht="27" customHeight="1">
      <c r="B16" s="535" t="s">
        <v>254</v>
      </c>
      <c r="C16" s="536" t="s">
        <v>286</v>
      </c>
      <c r="D16" s="537">
        <v>0</v>
      </c>
      <c r="E16" s="537">
        <v>0</v>
      </c>
      <c r="F16" s="538">
        <f>F13+F14+F15</f>
        <v>333440</v>
      </c>
    </row>
    <row r="17" spans="2:6" ht="15">
      <c r="B17" s="531" t="s">
        <v>256</v>
      </c>
      <c r="C17" s="532" t="s">
        <v>287</v>
      </c>
      <c r="D17" s="533">
        <v>0</v>
      </c>
      <c r="E17" s="533">
        <v>0</v>
      </c>
      <c r="F17" s="534">
        <v>28328</v>
      </c>
    </row>
    <row r="18" spans="2:6" ht="22.5" customHeight="1">
      <c r="B18" s="531" t="s">
        <v>258</v>
      </c>
      <c r="C18" s="532" t="s">
        <v>288</v>
      </c>
      <c r="D18" s="533">
        <v>0</v>
      </c>
      <c r="E18" s="533">
        <v>0</v>
      </c>
      <c r="F18" s="534">
        <v>77563</v>
      </c>
    </row>
    <row r="19" spans="2:6" ht="19.5" customHeight="1">
      <c r="B19" s="531" t="s">
        <v>260</v>
      </c>
      <c r="C19" s="532" t="s">
        <v>289</v>
      </c>
      <c r="D19" s="533">
        <v>0</v>
      </c>
      <c r="E19" s="533">
        <v>0</v>
      </c>
      <c r="F19" s="534">
        <v>0</v>
      </c>
    </row>
    <row r="20" spans="2:6" ht="24.75" customHeight="1">
      <c r="B20" s="531" t="s">
        <v>262</v>
      </c>
      <c r="C20" s="532" t="s">
        <v>290</v>
      </c>
      <c r="D20" s="533">
        <v>0</v>
      </c>
      <c r="E20" s="533">
        <v>0</v>
      </c>
      <c r="F20" s="534">
        <v>4404</v>
      </c>
    </row>
    <row r="21" spans="2:6" ht="28.5" customHeight="1">
      <c r="B21" s="535" t="s">
        <v>264</v>
      </c>
      <c r="C21" s="536" t="s">
        <v>291</v>
      </c>
      <c r="D21" s="537">
        <v>0</v>
      </c>
      <c r="E21" s="537">
        <v>0</v>
      </c>
      <c r="F21" s="538">
        <f>F18+F20+F19+F17</f>
        <v>110295</v>
      </c>
    </row>
    <row r="22" spans="2:6" ht="21" customHeight="1">
      <c r="B22" s="531" t="s">
        <v>266</v>
      </c>
      <c r="C22" s="532" t="s">
        <v>292</v>
      </c>
      <c r="D22" s="533">
        <v>0</v>
      </c>
      <c r="E22" s="533">
        <v>0</v>
      </c>
      <c r="F22" s="534">
        <v>79016</v>
      </c>
    </row>
    <row r="23" spans="2:6" ht="24.75" customHeight="1">
      <c r="B23" s="531" t="s">
        <v>268</v>
      </c>
      <c r="C23" s="532" t="s">
        <v>293</v>
      </c>
      <c r="D23" s="533">
        <v>0</v>
      </c>
      <c r="E23" s="533">
        <v>0</v>
      </c>
      <c r="F23" s="534">
        <v>19537</v>
      </c>
    </row>
    <row r="24" spans="2:6" ht="20.25" customHeight="1">
      <c r="B24" s="531" t="s">
        <v>270</v>
      </c>
      <c r="C24" s="532" t="s">
        <v>294</v>
      </c>
      <c r="D24" s="533">
        <v>0</v>
      </c>
      <c r="E24" s="533">
        <v>0</v>
      </c>
      <c r="F24" s="534">
        <v>26942</v>
      </c>
    </row>
    <row r="25" spans="2:6" ht="25.5" customHeight="1">
      <c r="B25" s="535" t="s">
        <v>295</v>
      </c>
      <c r="C25" s="536" t="s">
        <v>296</v>
      </c>
      <c r="D25" s="537">
        <v>0</v>
      </c>
      <c r="E25" s="537">
        <v>0</v>
      </c>
      <c r="F25" s="538">
        <f>F22+F23+F24</f>
        <v>125495</v>
      </c>
    </row>
    <row r="26" spans="2:6" ht="18.75" customHeight="1">
      <c r="B26" s="535" t="s">
        <v>297</v>
      </c>
      <c r="C26" s="536" t="s">
        <v>298</v>
      </c>
      <c r="D26" s="537">
        <v>0</v>
      </c>
      <c r="E26" s="537">
        <v>0</v>
      </c>
      <c r="F26" s="538">
        <v>60824</v>
      </c>
    </row>
    <row r="27" spans="2:6" ht="16.5" customHeight="1">
      <c r="B27" s="535" t="s">
        <v>299</v>
      </c>
      <c r="C27" s="536" t="s">
        <v>300</v>
      </c>
      <c r="D27" s="537">
        <v>0</v>
      </c>
      <c r="E27" s="537">
        <v>0</v>
      </c>
      <c r="F27" s="538">
        <v>307529</v>
      </c>
    </row>
    <row r="28" spans="2:6" ht="35.25" customHeight="1">
      <c r="B28" s="535" t="s">
        <v>301</v>
      </c>
      <c r="C28" s="536" t="s">
        <v>302</v>
      </c>
      <c r="D28" s="537">
        <v>0</v>
      </c>
      <c r="E28" s="537">
        <v>0</v>
      </c>
      <c r="F28" s="538">
        <f>F9+F12+F16-F25-F26-F27-F21</f>
        <v>-69320</v>
      </c>
    </row>
    <row r="29" spans="2:6" ht="3" customHeight="1">
      <c r="B29" s="531" t="s">
        <v>303</v>
      </c>
      <c r="C29" s="532" t="s">
        <v>304</v>
      </c>
      <c r="D29" s="533">
        <v>0</v>
      </c>
      <c r="E29" s="533">
        <v>0</v>
      </c>
      <c r="F29" s="534">
        <v>216</v>
      </c>
    </row>
    <row r="30" spans="2:6" ht="29.25" customHeight="1" hidden="1">
      <c r="B30" s="531" t="s">
        <v>305</v>
      </c>
      <c r="C30" s="532" t="s">
        <v>306</v>
      </c>
      <c r="D30" s="533">
        <v>0</v>
      </c>
      <c r="E30" s="533">
        <v>0</v>
      </c>
      <c r="F30" s="534">
        <v>8030</v>
      </c>
    </row>
    <row r="31" spans="2:6" ht="47.25" customHeight="1">
      <c r="B31" s="531" t="s">
        <v>307</v>
      </c>
      <c r="C31" s="532" t="s">
        <v>308</v>
      </c>
      <c r="D31" s="533">
        <v>0</v>
      </c>
      <c r="E31" s="533">
        <v>0</v>
      </c>
      <c r="F31" s="534">
        <v>8059</v>
      </c>
    </row>
    <row r="32" spans="2:6" ht="30.75" customHeight="1">
      <c r="B32" s="531" t="s">
        <v>309</v>
      </c>
      <c r="C32" s="532" t="s">
        <v>310</v>
      </c>
      <c r="D32" s="533">
        <v>0</v>
      </c>
      <c r="E32" s="533">
        <v>0</v>
      </c>
      <c r="F32" s="534">
        <v>8031</v>
      </c>
    </row>
    <row r="33" spans="2:6" ht="40.5" customHeight="1">
      <c r="B33" s="535" t="s">
        <v>311</v>
      </c>
      <c r="C33" s="536" t="s">
        <v>1706</v>
      </c>
      <c r="D33" s="537">
        <v>0</v>
      </c>
      <c r="E33" s="537">
        <v>0</v>
      </c>
      <c r="F33" s="538">
        <f>F29+F30+F31</f>
        <v>16305</v>
      </c>
    </row>
    <row r="34" spans="2:6" ht="34.5" customHeight="1">
      <c r="B34" s="531" t="s">
        <v>1707</v>
      </c>
      <c r="C34" s="532" t="s">
        <v>1708</v>
      </c>
      <c r="D34" s="533">
        <v>0</v>
      </c>
      <c r="E34" s="533">
        <v>0</v>
      </c>
      <c r="F34" s="534">
        <v>0</v>
      </c>
    </row>
    <row r="35" spans="2:6" ht="33" customHeight="1">
      <c r="B35" s="531" t="s">
        <v>1709</v>
      </c>
      <c r="C35" s="532" t="s">
        <v>1710</v>
      </c>
      <c r="D35" s="533">
        <v>0</v>
      </c>
      <c r="E35" s="533">
        <v>0</v>
      </c>
      <c r="F35" s="534">
        <v>0</v>
      </c>
    </row>
    <row r="36" spans="2:6" ht="33" customHeight="1">
      <c r="B36" s="531" t="s">
        <v>1711</v>
      </c>
      <c r="C36" s="532" t="s">
        <v>1712</v>
      </c>
      <c r="D36" s="533">
        <v>0</v>
      </c>
      <c r="E36" s="533">
        <v>0</v>
      </c>
      <c r="F36" s="534">
        <v>0</v>
      </c>
    </row>
    <row r="37" spans="2:6" ht="29.25" customHeight="1">
      <c r="B37" s="531" t="s">
        <v>1713</v>
      </c>
      <c r="C37" s="532" t="s">
        <v>1714</v>
      </c>
      <c r="D37" s="533">
        <v>0</v>
      </c>
      <c r="E37" s="533">
        <v>0</v>
      </c>
      <c r="F37" s="534">
        <v>0</v>
      </c>
    </row>
    <row r="38" spans="2:6" ht="45.75" customHeight="1">
      <c r="B38" s="535" t="s">
        <v>1715</v>
      </c>
      <c r="C38" s="536" t="s">
        <v>1716</v>
      </c>
      <c r="D38" s="537">
        <v>0</v>
      </c>
      <c r="E38" s="537">
        <v>0</v>
      </c>
      <c r="F38" s="538">
        <f>F34+F35+F36</f>
        <v>0</v>
      </c>
    </row>
    <row r="39" spans="2:6" ht="41.25" customHeight="1">
      <c r="B39" s="535" t="s">
        <v>1717</v>
      </c>
      <c r="C39" s="536" t="s">
        <v>1718</v>
      </c>
      <c r="D39" s="537">
        <v>0</v>
      </c>
      <c r="E39" s="537">
        <v>0</v>
      </c>
      <c r="F39" s="538">
        <f>F33-F38</f>
        <v>16305</v>
      </c>
    </row>
    <row r="40" spans="2:6" ht="36.75" customHeight="1">
      <c r="B40" s="535" t="s">
        <v>1719</v>
      </c>
      <c r="C40" s="536" t="s">
        <v>1720</v>
      </c>
      <c r="D40" s="537">
        <v>0</v>
      </c>
      <c r="E40" s="537">
        <v>0</v>
      </c>
      <c r="F40" s="538">
        <f>F28+F39</f>
        <v>-53015</v>
      </c>
    </row>
    <row r="41" spans="2:6" ht="39.75" customHeight="1">
      <c r="B41" s="531" t="s">
        <v>1721</v>
      </c>
      <c r="C41" s="532" t="s">
        <v>1722</v>
      </c>
      <c r="D41" s="533">
        <v>0</v>
      </c>
      <c r="E41" s="533">
        <v>0</v>
      </c>
      <c r="F41" s="534">
        <v>1833</v>
      </c>
    </row>
    <row r="42" spans="2:6" ht="38.25" customHeight="1">
      <c r="B42" s="531" t="s">
        <v>1723</v>
      </c>
      <c r="C42" s="532" t="s">
        <v>1724</v>
      </c>
      <c r="D42" s="533">
        <v>0</v>
      </c>
      <c r="E42" s="533">
        <v>0</v>
      </c>
      <c r="F42" s="534">
        <v>8370</v>
      </c>
    </row>
    <row r="43" spans="2:6" ht="41.25" customHeight="1">
      <c r="B43" s="535" t="s">
        <v>1725</v>
      </c>
      <c r="C43" s="536" t="s">
        <v>1726</v>
      </c>
      <c r="D43" s="537">
        <v>0</v>
      </c>
      <c r="E43" s="537">
        <v>0</v>
      </c>
      <c r="F43" s="538">
        <f>F41+F42</f>
        <v>10203</v>
      </c>
    </row>
    <row r="44" spans="2:6" ht="27" customHeight="1">
      <c r="B44" s="535" t="s">
        <v>1727</v>
      </c>
      <c r="C44" s="536" t="s">
        <v>1728</v>
      </c>
      <c r="D44" s="537">
        <v>0</v>
      </c>
      <c r="E44" s="537">
        <v>0</v>
      </c>
      <c r="F44" s="538">
        <v>0</v>
      </c>
    </row>
    <row r="45" spans="2:6" ht="36.75" customHeight="1">
      <c r="B45" s="535" t="s">
        <v>1729</v>
      </c>
      <c r="C45" s="536" t="s">
        <v>1730</v>
      </c>
      <c r="D45" s="537">
        <v>0</v>
      </c>
      <c r="E45" s="537">
        <v>0</v>
      </c>
      <c r="F45" s="538">
        <f>F43-F44</f>
        <v>10203</v>
      </c>
    </row>
    <row r="46" spans="2:6" ht="36.75" customHeight="1" thickBot="1">
      <c r="B46" s="539" t="s">
        <v>1731</v>
      </c>
      <c r="C46" s="540" t="s">
        <v>1732</v>
      </c>
      <c r="D46" s="541">
        <v>0</v>
      </c>
      <c r="E46" s="541">
        <v>0</v>
      </c>
      <c r="F46" s="542">
        <f>F40+F45</f>
        <v>-42812</v>
      </c>
    </row>
    <row r="47" spans="2:6" ht="15">
      <c r="B47" s="543"/>
      <c r="C47" s="544"/>
      <c r="D47" s="545"/>
      <c r="E47" s="545"/>
      <c r="F47" s="545"/>
    </row>
    <row r="48" spans="2:6" ht="15">
      <c r="B48" s="577"/>
      <c r="C48" s="577"/>
      <c r="D48" s="577"/>
      <c r="E48" s="577"/>
      <c r="F48" s="577"/>
    </row>
    <row r="49" spans="2:6" ht="15">
      <c r="B49" s="577"/>
      <c r="C49" s="577"/>
      <c r="D49" s="577"/>
      <c r="E49" s="577"/>
      <c r="F49" s="577"/>
    </row>
    <row r="50" spans="2:6" ht="15">
      <c r="B50" s="577"/>
      <c r="C50" s="577"/>
      <c r="D50" s="577"/>
      <c r="E50" s="577"/>
      <c r="F50" s="577"/>
    </row>
    <row r="51" spans="2:6" ht="15">
      <c r="B51" s="577"/>
      <c r="C51" s="577"/>
      <c r="D51" s="577"/>
      <c r="E51" s="577"/>
      <c r="F51" s="577"/>
    </row>
    <row r="52" spans="2:6" ht="15">
      <c r="B52" s="577"/>
      <c r="C52" s="577"/>
      <c r="D52" s="577"/>
      <c r="E52" s="577"/>
      <c r="F52" s="577"/>
    </row>
    <row r="53" spans="2:6" ht="15">
      <c r="B53" s="577"/>
      <c r="C53" s="577"/>
      <c r="D53" s="577"/>
      <c r="E53" s="577"/>
      <c r="F53" s="577"/>
    </row>
  </sheetData>
  <sheetProtection/>
  <mergeCells count="2">
    <mergeCell ref="C2:E3"/>
    <mergeCell ref="B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="70" zoomScaleSheetLayoutView="70" zoomScalePageLayoutView="0" workbookViewId="0" topLeftCell="A1">
      <selection activeCell="H28" sqref="H28"/>
    </sheetView>
  </sheetViews>
  <sheetFormatPr defaultColWidth="9.140625" defaultRowHeight="15"/>
  <cols>
    <col min="1" max="1" width="5.8515625" style="274" customWidth="1"/>
    <col min="2" max="2" width="47.28125" style="277" customWidth="1"/>
    <col min="3" max="5" width="14.00390625" style="274" customWidth="1"/>
    <col min="6" max="6" width="47.28125" style="274" customWidth="1"/>
    <col min="7" max="9" width="14.00390625" style="274" customWidth="1"/>
    <col min="10" max="10" width="4.140625" style="274" customWidth="1"/>
    <col min="11" max="16384" width="9.140625" style="274" customWidth="1"/>
  </cols>
  <sheetData>
    <row r="1" spans="2:3" ht="22.5" customHeight="1">
      <c r="B1" s="790" t="s">
        <v>450</v>
      </c>
      <c r="C1" s="790"/>
    </row>
    <row r="2" spans="2:10" ht="39.75" customHeight="1">
      <c r="B2" s="275" t="s">
        <v>1468</v>
      </c>
      <c r="C2" s="276"/>
      <c r="D2" s="276"/>
      <c r="E2" s="276"/>
      <c r="F2" s="276"/>
      <c r="G2" s="276"/>
      <c r="H2" s="276"/>
      <c r="I2" s="276"/>
      <c r="J2" s="787"/>
    </row>
    <row r="3" spans="7:10" ht="15.75" thickBot="1">
      <c r="G3" s="278"/>
      <c r="H3" s="278"/>
      <c r="I3" s="278" t="s">
        <v>1199</v>
      </c>
      <c r="J3" s="787"/>
    </row>
    <row r="4" spans="1:10" ht="18" customHeight="1" thickBot="1">
      <c r="A4" s="788" t="s">
        <v>1182</v>
      </c>
      <c r="B4" s="279" t="s">
        <v>1172</v>
      </c>
      <c r="C4" s="280"/>
      <c r="D4" s="280"/>
      <c r="E4" s="280"/>
      <c r="F4" s="279" t="s">
        <v>1175</v>
      </c>
      <c r="G4" s="281"/>
      <c r="H4" s="281"/>
      <c r="I4" s="281"/>
      <c r="J4" s="787"/>
    </row>
    <row r="5" spans="1:10" s="286" customFormat="1" ht="35.25" customHeight="1" thickBot="1">
      <c r="A5" s="789"/>
      <c r="B5" s="282" t="s">
        <v>617</v>
      </c>
      <c r="C5" s="283" t="str">
        <f>+CONCATENATE(LEFT('[8]1.1.sz.mell.'!C3,4),". évi eredeti előirányzat")</f>
        <v>2014. évi eredeti előirányzat</v>
      </c>
      <c r="D5" s="284" t="str">
        <f>+CONCATENATE(LEFT('[8]1.1.sz.mell.'!C3,4),". évi módosított előirányzat")</f>
        <v>2014. évi módosított előirányzat</v>
      </c>
      <c r="E5" s="283" t="str">
        <f>+CONCATENATE(LEFT('[8]1.1.sz.mell.'!C3,4),". évi teljesítés")</f>
        <v>2014. évi teljesítés</v>
      </c>
      <c r="F5" s="282" t="s">
        <v>617</v>
      </c>
      <c r="G5" s="283" t="str">
        <f>+C5</f>
        <v>2014. évi eredeti előirányzat</v>
      </c>
      <c r="H5" s="284" t="str">
        <f>+D5</f>
        <v>2014. évi módosított előirányzat</v>
      </c>
      <c r="I5" s="285" t="str">
        <f>+E5</f>
        <v>2014. évi teljesítés</v>
      </c>
      <c r="J5" s="787"/>
    </row>
    <row r="6" spans="1:10" s="291" customFormat="1" ht="12" customHeight="1" thickBot="1">
      <c r="A6" s="287" t="s">
        <v>564</v>
      </c>
      <c r="B6" s="288" t="s">
        <v>565</v>
      </c>
      <c r="C6" s="289" t="s">
        <v>566</v>
      </c>
      <c r="D6" s="289" t="s">
        <v>567</v>
      </c>
      <c r="E6" s="289" t="s">
        <v>568</v>
      </c>
      <c r="F6" s="288" t="s">
        <v>689</v>
      </c>
      <c r="G6" s="289" t="s">
        <v>599</v>
      </c>
      <c r="H6" s="289" t="s">
        <v>600</v>
      </c>
      <c r="I6" s="290" t="s">
        <v>601</v>
      </c>
      <c r="J6" s="787"/>
    </row>
    <row r="7" spans="1:10" ht="15" customHeight="1">
      <c r="A7" s="292" t="s">
        <v>928</v>
      </c>
      <c r="B7" s="293" t="s">
        <v>1469</v>
      </c>
      <c r="C7" s="294">
        <f>'1a.össz.bevétel'!D24+'1a.össz.bevétel'!D25</f>
        <v>96256</v>
      </c>
      <c r="D7" s="294">
        <f>'1a.össz.bevétel'!G24+'1a.össz.bevétel'!G25+'1a.össz.bevétel'!G26</f>
        <v>114009</v>
      </c>
      <c r="E7" s="294">
        <f>'1a.össz.bevétel'!J24+'1a.össz.bevétel'!J25+'1a.össz.bevétel'!J26</f>
        <v>114009</v>
      </c>
      <c r="F7" s="293" t="s">
        <v>1170</v>
      </c>
      <c r="G7" s="294">
        <f>'2a.K kiemelt ei.'!D59</f>
        <v>84246</v>
      </c>
      <c r="H7" s="294">
        <f>'2a.K kiemelt ei.'!G59</f>
        <v>92927</v>
      </c>
      <c r="I7" s="295">
        <f>'2a.K kiemelt ei.'!J59</f>
        <v>90760</v>
      </c>
      <c r="J7" s="787"/>
    </row>
    <row r="8" spans="1:10" ht="15" customHeight="1">
      <c r="A8" s="296" t="s">
        <v>929</v>
      </c>
      <c r="B8" s="297" t="s">
        <v>1470</v>
      </c>
      <c r="C8" s="274">
        <f>'1a.össz.bevétel'!D42+'1a.össz.bevétel'!D43+'1a.össz.bevétel'!D88</f>
        <v>8036</v>
      </c>
      <c r="D8" s="298">
        <f>'1a.össz.bevétel'!G88+'1a.össz.bevétel'!F43+'1a.össz.bevétel'!F42+'1a.össz.bevétel'!G27</f>
        <v>11425</v>
      </c>
      <c r="E8" s="298">
        <f>'1a.össz.bevétel'!J27+'1a.össz.bevétel'!J42+'1a.össz.bevétel'!J43+'1a.össz.bevétel'!J88</f>
        <v>11466</v>
      </c>
      <c r="F8" s="297" t="s">
        <v>1471</v>
      </c>
      <c r="G8" s="298">
        <f>'2a.K kiemelt ei.'!K59</f>
        <v>21657</v>
      </c>
      <c r="H8" s="298">
        <f>'2a.K kiemelt ei.'!N59</f>
        <v>25718</v>
      </c>
      <c r="I8" s="299">
        <f>'2a.K kiemelt ei.'!Q59</f>
        <v>25172</v>
      </c>
      <c r="J8" s="787"/>
    </row>
    <row r="9" spans="1:10" ht="15" customHeight="1">
      <c r="A9" s="296" t="s">
        <v>934</v>
      </c>
      <c r="B9" s="297" t="s">
        <v>1472</v>
      </c>
      <c r="C9" s="298"/>
      <c r="D9" s="298"/>
      <c r="E9" s="298"/>
      <c r="F9" s="297" t="s">
        <v>1473</v>
      </c>
      <c r="G9" s="298">
        <f>'2a.K kiemelt ei.'!R59</f>
        <v>148356</v>
      </c>
      <c r="H9" s="298">
        <f>'2a.K kiemelt ei.'!U59</f>
        <v>148994.37</v>
      </c>
      <c r="I9" s="299">
        <f>'2a.K kiemelt ei.'!X59</f>
        <v>139180</v>
      </c>
      <c r="J9" s="787"/>
    </row>
    <row r="10" spans="1:10" ht="15" customHeight="1">
      <c r="A10" s="296" t="s">
        <v>1118</v>
      </c>
      <c r="B10" s="513" t="s">
        <v>1474</v>
      </c>
      <c r="C10" s="514">
        <f>'1a.össz.bevétel'!K30+'1a.össz.bevétel'!D36</f>
        <v>144774</v>
      </c>
      <c r="D10" s="514">
        <f>'1a.össz.bevétel'!L30+'1a.össz.bevétel'!G36</f>
        <v>156400</v>
      </c>
      <c r="E10" s="298">
        <f>+'1a.össz.bevétel'!K28+'1a.össz.bevétel'!J36</f>
        <v>156400</v>
      </c>
      <c r="F10" s="297" t="s">
        <v>1475</v>
      </c>
      <c r="G10" s="298">
        <f>'2a.K kiemelt ei.'!Y12</f>
        <v>9040</v>
      </c>
      <c r="H10" s="298">
        <f>'2a.K kiemelt ei.'!AB12</f>
        <v>11776</v>
      </c>
      <c r="I10" s="299">
        <f>'2a.K kiemelt ei.'!AE12</f>
        <v>10501</v>
      </c>
      <c r="J10" s="787"/>
    </row>
    <row r="11" spans="1:10" ht="15" customHeight="1">
      <c r="A11" s="296" t="s">
        <v>939</v>
      </c>
      <c r="B11" s="300" t="s">
        <v>1476</v>
      </c>
      <c r="C11" s="514"/>
      <c r="D11" s="298">
        <f>'1a.össz.bevétel'!G44+'1a.össz.bevétel'!G45</f>
        <v>1000</v>
      </c>
      <c r="E11" s="298">
        <f>'1a.össz.bevétel'!J44+'1a.össz.bevétel'!J45</f>
        <v>1000</v>
      </c>
      <c r="F11" s="297" t="s">
        <v>1477</v>
      </c>
      <c r="G11" s="298">
        <f>'2a.K kiemelt ei.'!Y11+'2a.K kiemelt ei.'!Y57</f>
        <v>18711</v>
      </c>
      <c r="H11" s="298">
        <f>'2a.K kiemelt ei.'!AB57+'2a.K kiemelt ei.'!AB14+'2a.K kiemelt ei.'!AB11+'2a.K kiemelt ei.'!AB9+'2a.K kiemelt ei.'!AB8</f>
        <v>55859</v>
      </c>
      <c r="I11" s="299">
        <f>'2a.K kiemelt ei.'!AE9+'2a.K kiemelt ei.'!AE11+'2a.K kiemelt ei.'!AE57</f>
        <v>54431</v>
      </c>
      <c r="J11" s="787"/>
    </row>
    <row r="12" spans="1:10" ht="15" customHeight="1">
      <c r="A12" s="296" t="s">
        <v>1192</v>
      </c>
      <c r="B12" s="297" t="s">
        <v>1478</v>
      </c>
      <c r="C12" s="301"/>
      <c r="D12" s="301"/>
      <c r="E12" s="301"/>
      <c r="F12" s="297" t="s">
        <v>1176</v>
      </c>
      <c r="G12" s="298"/>
      <c r="H12" s="298"/>
      <c r="I12" s="299"/>
      <c r="J12" s="787"/>
    </row>
    <row r="13" spans="1:10" ht="15" customHeight="1">
      <c r="A13" s="296" t="s">
        <v>1194</v>
      </c>
      <c r="B13" s="297" t="s">
        <v>1479</v>
      </c>
      <c r="C13" s="298">
        <v>54681</v>
      </c>
      <c r="D13" s="298">
        <v>70453</v>
      </c>
      <c r="E13" s="298">
        <v>73999</v>
      </c>
      <c r="F13" s="302"/>
      <c r="G13" s="298"/>
      <c r="H13" s="298"/>
      <c r="I13" s="299"/>
      <c r="J13" s="787"/>
    </row>
    <row r="14" spans="1:10" ht="15" customHeight="1">
      <c r="A14" s="296" t="s">
        <v>1120</v>
      </c>
      <c r="B14" s="302"/>
      <c r="C14" s="298"/>
      <c r="D14" s="298"/>
      <c r="E14" s="578"/>
      <c r="F14" s="302"/>
      <c r="G14" s="298"/>
      <c r="H14" s="298"/>
      <c r="I14" s="299"/>
      <c r="J14" s="787"/>
    </row>
    <row r="15" spans="1:10" ht="15" customHeight="1">
      <c r="A15" s="296" t="s">
        <v>1227</v>
      </c>
      <c r="B15" s="303"/>
      <c r="C15" s="301"/>
      <c r="D15" s="301"/>
      <c r="E15" s="579"/>
      <c r="F15" s="302"/>
      <c r="G15" s="298"/>
      <c r="H15" s="298"/>
      <c r="I15" s="299"/>
      <c r="J15" s="787"/>
    </row>
    <row r="16" spans="1:10" ht="15" customHeight="1">
      <c r="A16" s="296" t="s">
        <v>1229</v>
      </c>
      <c r="B16" s="302"/>
      <c r="C16" s="298"/>
      <c r="D16" s="298"/>
      <c r="E16" s="298"/>
      <c r="F16" s="302"/>
      <c r="G16" s="298"/>
      <c r="H16" s="298"/>
      <c r="I16" s="299"/>
      <c r="J16" s="787"/>
    </row>
    <row r="17" spans="1:10" ht="15" customHeight="1">
      <c r="A17" s="296" t="s">
        <v>1231</v>
      </c>
      <c r="B17" s="302"/>
      <c r="C17" s="298"/>
      <c r="D17" s="298"/>
      <c r="E17" s="298"/>
      <c r="F17" s="302"/>
      <c r="G17" s="298"/>
      <c r="H17" s="298"/>
      <c r="I17" s="299"/>
      <c r="J17" s="787"/>
    </row>
    <row r="18" spans="1:10" ht="15" customHeight="1" thickBot="1">
      <c r="A18" s="296" t="s">
        <v>1233</v>
      </c>
      <c r="B18" s="304"/>
      <c r="C18" s="305"/>
      <c r="D18" s="305"/>
      <c r="E18" s="305"/>
      <c r="F18" s="302"/>
      <c r="G18" s="305"/>
      <c r="H18" s="305"/>
      <c r="I18" s="306"/>
      <c r="J18" s="787"/>
    </row>
    <row r="19" spans="1:10" ht="17.25" customHeight="1" thickBot="1">
      <c r="A19" s="307" t="s">
        <v>1235</v>
      </c>
      <c r="B19" s="308" t="s">
        <v>1480</v>
      </c>
      <c r="C19" s="309">
        <f>+C7+C8+C10+C11+C13+C14+C15+C16+C17+C18</f>
        <v>303747</v>
      </c>
      <c r="D19" s="309">
        <f>+D7+D8+D10+D11+D13+D14+D15+D16+D17+D18</f>
        <v>353287</v>
      </c>
      <c r="E19" s="309">
        <f>+E7+E8+E10+E11+E13+E14+E15+E16+E17+E18</f>
        <v>356874</v>
      </c>
      <c r="F19" s="308" t="s">
        <v>1481</v>
      </c>
      <c r="G19" s="309">
        <f>SUM(G7:G18)</f>
        <v>282010</v>
      </c>
      <c r="H19" s="309">
        <f>SUM(H7:H18)</f>
        <v>335274.37</v>
      </c>
      <c r="I19" s="309">
        <f>SUM(I7:I18)</f>
        <v>320044</v>
      </c>
      <c r="J19" s="787"/>
    </row>
    <row r="20" spans="1:10" ht="15" customHeight="1">
      <c r="A20" s="310" t="s">
        <v>1237</v>
      </c>
      <c r="B20" s="311" t="s">
        <v>1482</v>
      </c>
      <c r="C20" s="312">
        <f>+C21+C22+C23+C24</f>
        <v>72050</v>
      </c>
      <c r="D20" s="312">
        <f>+D21+D22+D23+D24</f>
        <v>364150</v>
      </c>
      <c r="E20" s="312">
        <f>+E21+E22+E23+E24</f>
        <v>364150</v>
      </c>
      <c r="F20" s="313" t="s">
        <v>1483</v>
      </c>
      <c r="G20" s="314"/>
      <c r="H20" s="314"/>
      <c r="I20" s="314"/>
      <c r="J20" s="787"/>
    </row>
    <row r="21" spans="1:10" ht="15" customHeight="1">
      <c r="A21" s="315" t="s">
        <v>1239</v>
      </c>
      <c r="B21" s="313" t="s">
        <v>1484</v>
      </c>
      <c r="C21" s="316">
        <f>'1a.össz.bevétel'!D47+'1a.össz.bevétel'!D76</f>
        <v>72050</v>
      </c>
      <c r="D21" s="316">
        <f>'1a.össz.bevétel'!G76+'1a.össz.bevétel'!G56+'1a.össz.bevétel'!G47</f>
        <v>65150</v>
      </c>
      <c r="E21" s="316">
        <f>'1a.össz.bevétel'!J76+'1a.össz.bevétel'!J56+'1a.össz.bevétel'!J47</f>
        <v>65150</v>
      </c>
      <c r="F21" s="313" t="s">
        <v>1485</v>
      </c>
      <c r="G21" s="316"/>
      <c r="H21" s="316"/>
      <c r="I21" s="316"/>
      <c r="J21" s="787"/>
    </row>
    <row r="22" spans="1:10" ht="15" customHeight="1">
      <c r="A22" s="315" t="s">
        <v>1241</v>
      </c>
      <c r="B22" s="313" t="s">
        <v>1486</v>
      </c>
      <c r="C22" s="316"/>
      <c r="D22" s="316"/>
      <c r="E22" s="316"/>
      <c r="F22" s="313" t="s">
        <v>1487</v>
      </c>
      <c r="G22" s="316"/>
      <c r="H22" s="316"/>
      <c r="I22" s="316"/>
      <c r="J22" s="787"/>
    </row>
    <row r="23" spans="1:10" ht="15" customHeight="1">
      <c r="A23" s="315" t="s">
        <v>1243</v>
      </c>
      <c r="B23" s="313" t="s">
        <v>1488</v>
      </c>
      <c r="C23" s="316"/>
      <c r="D23" s="316">
        <f>'1a.össz.bevétel'!G46</f>
        <v>299000</v>
      </c>
      <c r="E23" s="316">
        <f>'1a.össz.bevétel'!J46</f>
        <v>299000</v>
      </c>
      <c r="F23" s="313" t="s">
        <v>1489</v>
      </c>
      <c r="G23" s="316"/>
      <c r="H23" s="316"/>
      <c r="I23" s="316"/>
      <c r="J23" s="787"/>
    </row>
    <row r="24" spans="1:10" ht="15" customHeight="1">
      <c r="A24" s="315" t="s">
        <v>1490</v>
      </c>
      <c r="B24" s="313" t="s">
        <v>1491</v>
      </c>
      <c r="C24" s="316"/>
      <c r="D24" s="316"/>
      <c r="E24" s="316"/>
      <c r="F24" s="311" t="s">
        <v>1492</v>
      </c>
      <c r="G24" s="316"/>
      <c r="H24" s="316"/>
      <c r="I24" s="316"/>
      <c r="J24" s="787"/>
    </row>
    <row r="25" spans="1:10" ht="15" customHeight="1">
      <c r="A25" s="315" t="s">
        <v>1493</v>
      </c>
      <c r="B25" s="313" t="s">
        <v>1494</v>
      </c>
      <c r="C25" s="317">
        <f>+C26+C27</f>
        <v>0</v>
      </c>
      <c r="D25" s="317">
        <f>+D26+D27</f>
        <v>0</v>
      </c>
      <c r="E25" s="317">
        <f>+E26+E27</f>
        <v>0</v>
      </c>
      <c r="F25" s="313" t="s">
        <v>1495</v>
      </c>
      <c r="G25" s="316"/>
      <c r="H25" s="316"/>
      <c r="I25" s="316"/>
      <c r="J25" s="787"/>
    </row>
    <row r="26" spans="1:10" ht="15" customHeight="1">
      <c r="A26" s="310" t="s">
        <v>1496</v>
      </c>
      <c r="B26" s="311" t="s">
        <v>1497</v>
      </c>
      <c r="C26" s="314"/>
      <c r="D26" s="314"/>
      <c r="E26" s="314"/>
      <c r="F26" s="293" t="s">
        <v>1498</v>
      </c>
      <c r="G26" s="314"/>
      <c r="H26" s="314">
        <f>'2a.K kiemelt ei.'!AB13</f>
        <v>334000</v>
      </c>
      <c r="I26" s="314">
        <f>'2a.K kiemelt ei.'!AE13</f>
        <v>334000</v>
      </c>
      <c r="J26" s="787"/>
    </row>
    <row r="27" spans="1:10" ht="15" customHeight="1" thickBot="1">
      <c r="A27" s="315" t="s">
        <v>1499</v>
      </c>
      <c r="B27" s="313" t="s">
        <v>1500</v>
      </c>
      <c r="C27" s="316"/>
      <c r="D27" s="316"/>
      <c r="E27" s="316"/>
      <c r="F27" s="302"/>
      <c r="G27" s="316"/>
      <c r="H27" s="316"/>
      <c r="I27" s="316"/>
      <c r="J27" s="787"/>
    </row>
    <row r="28" spans="1:10" ht="17.25" customHeight="1" thickBot="1">
      <c r="A28" s="307" t="s">
        <v>1501</v>
      </c>
      <c r="B28" s="308" t="s">
        <v>0</v>
      </c>
      <c r="C28" s="309">
        <f>+C20+C25</f>
        <v>72050</v>
      </c>
      <c r="D28" s="309">
        <f>+D20+D25</f>
        <v>364150</v>
      </c>
      <c r="E28" s="309">
        <f>+E20+E25</f>
        <v>364150</v>
      </c>
      <c r="F28" s="308" t="s">
        <v>1</v>
      </c>
      <c r="G28" s="309">
        <f>SUM(G20:G27)</f>
        <v>0</v>
      </c>
      <c r="H28" s="309">
        <f>SUM(H20:H27)</f>
        <v>334000</v>
      </c>
      <c r="I28" s="309">
        <f>SUM(I20:I27)</f>
        <v>334000</v>
      </c>
      <c r="J28" s="787"/>
    </row>
    <row r="29" spans="1:10" ht="17.25" customHeight="1" thickBot="1">
      <c r="A29" s="307" t="s">
        <v>2</v>
      </c>
      <c r="B29" s="318" t="s">
        <v>3</v>
      </c>
      <c r="C29" s="319">
        <f>+C19+C28</f>
        <v>375797</v>
      </c>
      <c r="D29" s="319">
        <f>+D19+D28</f>
        <v>717437</v>
      </c>
      <c r="E29" s="320">
        <f>+E19+E28</f>
        <v>721024</v>
      </c>
      <c r="F29" s="318" t="s">
        <v>4</v>
      </c>
      <c r="G29" s="319">
        <f>+G19+G28</f>
        <v>282010</v>
      </c>
      <c r="H29" s="319">
        <f>+H19+H28</f>
        <v>669274.37</v>
      </c>
      <c r="I29" s="319">
        <f>+I19+I28</f>
        <v>654044</v>
      </c>
      <c r="J29" s="787"/>
    </row>
    <row r="30" spans="1:10" ht="17.25" customHeight="1" thickBot="1">
      <c r="A30" s="307" t="s">
        <v>5</v>
      </c>
      <c r="B30" s="318" t="s">
        <v>6</v>
      </c>
      <c r="C30" s="319" t="str">
        <f>IF(C19-G19&lt;0,G19-C19,"-")</f>
        <v>-</v>
      </c>
      <c r="D30" s="319" t="str">
        <f>IF(D19-H19&lt;0,H19-D19,"-")</f>
        <v>-</v>
      </c>
      <c r="E30" s="320" t="str">
        <f>IF(E19-I19&lt;0,I19-E19,"-")</f>
        <v>-</v>
      </c>
      <c r="F30" s="318" t="s">
        <v>7</v>
      </c>
      <c r="G30" s="319">
        <f>IF(C19-G19&gt;0,C19-G19,"-")</f>
        <v>21737</v>
      </c>
      <c r="H30" s="319">
        <f>IF(D19-H19&gt;0,D19-H19,"-")</f>
        <v>18012.630000000005</v>
      </c>
      <c r="I30" s="319">
        <f>IF(E19-I19&gt;0,E19-I19,"-")</f>
        <v>36830</v>
      </c>
      <c r="J30" s="787"/>
    </row>
    <row r="31" spans="1:10" ht="17.25" customHeight="1" thickBot="1">
      <c r="A31" s="307" t="s">
        <v>8</v>
      </c>
      <c r="B31" s="318" t="s">
        <v>9</v>
      </c>
      <c r="C31" s="319" t="str">
        <f>IF(C29-G29&lt;0,G29-C29,"-")</f>
        <v>-</v>
      </c>
      <c r="D31" s="319" t="str">
        <f>IF(D29-H29&lt;0,H29-D29,"-")</f>
        <v>-</v>
      </c>
      <c r="E31" s="320" t="str">
        <f>IF(E29-I29&lt;0,I29-E29,"-")</f>
        <v>-</v>
      </c>
      <c r="F31" s="318" t="s">
        <v>10</v>
      </c>
      <c r="G31" s="319">
        <f>IF(C29-G29&gt;0,C29-G29,"-")</f>
        <v>93787</v>
      </c>
      <c r="H31" s="319">
        <f>IF(D29-H29&gt;0,D29-H29,"-")</f>
        <v>48162.630000000005</v>
      </c>
      <c r="I31" s="319">
        <f>IF(E29-I29&gt;0,E29-I29,"-")</f>
        <v>66980</v>
      </c>
      <c r="J31" s="787"/>
    </row>
  </sheetData>
  <sheetProtection/>
  <mergeCells count="3">
    <mergeCell ref="J2:J31"/>
    <mergeCell ref="A4:A5"/>
    <mergeCell ref="B1:C1"/>
  </mergeCells>
  <printOptions/>
  <pageMargins left="0.7" right="0.7" top="0.75" bottom="0.75" header="0.3" footer="0.3"/>
  <pageSetup horizontalDpi="300" verticalDpi="300" orientation="landscape" paperSize="9" scale="52" r:id="rId1"/>
  <colBreaks count="1" manualBreakCount="1">
    <brk id="17" min="1" max="3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0"/>
  <sheetViews>
    <sheetView view="pageBreakPreview" zoomScale="60" zoomScalePageLayoutView="0" workbookViewId="0" topLeftCell="B1">
      <selection activeCell="B1" sqref="B1:G1"/>
    </sheetView>
  </sheetViews>
  <sheetFormatPr defaultColWidth="9.140625" defaultRowHeight="15"/>
  <cols>
    <col min="1" max="1" width="9.28125" style="343" bestFit="1" customWidth="1"/>
    <col min="2" max="2" width="26.421875" style="347" customWidth="1"/>
    <col min="3" max="3" width="9.28125" style="343" customWidth="1"/>
    <col min="4" max="4" width="9.00390625" style="343" customWidth="1"/>
    <col min="5" max="5" width="9.57421875" style="343" customWidth="1"/>
    <col min="6" max="6" width="10.140625" style="343" bestFit="1" customWidth="1"/>
    <col min="7" max="7" width="10.00390625" style="343" customWidth="1"/>
    <col min="8" max="8" width="9.00390625" style="343" customWidth="1"/>
    <col min="9" max="9" width="9.421875" style="343" bestFit="1" customWidth="1"/>
    <col min="10" max="10" width="8.7109375" style="343" customWidth="1"/>
    <col min="11" max="11" width="9.7109375" style="343" customWidth="1"/>
    <col min="12" max="12" width="23.8515625" style="343" customWidth="1"/>
    <col min="13" max="14" width="10.140625" style="343" bestFit="1" customWidth="1"/>
    <col min="15" max="15" width="12.00390625" style="343" customWidth="1"/>
    <col min="16" max="16" width="9.7109375" style="343" customWidth="1"/>
    <col min="17" max="17" width="10.140625" style="343" customWidth="1"/>
    <col min="18" max="18" width="9.28125" style="343" customWidth="1"/>
    <col min="19" max="19" width="9.00390625" style="343" customWidth="1"/>
    <col min="20" max="20" width="9.421875" style="343" customWidth="1"/>
    <col min="21" max="21" width="10.421875" style="343" customWidth="1"/>
    <col min="22" max="16384" width="9.140625" style="343" customWidth="1"/>
  </cols>
  <sheetData>
    <row r="1" spans="2:7" ht="24.75" customHeight="1">
      <c r="B1" s="791" t="s">
        <v>453</v>
      </c>
      <c r="C1" s="792"/>
      <c r="D1" s="792"/>
      <c r="E1" s="792"/>
      <c r="F1" s="792"/>
      <c r="G1" s="792"/>
    </row>
    <row r="2" spans="2:15" ht="54.75" customHeight="1">
      <c r="B2" s="344" t="s">
        <v>232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6"/>
    </row>
    <row r="3" spans="15:17" ht="15">
      <c r="O3" s="348" t="s">
        <v>1199</v>
      </c>
      <c r="P3" s="349"/>
      <c r="Q3" s="349"/>
    </row>
    <row r="4" spans="1:21" ht="24" customHeight="1">
      <c r="A4" s="350"/>
      <c r="B4" s="351" t="s">
        <v>1172</v>
      </c>
      <c r="C4" s="351"/>
      <c r="D4" s="351"/>
      <c r="E4" s="351"/>
      <c r="F4" s="351"/>
      <c r="G4" s="351"/>
      <c r="H4" s="351"/>
      <c r="I4" s="351"/>
      <c r="J4" s="351"/>
      <c r="K4" s="351"/>
      <c r="L4" s="351" t="s">
        <v>1175</v>
      </c>
      <c r="M4" s="351"/>
      <c r="N4" s="351"/>
      <c r="O4" s="351"/>
      <c r="P4" s="352"/>
      <c r="Q4" s="352"/>
      <c r="R4" s="352"/>
      <c r="S4" s="352"/>
      <c r="T4" s="352"/>
      <c r="U4" s="352"/>
    </row>
    <row r="5" spans="1:21" s="354" customFormat="1" ht="35.25" customHeight="1">
      <c r="A5" s="353"/>
      <c r="B5" s="353" t="s">
        <v>564</v>
      </c>
      <c r="C5" s="353" t="s">
        <v>565</v>
      </c>
      <c r="D5" s="353" t="s">
        <v>566</v>
      </c>
      <c r="E5" s="353" t="s">
        <v>567</v>
      </c>
      <c r="F5" s="353" t="s">
        <v>568</v>
      </c>
      <c r="G5" s="353" t="s">
        <v>689</v>
      </c>
      <c r="H5" s="353" t="s">
        <v>599</v>
      </c>
      <c r="I5" s="353" t="s">
        <v>600</v>
      </c>
      <c r="J5" s="353" t="s">
        <v>601</v>
      </c>
      <c r="K5" s="353"/>
      <c r="L5" s="353" t="s">
        <v>602</v>
      </c>
      <c r="M5" s="353" t="s">
        <v>603</v>
      </c>
      <c r="N5" s="353" t="s">
        <v>604</v>
      </c>
      <c r="O5" s="353" t="s">
        <v>605</v>
      </c>
      <c r="P5" s="353" t="s">
        <v>606</v>
      </c>
      <c r="Q5" s="353" t="s">
        <v>730</v>
      </c>
      <c r="R5" s="353" t="s">
        <v>607</v>
      </c>
      <c r="S5" s="353" t="s">
        <v>731</v>
      </c>
      <c r="T5" s="353" t="s">
        <v>608</v>
      </c>
      <c r="U5" s="353"/>
    </row>
    <row r="6" spans="1:21" s="354" customFormat="1" ht="45.75" customHeight="1">
      <c r="A6" s="353">
        <v>1</v>
      </c>
      <c r="B6" s="353" t="s">
        <v>617</v>
      </c>
      <c r="C6" s="353" t="s">
        <v>47</v>
      </c>
      <c r="D6" s="353" t="s">
        <v>48</v>
      </c>
      <c r="E6" s="353" t="s">
        <v>49</v>
      </c>
      <c r="F6" s="353" t="s">
        <v>50</v>
      </c>
      <c r="G6" s="353" t="s">
        <v>51</v>
      </c>
      <c r="H6" s="353" t="s">
        <v>52</v>
      </c>
      <c r="I6" s="353" t="s">
        <v>53</v>
      </c>
      <c r="J6" s="354" t="s">
        <v>54</v>
      </c>
      <c r="K6" s="354" t="s">
        <v>95</v>
      </c>
      <c r="L6" s="353" t="s">
        <v>617</v>
      </c>
      <c r="M6" s="353" t="s">
        <v>47</v>
      </c>
      <c r="N6" s="353" t="s">
        <v>48</v>
      </c>
      <c r="O6" s="353" t="s">
        <v>49</v>
      </c>
      <c r="P6" s="353" t="s">
        <v>50</v>
      </c>
      <c r="Q6" s="353" t="s">
        <v>51</v>
      </c>
      <c r="R6" s="353" t="s">
        <v>52</v>
      </c>
      <c r="S6" s="353" t="s">
        <v>53</v>
      </c>
      <c r="T6" s="353" t="s">
        <v>54</v>
      </c>
      <c r="U6" s="353" t="s">
        <v>95</v>
      </c>
    </row>
    <row r="7" spans="1:21" ht="35.25" customHeight="1">
      <c r="A7" s="350">
        <v>2</v>
      </c>
      <c r="B7" s="355" t="s">
        <v>55</v>
      </c>
      <c r="C7" s="352">
        <v>193882</v>
      </c>
      <c r="D7" s="356">
        <v>239531</v>
      </c>
      <c r="E7" s="356">
        <f>'[9]Pénzforg.jel.'!F24+'[9]Pénzforg.jel.'!F25-E8-E14</f>
        <v>208263</v>
      </c>
      <c r="F7" s="356">
        <v>208542</v>
      </c>
      <c r="G7" s="356">
        <v>224295</v>
      </c>
      <c r="H7" s="356">
        <v>208585</v>
      </c>
      <c r="I7" s="356">
        <v>220698</v>
      </c>
      <c r="J7" s="353">
        <f>'[10]1 b'!N17+'[10]1 b'!N19+'[10]1 b'!N21-3349-854</f>
        <v>203405</v>
      </c>
      <c r="K7" s="353">
        <f>'1c.bev.részletes'!AF54+'1c.bev.részletes'!AF56+'1c.bev.részletes'!AF27-'1c.bev.részletes'!AF22</f>
        <v>218533</v>
      </c>
      <c r="L7" s="352" t="s">
        <v>1170</v>
      </c>
      <c r="M7" s="352">
        <v>137438</v>
      </c>
      <c r="N7" s="356">
        <v>129456</v>
      </c>
      <c r="O7" s="356">
        <f>'[9]Pénzforg.jel.'!F7</f>
        <v>92854</v>
      </c>
      <c r="P7" s="352">
        <v>75341</v>
      </c>
      <c r="Q7" s="352">
        <v>98438</v>
      </c>
      <c r="R7" s="352">
        <v>75341</v>
      </c>
      <c r="S7" s="352">
        <v>75573</v>
      </c>
      <c r="T7" s="352">
        <v>85607</v>
      </c>
      <c r="U7" s="352">
        <f>'2a.K kiemelt ei.'!J59</f>
        <v>90760</v>
      </c>
    </row>
    <row r="8" spans="1:21" ht="46.5" customHeight="1">
      <c r="A8" s="353">
        <v>3</v>
      </c>
      <c r="B8" s="355" t="s">
        <v>230</v>
      </c>
      <c r="C8" s="352">
        <v>61677</v>
      </c>
      <c r="D8" s="356">
        <v>52063</v>
      </c>
      <c r="E8" s="356">
        <f>('[9]ÁT'!G53/1000)+'[9]1.Bevétel'!K33+'[9]1.Bevétel'!K34</f>
        <v>28441</v>
      </c>
      <c r="F8" s="356">
        <v>40428</v>
      </c>
      <c r="G8" s="356">
        <v>43314</v>
      </c>
      <c r="H8" s="356">
        <v>40428</v>
      </c>
      <c r="I8" s="356">
        <v>42248</v>
      </c>
      <c r="J8" s="356">
        <f>'[10]1 b'!N20</f>
        <v>4142</v>
      </c>
      <c r="K8" s="356">
        <f>'1a.össz.bevétel'!J36</f>
        <v>4259</v>
      </c>
      <c r="L8" s="352" t="s">
        <v>1171</v>
      </c>
      <c r="M8" s="352">
        <v>41307</v>
      </c>
      <c r="N8" s="356">
        <v>38566</v>
      </c>
      <c r="O8" s="356">
        <f>'[9]Pénzforg.jel.'!F8</f>
        <v>28704</v>
      </c>
      <c r="P8" s="352">
        <v>18602</v>
      </c>
      <c r="Q8" s="352">
        <v>24359</v>
      </c>
      <c r="R8" s="352">
        <v>18602</v>
      </c>
      <c r="S8" s="352">
        <v>18834</v>
      </c>
      <c r="T8" s="352">
        <v>19022</v>
      </c>
      <c r="U8" s="352">
        <f>'2a.K kiemelt ei.'!Q59</f>
        <v>25172</v>
      </c>
    </row>
    <row r="9" spans="1:21" ht="41.25" customHeight="1">
      <c r="A9" s="353">
        <v>4</v>
      </c>
      <c r="B9" s="355" t="s">
        <v>56</v>
      </c>
      <c r="C9" s="352">
        <v>8692</v>
      </c>
      <c r="D9" s="356">
        <v>3515</v>
      </c>
      <c r="E9" s="356">
        <f>'[9]Pénzforg.jel.'!F27</f>
        <v>5951</v>
      </c>
      <c r="F9" s="356">
        <v>2925</v>
      </c>
      <c r="G9" s="356">
        <v>4945</v>
      </c>
      <c r="H9" s="356">
        <v>2925</v>
      </c>
      <c r="I9" s="356">
        <v>2200</v>
      </c>
      <c r="J9" s="356">
        <f>'[10]1 b'!N16</f>
        <v>3349</v>
      </c>
      <c r="K9" s="356">
        <f>'1c.bev.részletes'!AF46+'1c.bev.részletes'!AF47</f>
        <v>7917</v>
      </c>
      <c r="L9" s="352" t="s">
        <v>692</v>
      </c>
      <c r="M9" s="352">
        <f>131667+6545</f>
        <v>138212</v>
      </c>
      <c r="N9" s="356">
        <f>119929+6551</f>
        <v>126480</v>
      </c>
      <c r="O9" s="356">
        <f>'[9]Pénzforg.jel.'!F9</f>
        <v>117974</v>
      </c>
      <c r="P9" s="352">
        <v>144579</v>
      </c>
      <c r="Q9" s="352">
        <v>122194</v>
      </c>
      <c r="R9" s="352">
        <v>144579</v>
      </c>
      <c r="S9" s="352">
        <v>132473</v>
      </c>
      <c r="T9" s="352">
        <v>125265</v>
      </c>
      <c r="U9" s="352">
        <f>'2a.K kiemelt ei.'!X59</f>
        <v>139180</v>
      </c>
    </row>
    <row r="10" spans="1:21" ht="45">
      <c r="A10" s="350">
        <v>5</v>
      </c>
      <c r="B10" s="355" t="s">
        <v>57</v>
      </c>
      <c r="C10" s="352">
        <v>57455</v>
      </c>
      <c r="D10" s="356">
        <v>32726</v>
      </c>
      <c r="E10" s="356">
        <f>'[9]Pénzforg.jel.'!F32</f>
        <v>73267</v>
      </c>
      <c r="F10" s="356">
        <v>62747</v>
      </c>
      <c r="G10" s="356">
        <v>50959</v>
      </c>
      <c r="H10" s="356">
        <v>45923</v>
      </c>
      <c r="I10" s="356">
        <v>52770</v>
      </c>
      <c r="J10" s="356">
        <f>'[10]1 b'!N29+'[10]1 b'!N30</f>
        <v>115524</v>
      </c>
      <c r="K10" s="356">
        <v>113954</v>
      </c>
      <c r="L10" s="352" t="s">
        <v>58</v>
      </c>
      <c r="M10" s="352"/>
      <c r="N10" s="356"/>
      <c r="O10" s="356"/>
      <c r="P10" s="352"/>
      <c r="Q10" s="352"/>
      <c r="R10" s="352"/>
      <c r="S10" s="352"/>
      <c r="T10" s="352"/>
      <c r="U10" s="352"/>
    </row>
    <row r="11" spans="1:21" ht="24" customHeight="1">
      <c r="A11" s="353">
        <v>6</v>
      </c>
      <c r="B11" s="355" t="s">
        <v>1173</v>
      </c>
      <c r="C11" s="352"/>
      <c r="D11" s="356"/>
      <c r="E11" s="356">
        <f>'[9]1.Bevétel'!K62</f>
        <v>64722</v>
      </c>
      <c r="F11" s="356">
        <v>59435</v>
      </c>
      <c r="G11" s="356">
        <v>91066</v>
      </c>
      <c r="H11" s="356">
        <v>59465</v>
      </c>
      <c r="I11" s="356">
        <v>3022</v>
      </c>
      <c r="J11" s="352">
        <f>'[10]1 b'!N47</f>
        <v>20651</v>
      </c>
      <c r="K11" s="352">
        <f>'1c.bev.részletes'!AF52</f>
        <v>65150</v>
      </c>
      <c r="L11" s="352" t="s">
        <v>59</v>
      </c>
      <c r="M11" s="352">
        <v>12925</v>
      </c>
      <c r="N11" s="356">
        <v>8798</v>
      </c>
      <c r="O11" s="356">
        <f>'[9]Pénzforg.jel.'!F11</f>
        <v>7587</v>
      </c>
      <c r="P11" s="352">
        <v>11039</v>
      </c>
      <c r="Q11" s="352">
        <v>9021</v>
      </c>
      <c r="R11" s="352">
        <v>11039</v>
      </c>
      <c r="S11" s="352">
        <v>13724</v>
      </c>
      <c r="T11" s="352">
        <v>9405</v>
      </c>
      <c r="U11" s="352">
        <f>'2a.K kiemelt ei.'!AE12</f>
        <v>10501</v>
      </c>
    </row>
    <row r="12" spans="1:21" ht="36.75" customHeight="1">
      <c r="A12" s="353">
        <v>7</v>
      </c>
      <c r="B12" s="357" t="s">
        <v>60</v>
      </c>
      <c r="C12" s="352"/>
      <c r="D12" s="356">
        <v>2424</v>
      </c>
      <c r="E12" s="356">
        <f>'[9]Pénzforg.jel.'!F26</f>
        <v>6697</v>
      </c>
      <c r="F12" s="356">
        <v>9239</v>
      </c>
      <c r="G12" s="356">
        <v>9281</v>
      </c>
      <c r="H12" s="356">
        <v>11938</v>
      </c>
      <c r="I12" s="356">
        <v>13456</v>
      </c>
      <c r="J12" s="352">
        <f>'[10]1 b'!N40</f>
        <v>17355</v>
      </c>
      <c r="K12" s="352">
        <f>'1c.bev.részletes'!AF44+'1c.bev.részletes'!AF45</f>
        <v>8555</v>
      </c>
      <c r="L12" s="352" t="s">
        <v>61</v>
      </c>
      <c r="M12" s="352">
        <v>1470</v>
      </c>
      <c r="N12" s="356">
        <v>2215</v>
      </c>
      <c r="O12" s="356">
        <f>'[9]Pénzforg.jel.'!F10-O13</f>
        <v>1555</v>
      </c>
      <c r="P12" s="352">
        <v>8296</v>
      </c>
      <c r="Q12" s="352">
        <v>5443</v>
      </c>
      <c r="R12" s="352">
        <v>8296</v>
      </c>
      <c r="S12" s="352">
        <v>5350</v>
      </c>
      <c r="T12" s="352"/>
      <c r="U12" s="352">
        <f>'2a.K kiemelt ei.'!AE11+'2a.K kiemelt ei.'!AE57</f>
        <v>30998</v>
      </c>
    </row>
    <row r="13" spans="1:21" ht="33.75" customHeight="1">
      <c r="A13" s="350">
        <v>8</v>
      </c>
      <c r="B13" s="355" t="s">
        <v>62</v>
      </c>
      <c r="C13" s="352">
        <v>47938</v>
      </c>
      <c r="D13" s="356">
        <v>4764</v>
      </c>
      <c r="E13" s="356">
        <f>'[9]Pénzforg.jel.'!F37</f>
        <v>0</v>
      </c>
      <c r="F13" s="356"/>
      <c r="G13" s="356"/>
      <c r="H13" s="356"/>
      <c r="I13" s="356"/>
      <c r="J13" s="356"/>
      <c r="K13" s="356"/>
      <c r="L13" s="352" t="s">
        <v>63</v>
      </c>
      <c r="M13" s="352"/>
      <c r="N13" s="352"/>
      <c r="O13" s="352">
        <f>'[9]2. Kiadás'!AW18</f>
        <v>50768</v>
      </c>
      <c r="P13" s="352">
        <v>150</v>
      </c>
      <c r="Q13" s="352">
        <v>59709</v>
      </c>
      <c r="R13" s="352">
        <v>46721</v>
      </c>
      <c r="S13" s="352">
        <v>23741</v>
      </c>
      <c r="T13" s="352">
        <v>32369</v>
      </c>
      <c r="U13" s="352">
        <f>'2a.K kiemelt ei.'!AE9</f>
        <v>23433</v>
      </c>
    </row>
    <row r="14" spans="1:21" ht="39" customHeight="1">
      <c r="A14" s="353">
        <v>9</v>
      </c>
      <c r="B14" s="358" t="s">
        <v>64</v>
      </c>
      <c r="C14" s="352">
        <v>8898</v>
      </c>
      <c r="D14" s="356">
        <v>6765</v>
      </c>
      <c r="E14" s="356">
        <f>'[9]1.Bevétel'!K25</f>
        <v>2151</v>
      </c>
      <c r="F14" s="356">
        <v>8636</v>
      </c>
      <c r="G14" s="356">
        <v>4051</v>
      </c>
      <c r="H14" s="356">
        <v>8636</v>
      </c>
      <c r="I14" s="356">
        <v>1953</v>
      </c>
      <c r="J14" s="356">
        <f>'[10]1 b'!N31</f>
        <v>5163</v>
      </c>
      <c r="K14" s="356">
        <f>'1a.össz.bevétel'!J26</f>
        <v>55</v>
      </c>
      <c r="L14" s="352"/>
      <c r="M14" s="352"/>
      <c r="N14" s="356"/>
      <c r="O14" s="356"/>
      <c r="P14" s="352"/>
      <c r="Q14" s="352"/>
      <c r="R14" s="352"/>
      <c r="S14" s="352"/>
      <c r="T14" s="352"/>
      <c r="U14" s="352"/>
    </row>
    <row r="15" spans="1:21" ht="18" customHeight="1">
      <c r="A15" s="353">
        <v>10</v>
      </c>
      <c r="B15" s="358" t="s">
        <v>65</v>
      </c>
      <c r="C15" s="352"/>
      <c r="D15" s="356"/>
      <c r="E15" s="356"/>
      <c r="F15" s="356">
        <f>'[10]1b. bevétel'!Q37</f>
        <v>1111</v>
      </c>
      <c r="G15" s="356">
        <v>90</v>
      </c>
      <c r="H15" s="356"/>
      <c r="I15" s="356"/>
      <c r="J15" s="356"/>
      <c r="K15" s="356"/>
      <c r="L15" s="352"/>
      <c r="M15" s="352"/>
      <c r="N15" s="356"/>
      <c r="O15" s="356"/>
      <c r="P15" s="352"/>
      <c r="Q15" s="352"/>
      <c r="R15" s="352"/>
      <c r="S15" s="352"/>
      <c r="T15" s="352"/>
      <c r="U15" s="352"/>
    </row>
    <row r="16" spans="1:21" ht="18" customHeight="1">
      <c r="A16" s="350">
        <v>11</v>
      </c>
      <c r="B16" s="358" t="s">
        <v>231</v>
      </c>
      <c r="C16" s="352"/>
      <c r="D16" s="356"/>
      <c r="E16" s="356"/>
      <c r="F16" s="356"/>
      <c r="G16" s="356"/>
      <c r="H16" s="356"/>
      <c r="I16" s="356"/>
      <c r="J16" s="356"/>
      <c r="K16" s="356">
        <f>'1c.bev.részletes'!AF69</f>
        <v>299000</v>
      </c>
      <c r="L16" s="352" t="s">
        <v>66</v>
      </c>
      <c r="M16" s="352"/>
      <c r="N16" s="356"/>
      <c r="O16" s="356"/>
      <c r="P16" s="352"/>
      <c r="Q16" s="352"/>
      <c r="R16" s="352"/>
      <c r="S16" s="352"/>
      <c r="T16" s="352"/>
      <c r="U16" s="352">
        <f>'2a.K kiemelt ei.'!AE13</f>
        <v>334000</v>
      </c>
    </row>
    <row r="17" spans="1:21" ht="18" customHeight="1">
      <c r="A17" s="353">
        <v>12</v>
      </c>
      <c r="B17" s="358" t="s">
        <v>1461</v>
      </c>
      <c r="C17" s="352"/>
      <c r="D17" s="356"/>
      <c r="E17" s="356"/>
      <c r="F17" s="356"/>
      <c r="G17" s="356"/>
      <c r="H17" s="356"/>
      <c r="I17" s="356"/>
      <c r="J17" s="356"/>
      <c r="K17" s="356">
        <f>'1c.bev.részletes'!AF66</f>
        <v>3562</v>
      </c>
      <c r="L17" s="352" t="s">
        <v>67</v>
      </c>
      <c r="M17" s="352"/>
      <c r="N17" s="356"/>
      <c r="O17" s="356"/>
      <c r="P17" s="352"/>
      <c r="Q17" s="352"/>
      <c r="R17" s="352"/>
      <c r="S17" s="352"/>
      <c r="T17" s="352"/>
      <c r="U17" s="352"/>
    </row>
    <row r="18" spans="1:21" ht="18" customHeight="1">
      <c r="A18" s="353">
        <v>13</v>
      </c>
      <c r="B18" s="359" t="s">
        <v>68</v>
      </c>
      <c r="C18" s="360">
        <f aca="true" t="shared" si="0" ref="C18:K18">SUM(C7:C17)</f>
        <v>378542</v>
      </c>
      <c r="D18" s="360">
        <f t="shared" si="0"/>
        <v>341788</v>
      </c>
      <c r="E18" s="360">
        <f t="shared" si="0"/>
        <v>389492</v>
      </c>
      <c r="F18" s="360">
        <f t="shared" si="0"/>
        <v>393063</v>
      </c>
      <c r="G18" s="360">
        <f t="shared" si="0"/>
        <v>428001</v>
      </c>
      <c r="H18" s="360">
        <f t="shared" si="0"/>
        <v>377900</v>
      </c>
      <c r="I18" s="360">
        <f t="shared" si="0"/>
        <v>336347</v>
      </c>
      <c r="J18" s="360">
        <f t="shared" si="0"/>
        <v>369589</v>
      </c>
      <c r="K18" s="360">
        <f t="shared" si="0"/>
        <v>720985</v>
      </c>
      <c r="L18" s="360" t="s">
        <v>68</v>
      </c>
      <c r="M18" s="360">
        <f aca="true" t="shared" si="1" ref="M18:U18">SUM(M7:M17)</f>
        <v>331352</v>
      </c>
      <c r="N18" s="360">
        <f t="shared" si="1"/>
        <v>305515</v>
      </c>
      <c r="O18" s="360">
        <f t="shared" si="1"/>
        <v>299442</v>
      </c>
      <c r="P18" s="360">
        <f t="shared" si="1"/>
        <v>258007</v>
      </c>
      <c r="Q18" s="360">
        <f t="shared" si="1"/>
        <v>319164</v>
      </c>
      <c r="R18" s="360">
        <f t="shared" si="1"/>
        <v>304578</v>
      </c>
      <c r="S18" s="360">
        <f t="shared" si="1"/>
        <v>269695</v>
      </c>
      <c r="T18" s="360">
        <f t="shared" si="1"/>
        <v>271668</v>
      </c>
      <c r="U18" s="360">
        <f t="shared" si="1"/>
        <v>654044</v>
      </c>
    </row>
    <row r="19" spans="1:21" ht="18" customHeight="1">
      <c r="A19" s="350">
        <v>14</v>
      </c>
      <c r="B19" s="359" t="s">
        <v>69</v>
      </c>
      <c r="C19" s="361" t="str">
        <f>IF(((O18-C18)&gt;0),O18-C18,"----")</f>
        <v>----</v>
      </c>
      <c r="D19" s="361" t="str">
        <f>IF(((P18-D18)&gt;0),P18-D18,"----")</f>
        <v>----</v>
      </c>
      <c r="E19" s="361" t="str">
        <f>IF(((Q18-E18)&gt;0),Q18-E18,"----")</f>
        <v>----</v>
      </c>
      <c r="F19" s="352"/>
      <c r="G19" s="361" t="str">
        <f>IF(((R18-F18)&gt;0),R18-F18,"----")</f>
        <v>----</v>
      </c>
      <c r="H19" s="361"/>
      <c r="I19" s="361"/>
      <c r="J19" s="361"/>
      <c r="K19" s="361"/>
      <c r="L19" s="360" t="s">
        <v>70</v>
      </c>
      <c r="M19" s="361">
        <f aca="true" t="shared" si="2" ref="M19:U19">IF(((C18-M18)&gt;0),C18-M18,"----")</f>
        <v>47190</v>
      </c>
      <c r="N19" s="361">
        <f t="shared" si="2"/>
        <v>36273</v>
      </c>
      <c r="O19" s="361">
        <f t="shared" si="2"/>
        <v>90050</v>
      </c>
      <c r="P19" s="361">
        <f t="shared" si="2"/>
        <v>135056</v>
      </c>
      <c r="Q19" s="361">
        <f t="shared" si="2"/>
        <v>108837</v>
      </c>
      <c r="R19" s="361">
        <f t="shared" si="2"/>
        <v>73322</v>
      </c>
      <c r="S19" s="361">
        <f t="shared" si="2"/>
        <v>66652</v>
      </c>
      <c r="T19" s="361">
        <f t="shared" si="2"/>
        <v>97921</v>
      </c>
      <c r="U19" s="361">
        <f t="shared" si="2"/>
        <v>66941</v>
      </c>
    </row>
    <row r="20" ht="15">
      <c r="M20" s="362"/>
    </row>
  </sheetData>
  <sheetProtection/>
  <mergeCells count="1">
    <mergeCell ref="B1:G1"/>
  </mergeCells>
  <printOptions/>
  <pageMargins left="0.7" right="0.7" top="0.75" bottom="0.75" header="0.3" footer="0.3"/>
  <pageSetup horizontalDpi="300" verticalDpi="3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BreakPreview" zoomScale="60" zoomScalePageLayoutView="0" workbookViewId="0" topLeftCell="A1">
      <selection activeCell="F41" sqref="F41"/>
    </sheetView>
  </sheetViews>
  <sheetFormatPr defaultColWidth="9.140625" defaultRowHeight="15"/>
  <cols>
    <col min="1" max="1" width="5.8515625" style="274" customWidth="1"/>
    <col min="2" max="2" width="47.28125" style="277" customWidth="1"/>
    <col min="3" max="5" width="14.00390625" style="274" customWidth="1"/>
    <col min="6" max="6" width="47.28125" style="274" customWidth="1"/>
    <col min="7" max="9" width="14.00390625" style="274" customWidth="1"/>
    <col min="10" max="10" width="4.140625" style="274" customWidth="1"/>
    <col min="11" max="16384" width="9.140625" style="274" customWidth="1"/>
  </cols>
  <sheetData>
    <row r="1" spans="2:3" ht="15">
      <c r="B1" s="790" t="s">
        <v>451</v>
      </c>
      <c r="C1" s="790"/>
    </row>
    <row r="2" spans="2:10" ht="39.75" customHeight="1">
      <c r="B2" s="796" t="s">
        <v>11</v>
      </c>
      <c r="C2" s="796"/>
      <c r="D2" s="796"/>
      <c r="E2" s="796"/>
      <c r="F2" s="796"/>
      <c r="G2" s="796"/>
      <c r="H2" s="796"/>
      <c r="I2" s="796"/>
      <c r="J2" s="793"/>
    </row>
    <row r="3" spans="7:10" ht="15.75" thickBot="1">
      <c r="G3" s="278"/>
      <c r="H3" s="278"/>
      <c r="I3" s="278" t="s">
        <v>1199</v>
      </c>
      <c r="J3" s="793"/>
    </row>
    <row r="4" spans="1:10" ht="24" customHeight="1" thickBot="1">
      <c r="A4" s="794" t="s">
        <v>1182</v>
      </c>
      <c r="B4" s="279" t="s">
        <v>1172</v>
      </c>
      <c r="C4" s="280"/>
      <c r="D4" s="280"/>
      <c r="E4" s="280"/>
      <c r="F4" s="279" t="s">
        <v>1175</v>
      </c>
      <c r="G4" s="281"/>
      <c r="H4" s="281"/>
      <c r="I4" s="281"/>
      <c r="J4" s="793"/>
    </row>
    <row r="5" spans="1:10" s="286" customFormat="1" ht="35.25" customHeight="1" thickBot="1">
      <c r="A5" s="795"/>
      <c r="B5" s="282" t="s">
        <v>617</v>
      </c>
      <c r="C5" s="283" t="str">
        <f>+'[8]2.1.sz.mell  '!C4</f>
        <v>2014. évi eredeti előirányzat</v>
      </c>
      <c r="D5" s="284" t="str">
        <f>+'[8]2.1.sz.mell  '!D4</f>
        <v>2014. évi módosított előirányzat</v>
      </c>
      <c r="E5" s="283" t="str">
        <f>+'[8]2.1.sz.mell  '!E4</f>
        <v>2014. évi teljesítés</v>
      </c>
      <c r="F5" s="282" t="s">
        <v>617</v>
      </c>
      <c r="G5" s="283" t="str">
        <f>+'[8]2.1.sz.mell  '!C4</f>
        <v>2014. évi eredeti előirányzat</v>
      </c>
      <c r="H5" s="284" t="str">
        <f>+'[8]2.1.sz.mell  '!D4</f>
        <v>2014. évi módosított előirányzat</v>
      </c>
      <c r="I5" s="285" t="str">
        <f>+'[8]2.1.sz.mell  '!E4</f>
        <v>2014. évi teljesítés</v>
      </c>
      <c r="J5" s="793"/>
    </row>
    <row r="6" spans="1:10" s="286" customFormat="1" ht="13.5" thickBot="1">
      <c r="A6" s="287" t="s">
        <v>564</v>
      </c>
      <c r="B6" s="288" t="s">
        <v>565</v>
      </c>
      <c r="C6" s="289" t="s">
        <v>566</v>
      </c>
      <c r="D6" s="289" t="s">
        <v>567</v>
      </c>
      <c r="E6" s="289" t="s">
        <v>568</v>
      </c>
      <c r="F6" s="288" t="s">
        <v>689</v>
      </c>
      <c r="G6" s="289" t="s">
        <v>599</v>
      </c>
      <c r="H6" s="289" t="s">
        <v>600</v>
      </c>
      <c r="I6" s="290" t="s">
        <v>601</v>
      </c>
      <c r="J6" s="793"/>
    </row>
    <row r="7" spans="1:10" ht="12.75" customHeight="1">
      <c r="A7" s="292" t="s">
        <v>928</v>
      </c>
      <c r="B7" s="293" t="s">
        <v>12</v>
      </c>
      <c r="C7" s="294"/>
      <c r="D7" s="294"/>
      <c r="E7" s="294"/>
      <c r="F7" s="293" t="s">
        <v>13</v>
      </c>
      <c r="G7" s="294">
        <f>'2d. fejlesztés'!D108</f>
        <v>8877</v>
      </c>
      <c r="H7" s="294">
        <f>'2d. fejlesztés'!G108</f>
        <v>19763</v>
      </c>
      <c r="I7" s="295">
        <f>'2d. fejlesztés'!J108</f>
        <v>17984</v>
      </c>
      <c r="J7" s="793"/>
    </row>
    <row r="8" spans="1:10" ht="15">
      <c r="A8" s="296" t="s">
        <v>929</v>
      </c>
      <c r="B8" s="297" t="s">
        <v>14</v>
      </c>
      <c r="C8" s="298"/>
      <c r="D8" s="298"/>
      <c r="E8" s="298"/>
      <c r="F8" s="297" t="s">
        <v>15</v>
      </c>
      <c r="G8" s="298"/>
      <c r="H8" s="298"/>
      <c r="I8" s="299"/>
      <c r="J8" s="793"/>
    </row>
    <row r="9" spans="1:10" ht="12.75" customHeight="1">
      <c r="A9" s="296" t="s">
        <v>934</v>
      </c>
      <c r="B9" s="297" t="s">
        <v>16</v>
      </c>
      <c r="C9" s="298">
        <f>'1a.össz.bevétel'!D10</f>
        <v>3500</v>
      </c>
      <c r="D9" s="298">
        <f>'1a.össz.bevétel'!G10+'1a.össz.bevétel'!G11</f>
        <v>8184</v>
      </c>
      <c r="E9" s="298">
        <f>'1a.össz.bevétel'!J10+'1a.össz.bevétel'!J11</f>
        <v>8054</v>
      </c>
      <c r="F9" s="297" t="s">
        <v>17</v>
      </c>
      <c r="G9" s="298">
        <f>'2d. fejlesztés'!D62</f>
        <v>11731</v>
      </c>
      <c r="H9" s="298">
        <f>'2d. fejlesztés'!G62</f>
        <v>27232</v>
      </c>
      <c r="I9" s="299">
        <f>'2d. fejlesztés'!J62</f>
        <v>18237</v>
      </c>
      <c r="J9" s="793"/>
    </row>
    <row r="10" spans="1:10" ht="12.75" customHeight="1">
      <c r="A10" s="296" t="s">
        <v>1118</v>
      </c>
      <c r="B10" s="297" t="s">
        <v>18</v>
      </c>
      <c r="C10" s="298">
        <f>'1a.össz.bevétel'!D12+'1a.össz.bevétel'!D13+'1a.össz.bevétel'!D14</f>
        <v>20357</v>
      </c>
      <c r="D10" s="298">
        <f>'1a.össz.bevétel'!G12+'1a.össz.bevétel'!G13+'1a.össz.bevétel'!G14+'1a.össz.bevétel'!G15</f>
        <v>21001</v>
      </c>
      <c r="E10" s="298">
        <f>'1a.össz.bevétel'!J12+'1a.össz.bevétel'!J13+'1a.össz.bevétel'!J14+'1a.össz.bevétel'!J15</f>
        <v>1841</v>
      </c>
      <c r="F10" s="297" t="s">
        <v>19</v>
      </c>
      <c r="G10" s="298"/>
      <c r="H10" s="298"/>
      <c r="I10" s="299"/>
      <c r="J10" s="793"/>
    </row>
    <row r="11" spans="1:10" ht="12.75" customHeight="1">
      <c r="A11" s="296" t="s">
        <v>939</v>
      </c>
      <c r="B11" s="297" t="s">
        <v>20</v>
      </c>
      <c r="C11" s="298"/>
      <c r="D11" s="298"/>
      <c r="E11" s="298"/>
      <c r="F11" s="297" t="s">
        <v>21</v>
      </c>
      <c r="G11" s="298"/>
      <c r="H11" s="298"/>
      <c r="I11" s="299"/>
      <c r="J11" s="793"/>
    </row>
    <row r="12" spans="1:10" ht="12.75" customHeight="1">
      <c r="A12" s="296" t="s">
        <v>1192</v>
      </c>
      <c r="B12" s="297" t="s">
        <v>22</v>
      </c>
      <c r="C12" s="301"/>
      <c r="D12" s="301"/>
      <c r="E12" s="301"/>
      <c r="F12" s="575" t="s">
        <v>435</v>
      </c>
      <c r="G12" s="298">
        <f>'2d. fejlesztés'!D110</f>
        <v>10265</v>
      </c>
      <c r="H12" s="298">
        <f>'2d. fejlesztés'!G110</f>
        <v>1193</v>
      </c>
      <c r="I12" s="299">
        <f>'2d. fejlesztés'!J110</f>
        <v>593</v>
      </c>
      <c r="J12" s="793"/>
    </row>
    <row r="13" spans="1:10" ht="12.75" customHeight="1">
      <c r="A13" s="296" t="s">
        <v>1194</v>
      </c>
      <c r="B13" s="302" t="s">
        <v>1405</v>
      </c>
      <c r="C13" s="298"/>
      <c r="D13" s="298">
        <f>'1a.össz.bevétel'!G16</f>
        <v>216</v>
      </c>
      <c r="E13" s="298">
        <f>'1a.össz.bevétel'!J16</f>
        <v>216</v>
      </c>
      <c r="F13" s="321"/>
      <c r="G13" s="298"/>
      <c r="H13" s="298"/>
      <c r="I13" s="299"/>
      <c r="J13" s="793"/>
    </row>
    <row r="14" spans="1:10" ht="12.75" customHeight="1">
      <c r="A14" s="296" t="s">
        <v>1120</v>
      </c>
      <c r="B14" s="302" t="s">
        <v>434</v>
      </c>
      <c r="C14" s="298"/>
      <c r="D14" s="298">
        <f>'1a.össz.bevétel'!G17</f>
        <v>26451</v>
      </c>
      <c r="E14" s="298">
        <f>'1a.össz.bevétel'!J17</f>
        <v>26451</v>
      </c>
      <c r="F14" s="322"/>
      <c r="G14" s="298"/>
      <c r="H14" s="298"/>
      <c r="I14" s="299"/>
      <c r="J14" s="793"/>
    </row>
    <row r="15" spans="1:10" ht="12.75" customHeight="1">
      <c r="A15" s="296" t="s">
        <v>1227</v>
      </c>
      <c r="B15" s="323"/>
      <c r="C15" s="301"/>
      <c r="D15" s="301"/>
      <c r="E15" s="301"/>
      <c r="F15" s="321"/>
      <c r="G15" s="298"/>
      <c r="H15" s="298"/>
      <c r="I15" s="299"/>
      <c r="J15" s="793"/>
    </row>
    <row r="16" spans="1:10" ht="15">
      <c r="A16" s="296" t="s">
        <v>1229</v>
      </c>
      <c r="B16" s="302"/>
      <c r="C16" s="301"/>
      <c r="D16" s="301"/>
      <c r="E16" s="301"/>
      <c r="F16" s="321"/>
      <c r="G16" s="298"/>
      <c r="H16" s="298"/>
      <c r="I16" s="299"/>
      <c r="J16" s="793"/>
    </row>
    <row r="17" spans="1:10" ht="12.75" customHeight="1" thickBot="1">
      <c r="A17" s="324" t="s">
        <v>1231</v>
      </c>
      <c r="B17" s="325"/>
      <c r="C17" s="326"/>
      <c r="D17" s="327"/>
      <c r="E17" s="328"/>
      <c r="F17" s="329" t="s">
        <v>1176</v>
      </c>
      <c r="G17" s="298"/>
      <c r="H17" s="298"/>
      <c r="I17" s="299"/>
      <c r="J17" s="793"/>
    </row>
    <row r="18" spans="1:10" ht="15.75" customHeight="1" thickBot="1">
      <c r="A18" s="307" t="s">
        <v>1233</v>
      </c>
      <c r="B18" s="308" t="s">
        <v>23</v>
      </c>
      <c r="C18" s="309">
        <f>+C7+C9+C10+C12+C13+C14+C15+C16+C17</f>
        <v>23857</v>
      </c>
      <c r="D18" s="309">
        <f>+D7+D9+D10+D12+D13+D14+D15+D16+D17</f>
        <v>55852</v>
      </c>
      <c r="E18" s="309">
        <f>+E7+E9+E10+E12+E13+E14+E15+E16+E17</f>
        <v>36562</v>
      </c>
      <c r="F18" s="308" t="s">
        <v>24</v>
      </c>
      <c r="G18" s="309">
        <f>+G7+G9+G11+G12+G13+G14+G15+G16+G17</f>
        <v>30873</v>
      </c>
      <c r="H18" s="309">
        <f>+H7+H9+H11+H12+H13+H14+H15+H16+H17</f>
        <v>48188</v>
      </c>
      <c r="I18" s="330">
        <f>+I7+I9+I11+I12+I13+I14+I15+I16+I17</f>
        <v>36814</v>
      </c>
      <c r="J18" s="793"/>
    </row>
    <row r="19" spans="1:10" ht="12.75" customHeight="1">
      <c r="A19" s="292" t="s">
        <v>1235</v>
      </c>
      <c r="B19" s="331" t="s">
        <v>25</v>
      </c>
      <c r="C19" s="332">
        <f>+C20+C21+C22+C23+C24</f>
        <v>3039</v>
      </c>
      <c r="D19" s="332">
        <f>+D20+D21+D22+D23+D24</f>
        <v>3039</v>
      </c>
      <c r="E19" s="332">
        <f>+E20+E21+E22+E23+E24</f>
        <v>3039</v>
      </c>
      <c r="F19" s="313" t="s">
        <v>1483</v>
      </c>
      <c r="G19" s="333"/>
      <c r="H19" s="333"/>
      <c r="I19" s="184"/>
      <c r="J19" s="793"/>
    </row>
    <row r="20" spans="1:10" ht="12.75" customHeight="1">
      <c r="A20" s="296" t="s">
        <v>1237</v>
      </c>
      <c r="B20" s="334" t="s">
        <v>26</v>
      </c>
      <c r="C20" s="316">
        <f>'1a.össz.bevétel'!D18</f>
        <v>3039</v>
      </c>
      <c r="D20" s="316">
        <f>'1a.össz.bevétel'!G18</f>
        <v>3039</v>
      </c>
      <c r="E20" s="316">
        <f>'1a.össz.bevétel'!J18</f>
        <v>3039</v>
      </c>
      <c r="F20" s="313" t="s">
        <v>27</v>
      </c>
      <c r="G20" s="316"/>
      <c r="H20" s="316"/>
      <c r="I20" s="186"/>
      <c r="J20" s="793"/>
    </row>
    <row r="21" spans="1:10" ht="12.75" customHeight="1">
      <c r="A21" s="292" t="s">
        <v>1239</v>
      </c>
      <c r="B21" s="334" t="s">
        <v>28</v>
      </c>
      <c r="C21" s="316"/>
      <c r="D21" s="316"/>
      <c r="E21" s="316"/>
      <c r="F21" s="313" t="s">
        <v>1487</v>
      </c>
      <c r="G21" s="316"/>
      <c r="H21" s="316"/>
      <c r="I21" s="186"/>
      <c r="J21" s="793"/>
    </row>
    <row r="22" spans="1:10" ht="12.75" customHeight="1">
      <c r="A22" s="296" t="s">
        <v>1241</v>
      </c>
      <c r="B22" s="334" t="s">
        <v>29</v>
      </c>
      <c r="C22" s="316"/>
      <c r="D22" s="316"/>
      <c r="E22" s="316"/>
      <c r="F22" s="313" t="s">
        <v>1489</v>
      </c>
      <c r="G22" s="316"/>
      <c r="H22" s="316"/>
      <c r="I22" s="186"/>
      <c r="J22" s="793"/>
    </row>
    <row r="23" spans="1:10" ht="12.75" customHeight="1">
      <c r="A23" s="292" t="s">
        <v>1243</v>
      </c>
      <c r="B23" s="334" t="s">
        <v>30</v>
      </c>
      <c r="C23" s="316"/>
      <c r="D23" s="316"/>
      <c r="E23" s="316"/>
      <c r="F23" s="311" t="s">
        <v>1492</v>
      </c>
      <c r="G23" s="316"/>
      <c r="H23" s="316"/>
      <c r="I23" s="186"/>
      <c r="J23" s="793"/>
    </row>
    <row r="24" spans="1:10" ht="12.75" customHeight="1">
      <c r="A24" s="296" t="s">
        <v>1490</v>
      </c>
      <c r="B24" s="335" t="s">
        <v>31</v>
      </c>
      <c r="C24" s="316"/>
      <c r="D24" s="316"/>
      <c r="E24" s="316"/>
      <c r="F24" s="313" t="s">
        <v>32</v>
      </c>
      <c r="G24" s="316"/>
      <c r="H24" s="316"/>
      <c r="I24" s="186"/>
      <c r="J24" s="793"/>
    </row>
    <row r="25" spans="1:10" ht="12.75" customHeight="1">
      <c r="A25" s="292" t="s">
        <v>1493</v>
      </c>
      <c r="B25" s="336" t="s">
        <v>33</v>
      </c>
      <c r="C25" s="317">
        <f>+C26+C27+C28+C29+C30</f>
        <v>0</v>
      </c>
      <c r="D25" s="317">
        <f>+D26+D27+D28+D29+D30</f>
        <v>0</v>
      </c>
      <c r="E25" s="317">
        <f>+E26+E27+E28+E29+E30</f>
        <v>0</v>
      </c>
      <c r="F25" s="337" t="s">
        <v>1498</v>
      </c>
      <c r="G25" s="316"/>
      <c r="H25" s="316"/>
      <c r="I25" s="186"/>
      <c r="J25" s="793"/>
    </row>
    <row r="26" spans="1:10" ht="12.75" customHeight="1">
      <c r="A26" s="296" t="s">
        <v>1496</v>
      </c>
      <c r="B26" s="335" t="s">
        <v>34</v>
      </c>
      <c r="C26" s="316"/>
      <c r="D26" s="316"/>
      <c r="E26" s="316"/>
      <c r="F26" s="337" t="s">
        <v>35</v>
      </c>
      <c r="G26" s="316"/>
      <c r="H26" s="316"/>
      <c r="I26" s="186"/>
      <c r="J26" s="793"/>
    </row>
    <row r="27" spans="1:10" ht="12.75" customHeight="1">
      <c r="A27" s="292" t="s">
        <v>1499</v>
      </c>
      <c r="B27" s="335" t="s">
        <v>36</v>
      </c>
      <c r="C27" s="316"/>
      <c r="D27" s="316"/>
      <c r="E27" s="316"/>
      <c r="F27" s="338"/>
      <c r="G27" s="316"/>
      <c r="H27" s="316"/>
      <c r="I27" s="186"/>
      <c r="J27" s="793"/>
    </row>
    <row r="28" spans="1:10" ht="12.75" customHeight="1">
      <c r="A28" s="296" t="s">
        <v>1501</v>
      </c>
      <c r="B28" s="334" t="s">
        <v>37</v>
      </c>
      <c r="C28" s="316"/>
      <c r="D28" s="316"/>
      <c r="E28" s="316"/>
      <c r="F28" s="339"/>
      <c r="G28" s="316"/>
      <c r="H28" s="316"/>
      <c r="I28" s="186"/>
      <c r="J28" s="793"/>
    </row>
    <row r="29" spans="1:10" ht="12.75" customHeight="1">
      <c r="A29" s="292" t="s">
        <v>2</v>
      </c>
      <c r="B29" s="340" t="s">
        <v>38</v>
      </c>
      <c r="C29" s="316"/>
      <c r="D29" s="316"/>
      <c r="E29" s="316"/>
      <c r="F29" s="302"/>
      <c r="G29" s="316"/>
      <c r="H29" s="316"/>
      <c r="I29" s="186"/>
      <c r="J29" s="793"/>
    </row>
    <row r="30" spans="1:10" ht="12.75" customHeight="1" thickBot="1">
      <c r="A30" s="296" t="s">
        <v>5</v>
      </c>
      <c r="B30" s="341" t="s">
        <v>39</v>
      </c>
      <c r="C30" s="316"/>
      <c r="D30" s="316"/>
      <c r="E30" s="316"/>
      <c r="F30" s="339"/>
      <c r="G30" s="316"/>
      <c r="H30" s="316"/>
      <c r="I30" s="186"/>
      <c r="J30" s="793"/>
    </row>
    <row r="31" spans="1:10" ht="16.5" customHeight="1" thickBot="1">
      <c r="A31" s="307" t="s">
        <v>8</v>
      </c>
      <c r="B31" s="308" t="s">
        <v>40</v>
      </c>
      <c r="C31" s="309">
        <f>+C19+C25</f>
        <v>3039</v>
      </c>
      <c r="D31" s="309">
        <f>+D19+D25</f>
        <v>3039</v>
      </c>
      <c r="E31" s="309">
        <f>+E19+E25</f>
        <v>3039</v>
      </c>
      <c r="F31" s="308" t="s">
        <v>41</v>
      </c>
      <c r="G31" s="309">
        <f>SUM(G19:G30)</f>
        <v>0</v>
      </c>
      <c r="H31" s="309">
        <f>SUM(H19:H30)</f>
        <v>0</v>
      </c>
      <c r="I31" s="330">
        <f>SUM(I19:I30)</f>
        <v>0</v>
      </c>
      <c r="J31" s="793"/>
    </row>
    <row r="32" spans="1:10" ht="16.5" customHeight="1" thickBot="1">
      <c r="A32" s="307" t="s">
        <v>42</v>
      </c>
      <c r="B32" s="318" t="s">
        <v>43</v>
      </c>
      <c r="C32" s="319">
        <f>+C18+C31</f>
        <v>26896</v>
      </c>
      <c r="D32" s="319">
        <f>+D18+D31</f>
        <v>58891</v>
      </c>
      <c r="E32" s="320">
        <f>+E18+E31</f>
        <v>39601</v>
      </c>
      <c r="F32" s="318" t="s">
        <v>44</v>
      </c>
      <c r="G32" s="319">
        <f>+G18+G31</f>
        <v>30873</v>
      </c>
      <c r="H32" s="319">
        <f>+H18+H31</f>
        <v>48188</v>
      </c>
      <c r="I32" s="342">
        <f>+I18+I31</f>
        <v>36814</v>
      </c>
      <c r="J32" s="793"/>
    </row>
    <row r="33" spans="1:10" ht="16.5" customHeight="1" thickBot="1">
      <c r="A33" s="307" t="s">
        <v>45</v>
      </c>
      <c r="B33" s="318" t="s">
        <v>6</v>
      </c>
      <c r="C33" s="319">
        <f>IF(C18-G18&lt;0,G18-C18,"-")</f>
        <v>7016</v>
      </c>
      <c r="D33" s="319" t="str">
        <f>IF(D18-H18&lt;0,H18-D18,"-")</f>
        <v>-</v>
      </c>
      <c r="E33" s="320">
        <f>IF(E18-I18&lt;0,I18-E18,"-")</f>
        <v>252</v>
      </c>
      <c r="F33" s="318" t="s">
        <v>7</v>
      </c>
      <c r="G33" s="319" t="str">
        <f>IF(C18-G18&gt;0,C18-G18,"-")</f>
        <v>-</v>
      </c>
      <c r="H33" s="319">
        <f>IF(D18-H18&gt;0,D18-H18,"-")</f>
        <v>7664</v>
      </c>
      <c r="I33" s="342" t="str">
        <f>IF(E18-I18&gt;0,E18-I18,"-")</f>
        <v>-</v>
      </c>
      <c r="J33" s="793"/>
    </row>
    <row r="34" spans="1:10" ht="16.5" customHeight="1" thickBot="1">
      <c r="A34" s="307" t="s">
        <v>46</v>
      </c>
      <c r="B34" s="318" t="s">
        <v>9</v>
      </c>
      <c r="C34" s="319" t="str">
        <f>IF(C27-G27&lt;0,G27-C27,"-")</f>
        <v>-</v>
      </c>
      <c r="D34" s="319" t="str">
        <f>IF(D27-H27&lt;0,H27-D27,"-")</f>
        <v>-</v>
      </c>
      <c r="E34" s="320" t="str">
        <f>IF(E27-I27&lt;0,I27-E27,"-")</f>
        <v>-</v>
      </c>
      <c r="F34" s="318" t="s">
        <v>10</v>
      </c>
      <c r="G34" s="319" t="str">
        <f>IF(C27-G27&gt;0,C27-G27,"-")</f>
        <v>-</v>
      </c>
      <c r="H34" s="319" t="str">
        <f>IF(D27-H27&gt;0,D27-H27,"-")</f>
        <v>-</v>
      </c>
      <c r="I34" s="342" t="str">
        <f>IF(E27-I27&gt;0,E27-I27,"-")</f>
        <v>-</v>
      </c>
      <c r="J34" s="793"/>
    </row>
  </sheetData>
  <sheetProtection/>
  <mergeCells count="4">
    <mergeCell ref="J2:J34"/>
    <mergeCell ref="A4:A5"/>
    <mergeCell ref="B2:I2"/>
    <mergeCell ref="B1:C1"/>
  </mergeCells>
  <printOptions/>
  <pageMargins left="0.7" right="0.7" top="0.75" bottom="0.75" header="0.3" footer="0.3"/>
  <pageSetup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U57"/>
  <sheetViews>
    <sheetView view="pageBreakPreview" zoomScale="60" zoomScalePageLayoutView="0" workbookViewId="0" topLeftCell="A1">
      <selection activeCell="B1" sqref="B1:G1"/>
    </sheetView>
  </sheetViews>
  <sheetFormatPr defaultColWidth="9.140625" defaultRowHeight="15"/>
  <cols>
    <col min="1" max="1" width="9.28125" style="363" bestFit="1" customWidth="1"/>
    <col min="2" max="2" width="24.00390625" style="23" customWidth="1"/>
    <col min="3" max="3" width="10.140625" style="23" customWidth="1"/>
    <col min="4" max="5" width="9.421875" style="23" bestFit="1" customWidth="1"/>
    <col min="6" max="10" width="9.28125" style="23" bestFit="1" customWidth="1"/>
    <col min="11" max="11" width="9.421875" style="23" bestFit="1" customWidth="1"/>
    <col min="12" max="12" width="22.8515625" style="23" customWidth="1"/>
    <col min="13" max="13" width="9.28125" style="23" bestFit="1" customWidth="1"/>
    <col min="14" max="16384" width="9.140625" style="23" customWidth="1"/>
  </cols>
  <sheetData>
    <row r="1" spans="2:7" ht="15.75">
      <c r="B1" s="791" t="s">
        <v>452</v>
      </c>
      <c r="C1" s="792"/>
      <c r="D1" s="792"/>
      <c r="E1" s="792"/>
      <c r="F1" s="792"/>
      <c r="G1" s="792"/>
    </row>
    <row r="2" spans="2:17" ht="31.5">
      <c r="B2" s="364" t="s">
        <v>71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6"/>
      <c r="Q2" s="367"/>
    </row>
    <row r="3" spans="2:17" ht="16.5" thickBot="1"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 t="s">
        <v>1199</v>
      </c>
      <c r="P3" s="371"/>
      <c r="Q3" s="371"/>
    </row>
    <row r="4" spans="1:21" ht="16.5" thickBot="1">
      <c r="A4" s="372"/>
      <c r="B4" s="373" t="s">
        <v>1172</v>
      </c>
      <c r="C4" s="374"/>
      <c r="D4" s="374"/>
      <c r="E4" s="374"/>
      <c r="F4" s="374"/>
      <c r="G4" s="374"/>
      <c r="H4" s="374"/>
      <c r="I4" s="374"/>
      <c r="J4" s="374"/>
      <c r="K4" s="374"/>
      <c r="L4" s="374" t="s">
        <v>1175</v>
      </c>
      <c r="M4" s="374"/>
      <c r="N4" s="374"/>
      <c r="O4" s="375"/>
      <c r="P4" s="376"/>
      <c r="Q4" s="377"/>
      <c r="R4" s="378"/>
      <c r="S4" s="405"/>
      <c r="T4" s="379"/>
      <c r="U4" s="379"/>
    </row>
    <row r="5" spans="1:21" s="363" customFormat="1" ht="16.5" thickBot="1">
      <c r="A5" s="380"/>
      <c r="B5" s="381" t="s">
        <v>564</v>
      </c>
      <c r="C5" s="382" t="s">
        <v>565</v>
      </c>
      <c r="D5" s="382" t="s">
        <v>566</v>
      </c>
      <c r="E5" s="382" t="s">
        <v>567</v>
      </c>
      <c r="F5" s="382" t="s">
        <v>568</v>
      </c>
      <c r="G5" s="382" t="s">
        <v>689</v>
      </c>
      <c r="H5" s="382" t="s">
        <v>599</v>
      </c>
      <c r="I5" s="382" t="s">
        <v>600</v>
      </c>
      <c r="J5" s="382" t="s">
        <v>601</v>
      </c>
      <c r="K5" s="382"/>
      <c r="L5" s="383" t="s">
        <v>602</v>
      </c>
      <c r="M5" s="384" t="s">
        <v>603</v>
      </c>
      <c r="N5" s="384" t="s">
        <v>604</v>
      </c>
      <c r="O5" s="384" t="s">
        <v>605</v>
      </c>
      <c r="P5" s="385" t="s">
        <v>606</v>
      </c>
      <c r="Q5" s="386" t="s">
        <v>730</v>
      </c>
      <c r="R5" s="387" t="s">
        <v>607</v>
      </c>
      <c r="S5" s="457" t="s">
        <v>731</v>
      </c>
      <c r="T5" s="386" t="s">
        <v>608</v>
      </c>
      <c r="U5" s="386"/>
    </row>
    <row r="6" spans="1:21" ht="32.25" thickBot="1">
      <c r="A6" s="380">
        <v>1</v>
      </c>
      <c r="B6" s="381" t="s">
        <v>617</v>
      </c>
      <c r="C6" s="382" t="s">
        <v>72</v>
      </c>
      <c r="D6" s="382" t="s">
        <v>73</v>
      </c>
      <c r="E6" s="382" t="s">
        <v>74</v>
      </c>
      <c r="F6" s="382" t="s">
        <v>50</v>
      </c>
      <c r="G6" s="382" t="s">
        <v>75</v>
      </c>
      <c r="H6" s="382" t="s">
        <v>76</v>
      </c>
      <c r="I6" s="382" t="s">
        <v>53</v>
      </c>
      <c r="J6" s="382" t="s">
        <v>77</v>
      </c>
      <c r="K6" s="382" t="s">
        <v>95</v>
      </c>
      <c r="L6" s="382" t="s">
        <v>617</v>
      </c>
      <c r="M6" s="388" t="s">
        <v>72</v>
      </c>
      <c r="N6" s="388" t="s">
        <v>73</v>
      </c>
      <c r="O6" s="389" t="s">
        <v>74</v>
      </c>
      <c r="P6" s="390" t="s">
        <v>50</v>
      </c>
      <c r="Q6" s="391" t="s">
        <v>75</v>
      </c>
      <c r="R6" s="392" t="s">
        <v>52</v>
      </c>
      <c r="S6" s="393" t="s">
        <v>78</v>
      </c>
      <c r="T6" s="392" t="s">
        <v>54</v>
      </c>
      <c r="U6" s="392" t="s">
        <v>95</v>
      </c>
    </row>
    <row r="7" spans="1:21" ht="38.25" customHeight="1" thickBot="1">
      <c r="A7" s="380">
        <v>2</v>
      </c>
      <c r="B7" s="394" t="s">
        <v>79</v>
      </c>
      <c r="C7" s="395">
        <v>54931</v>
      </c>
      <c r="D7" s="396">
        <v>11757</v>
      </c>
      <c r="E7" s="397">
        <f>'[9]Pénzforg.jel.'!F28</f>
        <v>13941</v>
      </c>
      <c r="F7" s="398">
        <v>8276</v>
      </c>
      <c r="G7" s="398">
        <v>6905</v>
      </c>
      <c r="H7" s="398">
        <f>'[10]1b. bevétel'!H23</f>
        <v>9265</v>
      </c>
      <c r="I7" s="398">
        <v>9646</v>
      </c>
      <c r="J7" s="398">
        <v>1576</v>
      </c>
      <c r="K7" s="398">
        <f>'1c.bev.részletes'!AF36+'1c.bev.részletes'!AF22</f>
        <v>34544</v>
      </c>
      <c r="L7" s="399" t="s">
        <v>80</v>
      </c>
      <c r="M7" s="400">
        <v>74996</v>
      </c>
      <c r="N7" s="401">
        <v>13960</v>
      </c>
      <c r="O7" s="402">
        <f>'[9]Pénzforg.jel.'!F13</f>
        <v>6057</v>
      </c>
      <c r="P7" s="403">
        <v>26817</v>
      </c>
      <c r="Q7" s="404">
        <v>23410</v>
      </c>
      <c r="R7" s="379">
        <v>26817</v>
      </c>
      <c r="S7" s="405">
        <v>33440</v>
      </c>
      <c r="T7" s="379">
        <f>'[10]2c.Fejlesztés'!I118-T8</f>
        <v>15177</v>
      </c>
      <c r="U7" s="379">
        <f>'2d. fejlesztés'!J108</f>
        <v>17984</v>
      </c>
    </row>
    <row r="8" spans="1:21" ht="46.5" customHeight="1" thickBot="1">
      <c r="A8" s="380">
        <v>3</v>
      </c>
      <c r="B8" s="406" t="s">
        <v>81</v>
      </c>
      <c r="C8" s="407">
        <v>31299</v>
      </c>
      <c r="D8" s="397">
        <v>37581</v>
      </c>
      <c r="E8" s="408">
        <f>'[9]Pénzforg.jel.'!F30</f>
        <v>205</v>
      </c>
      <c r="F8" s="397"/>
      <c r="G8" s="397"/>
      <c r="H8" s="397"/>
      <c r="I8" s="397"/>
      <c r="J8" s="398"/>
      <c r="K8" s="398"/>
      <c r="L8" s="409" t="s">
        <v>82</v>
      </c>
      <c r="M8" s="410">
        <v>12332</v>
      </c>
      <c r="N8" s="411">
        <v>2883</v>
      </c>
      <c r="O8" s="412">
        <f>'[9]Pénzforg.jel.'!F14-'[9]3.Fejlesztés'!J20</f>
        <v>3427</v>
      </c>
      <c r="P8" s="403">
        <v>1108</v>
      </c>
      <c r="Q8" s="404">
        <v>1725</v>
      </c>
      <c r="R8" s="379">
        <v>1503</v>
      </c>
      <c r="S8" s="405">
        <v>703</v>
      </c>
      <c r="T8" s="379">
        <f>'[10]2c.Fejlesztés'!I68</f>
        <v>21394</v>
      </c>
      <c r="U8" s="379">
        <f>'2d. fejlesztés'!J110</f>
        <v>593</v>
      </c>
    </row>
    <row r="9" spans="1:21" s="65" customFormat="1" ht="32.25" customHeight="1" thickBot="1">
      <c r="A9" s="380">
        <v>4</v>
      </c>
      <c r="B9" s="406" t="s">
        <v>83</v>
      </c>
      <c r="C9" s="413"/>
      <c r="D9" s="398">
        <v>32830</v>
      </c>
      <c r="E9" s="397"/>
      <c r="F9" s="397">
        <f>'[10]1b. bevétel'!Q41-95</f>
        <v>-95</v>
      </c>
      <c r="G9" s="397"/>
      <c r="H9" s="397"/>
      <c r="I9" s="397"/>
      <c r="J9" s="398"/>
      <c r="K9" s="398"/>
      <c r="L9" s="409" t="s">
        <v>17</v>
      </c>
      <c r="M9" s="410">
        <v>28263</v>
      </c>
      <c r="N9" s="411">
        <v>3986</v>
      </c>
      <c r="O9" s="412">
        <f>'[9]Pénzforg.jel.'!F12</f>
        <v>8695</v>
      </c>
      <c r="P9" s="414">
        <v>6956</v>
      </c>
      <c r="Q9" s="415">
        <v>26296</v>
      </c>
      <c r="R9" s="416">
        <v>6956</v>
      </c>
      <c r="S9" s="417">
        <v>95</v>
      </c>
      <c r="T9" s="416">
        <f>'[10]2c.Fejlesztés'!I48</f>
        <v>15754</v>
      </c>
      <c r="U9" s="416">
        <f>'2d. fejlesztés'!J62</f>
        <v>18237</v>
      </c>
    </row>
    <row r="10" spans="1:21" s="65" customFormat="1" ht="35.25" customHeight="1" thickBot="1">
      <c r="A10" s="380">
        <v>5</v>
      </c>
      <c r="B10" s="406" t="s">
        <v>1173</v>
      </c>
      <c r="C10" s="413">
        <v>4295</v>
      </c>
      <c r="D10" s="397">
        <v>4295</v>
      </c>
      <c r="E10" s="397">
        <f>'[9]1.Bevétel'!K14</f>
        <v>1495</v>
      </c>
      <c r="F10" s="397">
        <v>1495</v>
      </c>
      <c r="G10" s="397">
        <v>1495</v>
      </c>
      <c r="H10" s="397">
        <v>1465</v>
      </c>
      <c r="I10" s="397"/>
      <c r="J10" s="398"/>
      <c r="K10" s="398">
        <f>'1c.bev.részletes'!AF53</f>
        <v>3039</v>
      </c>
      <c r="L10" s="409" t="s">
        <v>84</v>
      </c>
      <c r="M10" s="410"/>
      <c r="N10" s="411"/>
      <c r="O10" s="412"/>
      <c r="P10" s="414">
        <f>'[10]2.b kiadás'!Q23</f>
        <v>0</v>
      </c>
      <c r="Q10" s="415"/>
      <c r="R10" s="416">
        <v>888</v>
      </c>
      <c r="S10" s="417"/>
      <c r="T10" s="416"/>
      <c r="U10" s="416"/>
    </row>
    <row r="11" spans="1:21" s="423" customFormat="1" ht="36" customHeight="1" thickBot="1">
      <c r="A11" s="380">
        <v>6</v>
      </c>
      <c r="B11" s="418" t="s">
        <v>85</v>
      </c>
      <c r="C11" s="413">
        <v>11113</v>
      </c>
      <c r="D11" s="397">
        <v>400</v>
      </c>
      <c r="E11" s="397">
        <f>'[9]Pénzforg.jel.'!F31</f>
        <v>1340</v>
      </c>
      <c r="F11" s="397">
        <f>'[10]1b. bevétel'!Q25</f>
        <v>2371</v>
      </c>
      <c r="G11" s="397"/>
      <c r="H11" s="397"/>
      <c r="I11" s="397"/>
      <c r="J11" s="398"/>
      <c r="K11" s="398"/>
      <c r="L11" s="409" t="s">
        <v>86</v>
      </c>
      <c r="M11" s="410">
        <v>1899</v>
      </c>
      <c r="N11" s="411">
        <v>3222</v>
      </c>
      <c r="O11" s="412">
        <f>'[9]3.Fejlesztés'!J50</f>
        <v>1859</v>
      </c>
      <c r="P11" s="419">
        <v>6359</v>
      </c>
      <c r="Q11" s="420">
        <v>6339</v>
      </c>
      <c r="R11" s="421">
        <v>6359</v>
      </c>
      <c r="S11" s="422">
        <v>17094</v>
      </c>
      <c r="T11" s="421">
        <v>0</v>
      </c>
      <c r="U11" s="421"/>
    </row>
    <row r="12" spans="1:21" s="371" customFormat="1" ht="32.25" thickBot="1">
      <c r="A12" s="380">
        <v>7</v>
      </c>
      <c r="B12" s="418" t="s">
        <v>87</v>
      </c>
      <c r="C12" s="413"/>
      <c r="D12" s="397">
        <v>2268</v>
      </c>
      <c r="E12" s="409"/>
      <c r="F12" s="409"/>
      <c r="G12" s="409"/>
      <c r="H12" s="409"/>
      <c r="I12" s="409"/>
      <c r="J12" s="398">
        <v>217</v>
      </c>
      <c r="K12" s="398"/>
      <c r="L12" s="413" t="s">
        <v>88</v>
      </c>
      <c r="M12" s="410"/>
      <c r="N12" s="411">
        <v>1580</v>
      </c>
      <c r="O12" s="412">
        <f>'[9]3.Fejlesztés'!J28+'[9]3.Fejlesztés'!J51+'[9]3.Fejlesztés'!J27</f>
        <v>5101</v>
      </c>
      <c r="P12" s="403">
        <v>1029</v>
      </c>
      <c r="Q12" s="404">
        <v>1128</v>
      </c>
      <c r="R12" s="379">
        <v>1029</v>
      </c>
      <c r="S12" s="405">
        <v>884</v>
      </c>
      <c r="T12" s="379">
        <v>0</v>
      </c>
      <c r="U12" s="379"/>
    </row>
    <row r="13" spans="1:21" ht="34.5" customHeight="1" thickBot="1">
      <c r="A13" s="380">
        <v>8</v>
      </c>
      <c r="B13" s="418" t="s">
        <v>89</v>
      </c>
      <c r="C13" s="413"/>
      <c r="D13" s="397">
        <v>6837</v>
      </c>
      <c r="E13" s="397"/>
      <c r="F13" s="397"/>
      <c r="G13" s="397">
        <v>2736</v>
      </c>
      <c r="H13" s="397">
        <f>'[10]1b. bevétel'!H25</f>
        <v>2371</v>
      </c>
      <c r="I13" s="397">
        <v>2828</v>
      </c>
      <c r="J13" s="398">
        <v>1701</v>
      </c>
      <c r="K13" s="398">
        <v>428</v>
      </c>
      <c r="L13" s="413" t="s">
        <v>90</v>
      </c>
      <c r="M13" s="410"/>
      <c r="N13" s="411">
        <v>500</v>
      </c>
      <c r="O13" s="412">
        <f>'[9]Pénzforg.jel.'!F15</f>
        <v>250</v>
      </c>
      <c r="P13" s="403">
        <f>1400+353</f>
        <v>1753</v>
      </c>
      <c r="Q13" s="404">
        <v>1337</v>
      </c>
      <c r="R13" s="379">
        <v>470</v>
      </c>
      <c r="S13" s="405">
        <v>953</v>
      </c>
      <c r="T13" s="379">
        <v>0</v>
      </c>
      <c r="U13" s="379"/>
    </row>
    <row r="14" spans="1:21" ht="33" customHeight="1" thickBot="1">
      <c r="A14" s="380">
        <v>9</v>
      </c>
      <c r="B14" s="418" t="s">
        <v>91</v>
      </c>
      <c r="C14" s="413">
        <v>3177</v>
      </c>
      <c r="D14" s="397">
        <v>4330</v>
      </c>
      <c r="E14" s="397">
        <f>'[9]Pénzforg.jel.'!F34</f>
        <v>3432</v>
      </c>
      <c r="F14" s="396">
        <f>'[10]1b. bevétel'!Q40</f>
        <v>1212</v>
      </c>
      <c r="G14" s="396">
        <v>1190</v>
      </c>
      <c r="H14" s="396">
        <f>'[10]1b. bevétel'!H40</f>
        <v>1212</v>
      </c>
      <c r="I14" s="396">
        <v>842</v>
      </c>
      <c r="J14" s="398">
        <v>524</v>
      </c>
      <c r="K14" s="396">
        <f>537+'1c.bev.részletes'!J32</f>
        <v>1413</v>
      </c>
      <c r="L14" s="424" t="s">
        <v>92</v>
      </c>
      <c r="M14" s="410"/>
      <c r="N14" s="411">
        <v>41954</v>
      </c>
      <c r="O14" s="412"/>
      <c r="P14" s="403"/>
      <c r="Q14" s="404"/>
      <c r="R14" s="379"/>
      <c r="S14" s="405"/>
      <c r="T14" s="379"/>
      <c r="U14" s="379"/>
    </row>
    <row r="15" spans="1:21" ht="24" customHeight="1" thickBot="1">
      <c r="A15" s="380">
        <v>10</v>
      </c>
      <c r="B15" s="418" t="s">
        <v>1405</v>
      </c>
      <c r="C15" s="413">
        <v>1</v>
      </c>
      <c r="D15" s="397"/>
      <c r="E15" s="397">
        <v>0</v>
      </c>
      <c r="F15" s="397">
        <v>95</v>
      </c>
      <c r="G15" s="397">
        <v>2</v>
      </c>
      <c r="H15" s="397">
        <f>'[10]1b. bevétel'!H24</f>
        <v>184</v>
      </c>
      <c r="I15" s="397">
        <v>315</v>
      </c>
      <c r="J15" s="398">
        <v>198</v>
      </c>
      <c r="K15" s="398">
        <f>'1c.bev.részletes'!AF50</f>
        <v>216</v>
      </c>
      <c r="L15" s="413" t="s">
        <v>93</v>
      </c>
      <c r="M15" s="410"/>
      <c r="N15" s="411">
        <v>2268</v>
      </c>
      <c r="O15" s="412">
        <f>'[9]3.Fejlesztés'!J20</f>
        <v>319</v>
      </c>
      <c r="P15" s="403"/>
      <c r="Q15" s="404"/>
      <c r="R15" s="379"/>
      <c r="S15" s="405"/>
      <c r="T15" s="379"/>
      <c r="U15" s="379"/>
    </row>
    <row r="16" spans="1:21" ht="33" customHeight="1" thickBot="1">
      <c r="A16" s="380">
        <v>11</v>
      </c>
      <c r="B16" s="425"/>
      <c r="C16" s="426"/>
      <c r="D16" s="427"/>
      <c r="E16" s="427"/>
      <c r="F16" s="427"/>
      <c r="G16" s="427"/>
      <c r="H16" s="427"/>
      <c r="I16" s="427"/>
      <c r="J16" s="398"/>
      <c r="K16" s="398"/>
      <c r="L16" s="409" t="s">
        <v>94</v>
      </c>
      <c r="M16" s="428"/>
      <c r="N16" s="429"/>
      <c r="O16" s="430"/>
      <c r="P16" s="403"/>
      <c r="Q16" s="431"/>
      <c r="R16" s="379"/>
      <c r="S16" s="405"/>
      <c r="T16" s="379"/>
      <c r="U16" s="379"/>
    </row>
    <row r="17" spans="1:21" ht="16.5" thickBot="1">
      <c r="A17" s="380">
        <v>12</v>
      </c>
      <c r="B17" s="432" t="s">
        <v>68</v>
      </c>
      <c r="C17" s="433">
        <f>SUM(C7:C16)</f>
        <v>104816</v>
      </c>
      <c r="D17" s="433">
        <f>SUM(D7:D16)</f>
        <v>100298</v>
      </c>
      <c r="E17" s="433">
        <f aca="true" t="shared" si="0" ref="E17:J17">SUM(E7:E15)</f>
        <v>20413</v>
      </c>
      <c r="F17" s="433">
        <f t="shared" si="0"/>
        <v>13354</v>
      </c>
      <c r="G17" s="433">
        <f t="shared" si="0"/>
        <v>12328</v>
      </c>
      <c r="H17" s="433">
        <f t="shared" si="0"/>
        <v>14497</v>
      </c>
      <c r="I17" s="433">
        <f t="shared" si="0"/>
        <v>13631</v>
      </c>
      <c r="J17" s="433">
        <f t="shared" si="0"/>
        <v>4216</v>
      </c>
      <c r="K17" s="433">
        <f>SUM(K7:K16)</f>
        <v>39640</v>
      </c>
      <c r="L17" s="433" t="s">
        <v>68</v>
      </c>
      <c r="M17" s="434">
        <f aca="true" t="shared" si="1" ref="M17:U17">SUM(M7:M16)</f>
        <v>117490</v>
      </c>
      <c r="N17" s="435">
        <f t="shared" si="1"/>
        <v>70353</v>
      </c>
      <c r="O17" s="436">
        <f t="shared" si="1"/>
        <v>25708</v>
      </c>
      <c r="P17" s="437">
        <f t="shared" si="1"/>
        <v>44022</v>
      </c>
      <c r="Q17" s="434">
        <f t="shared" si="1"/>
        <v>60235</v>
      </c>
      <c r="R17" s="434">
        <f t="shared" si="1"/>
        <v>44022</v>
      </c>
      <c r="S17" s="437">
        <f t="shared" si="1"/>
        <v>53169</v>
      </c>
      <c r="T17" s="435">
        <f t="shared" si="1"/>
        <v>52325</v>
      </c>
      <c r="U17" s="435">
        <f t="shared" si="1"/>
        <v>36814</v>
      </c>
    </row>
    <row r="18" spans="1:21" ht="16.5" thickBot="1">
      <c r="A18" s="438">
        <v>13</v>
      </c>
      <c r="B18" s="439" t="s">
        <v>69</v>
      </c>
      <c r="C18" s="440">
        <f aca="true" t="shared" si="2" ref="C18:H18">IF(((M17-C17)&gt;0),M17-C17,"----")</f>
        <v>12674</v>
      </c>
      <c r="D18" s="440" t="str">
        <f t="shared" si="2"/>
        <v>----</v>
      </c>
      <c r="E18" s="440">
        <f t="shared" si="2"/>
        <v>5295</v>
      </c>
      <c r="F18" s="441">
        <f t="shared" si="2"/>
        <v>30668</v>
      </c>
      <c r="G18" s="441">
        <f t="shared" si="2"/>
        <v>47907</v>
      </c>
      <c r="H18" s="441">
        <f t="shared" si="2"/>
        <v>29525</v>
      </c>
      <c r="I18" s="441">
        <v>39538</v>
      </c>
      <c r="J18" s="442">
        <v>48109</v>
      </c>
      <c r="K18" s="442"/>
      <c r="L18" s="443" t="s">
        <v>70</v>
      </c>
      <c r="M18" s="444" t="str">
        <f>IF(((C17-M17)&gt;0),C17-M17,"----")</f>
        <v>----</v>
      </c>
      <c r="N18" s="444">
        <f>IF(((D17-N17)&gt;0),D17-N17,"----")</f>
        <v>29945</v>
      </c>
      <c r="O18" s="442" t="str">
        <f>IF(((E17-O17)&gt;0),E17-O17,"----")</f>
        <v>----</v>
      </c>
      <c r="P18" s="445" t="str">
        <f>IF(((F17-P17)&gt;0),F17-P17,"----")</f>
        <v>----</v>
      </c>
      <c r="Q18" s="446" t="str">
        <f>IF(((G17-Q17)&gt;0),G17-Q17,"----")</f>
        <v>----</v>
      </c>
      <c r="R18" s="447"/>
      <c r="S18" s="448"/>
      <c r="T18" s="379"/>
      <c r="U18" s="379">
        <v>2829</v>
      </c>
    </row>
    <row r="19" spans="2:12" ht="15"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</row>
    <row r="20" spans="2:11" ht="15">
      <c r="B20" s="371"/>
      <c r="C20" s="371"/>
      <c r="D20" s="371"/>
      <c r="E20" s="371"/>
      <c r="F20" s="371"/>
      <c r="G20" s="371"/>
      <c r="H20" s="371"/>
      <c r="I20" s="371"/>
      <c r="J20" s="371"/>
      <c r="K20" s="371"/>
    </row>
    <row r="21" spans="2:12" ht="18.75">
      <c r="B21" s="371"/>
      <c r="C21" s="449"/>
      <c r="D21" s="450"/>
      <c r="E21" s="450"/>
      <c r="L21" s="450"/>
    </row>
    <row r="22" spans="2:12" ht="15"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</row>
    <row r="23" spans="2:12" ht="15">
      <c r="B23" s="451"/>
      <c r="C23" s="371"/>
      <c r="D23" s="371"/>
      <c r="E23" s="371"/>
      <c r="F23" s="371"/>
      <c r="G23" s="371"/>
      <c r="H23" s="371"/>
      <c r="I23" s="371"/>
      <c r="J23" s="371"/>
      <c r="K23" s="371"/>
      <c r="L23" s="371"/>
    </row>
    <row r="24" spans="2:12" ht="15"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</row>
    <row r="25" spans="2:12" ht="15"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</row>
    <row r="26" spans="2:12" ht="15"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</row>
    <row r="27" spans="2:12" ht="15"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</row>
    <row r="28" spans="2:12" ht="15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</row>
    <row r="29" spans="2:12" ht="15"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</row>
    <row r="30" spans="2:12" ht="15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</row>
    <row r="31" spans="1:12" s="454" customFormat="1" ht="18.75">
      <c r="A31" s="452"/>
      <c r="B31" s="453"/>
      <c r="C31" s="453"/>
      <c r="D31" s="450"/>
      <c r="E31" s="450"/>
      <c r="F31" s="450"/>
      <c r="G31" s="450"/>
      <c r="H31" s="450"/>
      <c r="I31" s="450"/>
      <c r="J31" s="450"/>
      <c r="K31" s="450"/>
      <c r="L31" s="450"/>
    </row>
    <row r="32" spans="2:12" ht="15"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</row>
    <row r="33" spans="1:12" s="456" customFormat="1" ht="18.75">
      <c r="A33" s="455"/>
      <c r="B33" s="449"/>
      <c r="C33" s="449"/>
      <c r="D33" s="450"/>
      <c r="E33" s="450"/>
      <c r="F33" s="450"/>
      <c r="G33" s="450"/>
      <c r="H33" s="450"/>
      <c r="I33" s="450"/>
      <c r="J33" s="450"/>
      <c r="K33" s="450"/>
      <c r="L33" s="450"/>
    </row>
    <row r="34" spans="2:12" ht="15"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2:12" ht="15"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</row>
    <row r="36" spans="2:12" ht="18.75">
      <c r="B36" s="371"/>
      <c r="C36" s="450"/>
      <c r="D36" s="450"/>
      <c r="E36" s="450"/>
      <c r="F36" s="450"/>
      <c r="G36" s="450"/>
      <c r="H36" s="450"/>
      <c r="I36" s="450"/>
      <c r="J36" s="450"/>
      <c r="K36" s="450"/>
      <c r="L36" s="450"/>
    </row>
    <row r="37" spans="2:12" ht="15"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</row>
    <row r="38" spans="2:12" ht="15"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</row>
    <row r="39" spans="2:12" ht="15"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</row>
    <row r="40" spans="2:12" ht="15"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</row>
    <row r="41" spans="2:12" ht="15"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</row>
    <row r="42" spans="1:12" s="454" customFormat="1" ht="18.75">
      <c r="A42" s="452"/>
      <c r="B42" s="453"/>
      <c r="C42" s="453"/>
      <c r="D42" s="453"/>
      <c r="E42" s="450"/>
      <c r="F42" s="450"/>
      <c r="G42" s="450"/>
      <c r="H42" s="450"/>
      <c r="I42" s="450"/>
      <c r="J42" s="450"/>
      <c r="K42" s="450"/>
      <c r="L42" s="450"/>
    </row>
    <row r="43" spans="2:12" ht="15"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</row>
    <row r="44" spans="2:12" ht="15"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</row>
    <row r="45" spans="2:12" ht="15"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</row>
    <row r="46" spans="2:12" ht="15"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</row>
    <row r="47" spans="2:12" ht="15"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</row>
    <row r="48" spans="1:12" s="454" customFormat="1" ht="18.75">
      <c r="A48" s="452"/>
      <c r="B48" s="453"/>
      <c r="C48" s="453"/>
      <c r="D48" s="453"/>
      <c r="E48" s="450"/>
      <c r="F48" s="450"/>
      <c r="G48" s="450"/>
      <c r="H48" s="450"/>
      <c r="I48" s="450"/>
      <c r="J48" s="450"/>
      <c r="K48" s="450"/>
      <c r="L48" s="450"/>
    </row>
    <row r="49" spans="2:12" ht="15"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</row>
    <row r="50" spans="1:12" s="454" customFormat="1" ht="18.75">
      <c r="A50" s="452"/>
      <c r="B50" s="453"/>
      <c r="C50" s="453"/>
      <c r="D50" s="453"/>
      <c r="E50" s="450"/>
      <c r="F50" s="450"/>
      <c r="G50" s="450"/>
      <c r="H50" s="450"/>
      <c r="I50" s="450"/>
      <c r="J50" s="450"/>
      <c r="K50" s="450"/>
      <c r="L50" s="450"/>
    </row>
    <row r="51" spans="2:12" ht="15"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</row>
    <row r="52" spans="2:12" ht="15"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</row>
    <row r="53" spans="2:12" ht="15"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</row>
    <row r="54" spans="2:12" ht="15"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</row>
    <row r="55" spans="1:12" s="454" customFormat="1" ht="18.75">
      <c r="A55" s="452"/>
      <c r="B55" s="453"/>
      <c r="C55" s="453"/>
      <c r="D55" s="453"/>
      <c r="E55" s="450"/>
      <c r="F55" s="450"/>
      <c r="G55" s="450"/>
      <c r="H55" s="450"/>
      <c r="I55" s="450"/>
      <c r="J55" s="450"/>
      <c r="K55" s="450"/>
      <c r="L55" s="450"/>
    </row>
    <row r="56" spans="2:12" ht="15"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</row>
    <row r="57" spans="1:12" s="454" customFormat="1" ht="18.75">
      <c r="A57" s="452"/>
      <c r="B57" s="453"/>
      <c r="C57" s="453"/>
      <c r="D57" s="453"/>
      <c r="E57" s="450"/>
      <c r="F57" s="450"/>
      <c r="G57" s="450"/>
      <c r="H57" s="450"/>
      <c r="I57" s="450"/>
      <c r="J57" s="450"/>
      <c r="K57" s="450"/>
      <c r="L57" s="450"/>
    </row>
  </sheetData>
  <sheetProtection/>
  <mergeCells count="1">
    <mergeCell ref="B1:G1"/>
  </mergeCells>
  <printOptions/>
  <pageMargins left="0.7" right="0.7" top="0.75" bottom="0.75" header="0.3" footer="0.3"/>
  <pageSetup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view="pageBreakPreview" zoomScale="60" zoomScalePageLayoutView="0" workbookViewId="0" topLeftCell="A1">
      <selection activeCell="H13" sqref="H13"/>
    </sheetView>
  </sheetViews>
  <sheetFormatPr defaultColWidth="9.140625" defaultRowHeight="15"/>
  <cols>
    <col min="1" max="1" width="5.8515625" style="87" customWidth="1"/>
    <col min="2" max="2" width="35.00390625" style="86" customWidth="1"/>
    <col min="3" max="3" width="10.421875" style="86" bestFit="1" customWidth="1"/>
    <col min="4" max="8" width="11.00390625" style="86" customWidth="1"/>
    <col min="9" max="16384" width="9.140625" style="86" customWidth="1"/>
  </cols>
  <sheetData>
    <row r="1" spans="1:7" ht="12.75">
      <c r="A1" s="797" t="s">
        <v>454</v>
      </c>
      <c r="B1" s="797"/>
      <c r="C1" s="797"/>
      <c r="D1" s="797"/>
      <c r="E1" s="797"/>
      <c r="F1" s="797"/>
      <c r="G1" s="797"/>
    </row>
    <row r="4" spans="1:10" s="88" customFormat="1" ht="12.75">
      <c r="A4" s="798" t="s">
        <v>1177</v>
      </c>
      <c r="B4" s="798"/>
      <c r="C4" s="798"/>
      <c r="D4" s="798"/>
      <c r="E4" s="798"/>
      <c r="F4" s="798"/>
      <c r="G4" s="798"/>
      <c r="H4" s="798"/>
      <c r="I4" s="798"/>
      <c r="J4" s="798"/>
    </row>
    <row r="5" spans="1:9" s="88" customFormat="1" ht="12.75">
      <c r="A5" s="798" t="s">
        <v>1178</v>
      </c>
      <c r="B5" s="798"/>
      <c r="C5" s="798"/>
      <c r="D5" s="798"/>
      <c r="E5" s="798"/>
      <c r="F5" s="798"/>
      <c r="G5" s="798"/>
      <c r="H5" s="798"/>
      <c r="I5" s="798"/>
    </row>
    <row r="6" spans="4:5" ht="12.75">
      <c r="D6" s="798" t="s">
        <v>1246</v>
      </c>
      <c r="E6" s="798"/>
    </row>
    <row r="7" ht="14.25" thickBot="1">
      <c r="H7" s="89"/>
    </row>
    <row r="8" spans="1:9" s="97" customFormat="1" ht="26.25" customHeight="1">
      <c r="A8" s="90"/>
      <c r="B8" s="91"/>
      <c r="C8" s="92" t="s">
        <v>1179</v>
      </c>
      <c r="D8" s="93" t="s">
        <v>1180</v>
      </c>
      <c r="E8" s="94" t="s">
        <v>1181</v>
      </c>
      <c r="F8" s="95"/>
      <c r="G8" s="95"/>
      <c r="H8" s="95"/>
      <c r="I8" s="96"/>
    </row>
    <row r="9" spans="1:9" s="106" customFormat="1" ht="32.25" customHeight="1" thickBot="1">
      <c r="A9" s="98" t="s">
        <v>1182</v>
      </c>
      <c r="B9" s="99" t="s">
        <v>1183</v>
      </c>
      <c r="C9" s="100" t="s">
        <v>1184</v>
      </c>
      <c r="D9" s="101" t="s">
        <v>1185</v>
      </c>
      <c r="E9" s="102" t="s">
        <v>1186</v>
      </c>
      <c r="F9" s="103" t="s">
        <v>1187</v>
      </c>
      <c r="G9" s="103" t="s">
        <v>1247</v>
      </c>
      <c r="H9" s="104" t="s">
        <v>455</v>
      </c>
      <c r="I9" s="105" t="s">
        <v>1188</v>
      </c>
    </row>
    <row r="10" spans="1:9" s="111" customFormat="1" ht="18" customHeight="1" thickBot="1">
      <c r="A10" s="107"/>
      <c r="B10" s="108" t="s">
        <v>564</v>
      </c>
      <c r="C10" s="108" t="s">
        <v>565</v>
      </c>
      <c r="D10" s="109" t="s">
        <v>566</v>
      </c>
      <c r="E10" s="107" t="s">
        <v>567</v>
      </c>
      <c r="F10" s="109" t="s">
        <v>568</v>
      </c>
      <c r="G10" s="109" t="s">
        <v>689</v>
      </c>
      <c r="H10" s="109" t="s">
        <v>599</v>
      </c>
      <c r="I10" s="110" t="s">
        <v>600</v>
      </c>
    </row>
    <row r="11" spans="1:9" ht="18" customHeight="1" thickBot="1">
      <c r="A11" s="112" t="s">
        <v>928</v>
      </c>
      <c r="B11" s="113" t="s">
        <v>1189</v>
      </c>
      <c r="C11" s="114"/>
      <c r="D11" s="115"/>
      <c r="E11" s="116">
        <f>SUM(E12:E15)</f>
        <v>0</v>
      </c>
      <c r="F11" s="117">
        <f>SUM(F12:F15)</f>
        <v>0</v>
      </c>
      <c r="G11" s="117">
        <f>SUM(G12:G15)</f>
        <v>0</v>
      </c>
      <c r="H11" s="118">
        <f>SUM(H12:H15)</f>
        <v>0</v>
      </c>
      <c r="I11" s="117" t="s">
        <v>1190</v>
      </c>
    </row>
    <row r="12" spans="1:9" ht="18" customHeight="1">
      <c r="A12" s="119" t="s">
        <v>929</v>
      </c>
      <c r="B12" s="120" t="s">
        <v>1191</v>
      </c>
      <c r="C12" s="120"/>
      <c r="D12" s="121"/>
      <c r="E12" s="122"/>
      <c r="F12" s="121"/>
      <c r="G12" s="121"/>
      <c r="H12" s="123"/>
      <c r="I12" s="124"/>
    </row>
    <row r="13" spans="1:9" ht="18" customHeight="1">
      <c r="A13" s="119" t="s">
        <v>934</v>
      </c>
      <c r="B13" s="120" t="s">
        <v>1191</v>
      </c>
      <c r="C13" s="120"/>
      <c r="D13" s="121"/>
      <c r="E13" s="122"/>
      <c r="F13" s="121"/>
      <c r="G13" s="121"/>
      <c r="H13" s="123"/>
      <c r="I13" s="125"/>
    </row>
    <row r="14" spans="1:9" ht="18" customHeight="1">
      <c r="A14" s="119" t="s">
        <v>1118</v>
      </c>
      <c r="B14" s="120" t="s">
        <v>1191</v>
      </c>
      <c r="C14" s="120"/>
      <c r="D14" s="121"/>
      <c r="E14" s="122"/>
      <c r="F14" s="121"/>
      <c r="G14" s="121"/>
      <c r="H14" s="123"/>
      <c r="I14" s="125"/>
    </row>
    <row r="15" spans="1:9" ht="18" customHeight="1" thickBot="1">
      <c r="A15" s="119" t="s">
        <v>939</v>
      </c>
      <c r="B15" s="120" t="s">
        <v>1191</v>
      </c>
      <c r="C15" s="120"/>
      <c r="D15" s="121"/>
      <c r="E15" s="122"/>
      <c r="F15" s="121"/>
      <c r="G15" s="121"/>
      <c r="H15" s="123"/>
      <c r="I15" s="126"/>
    </row>
    <row r="16" spans="1:9" ht="18" customHeight="1" thickBot="1">
      <c r="A16" s="112" t="s">
        <v>1192</v>
      </c>
      <c r="B16" s="113" t="s">
        <v>1193</v>
      </c>
      <c r="C16" s="114"/>
      <c r="D16" s="115"/>
      <c r="E16" s="127"/>
      <c r="F16" s="128"/>
      <c r="G16" s="128"/>
      <c r="H16" s="129"/>
      <c r="I16" s="130"/>
    </row>
    <row r="17" spans="1:9" ht="18" customHeight="1">
      <c r="A17" s="119" t="s">
        <v>1194</v>
      </c>
      <c r="B17" s="120"/>
      <c r="C17" s="120"/>
      <c r="D17" s="121"/>
      <c r="E17" s="131"/>
      <c r="F17" s="132"/>
      <c r="G17" s="132"/>
      <c r="H17" s="133"/>
      <c r="I17" s="134">
        <f>SUM(E17:H17)</f>
        <v>0</v>
      </c>
    </row>
    <row r="18" spans="1:9" ht="18" customHeight="1">
      <c r="A18" s="119" t="s">
        <v>1195</v>
      </c>
      <c r="E18" s="131"/>
      <c r="F18" s="132"/>
      <c r="G18" s="132"/>
      <c r="H18" s="133"/>
      <c r="I18" s="134">
        <f>SUM(E18:H18)</f>
        <v>0</v>
      </c>
    </row>
    <row r="19" spans="1:9" ht="18" customHeight="1" thickBot="1">
      <c r="A19" s="119" t="s">
        <v>1196</v>
      </c>
      <c r="B19" s="120" t="s">
        <v>1191</v>
      </c>
      <c r="C19" s="120"/>
      <c r="D19" s="121"/>
      <c r="E19" s="131"/>
      <c r="F19" s="132"/>
      <c r="G19" s="132"/>
      <c r="H19" s="133"/>
      <c r="I19" s="135"/>
    </row>
    <row r="20" spans="1:9" ht="18" customHeight="1" thickBot="1">
      <c r="A20" s="112" t="s">
        <v>1197</v>
      </c>
      <c r="B20" s="113" t="s">
        <v>1198</v>
      </c>
      <c r="C20" s="114"/>
      <c r="D20" s="115"/>
      <c r="E20" s="136">
        <f>SUM(E17:E19)</f>
        <v>0</v>
      </c>
      <c r="F20" s="136">
        <f>SUM(F17:F19)</f>
        <v>0</v>
      </c>
      <c r="G20" s="136">
        <f>SUM(G17:G19)</f>
        <v>0</v>
      </c>
      <c r="H20" s="136">
        <f>SUM(H17:H19)</f>
        <v>0</v>
      </c>
      <c r="I20" s="136">
        <f>SUM(I17:I19)</f>
        <v>0</v>
      </c>
    </row>
  </sheetData>
  <sheetProtection/>
  <mergeCells count="4">
    <mergeCell ref="A1:G1"/>
    <mergeCell ref="A4:J4"/>
    <mergeCell ref="A5:I5"/>
    <mergeCell ref="D6:E6"/>
  </mergeCells>
  <printOptions/>
  <pageMargins left="0.7" right="0.7" top="0.75" bottom="0.75" header="0.3" footer="0.3"/>
  <pageSetup horizontalDpi="300" verticalDpi="3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1:K20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5"/>
  <cols>
    <col min="1" max="1" width="5.8515625" style="190" customWidth="1"/>
    <col min="2" max="2" width="4.7109375" style="190" customWidth="1"/>
    <col min="3" max="3" width="31.57421875" style="190" customWidth="1"/>
    <col min="4" max="9" width="11.8515625" style="190" customWidth="1"/>
    <col min="10" max="10" width="13.00390625" style="190" customWidth="1"/>
    <col min="11" max="11" width="4.28125" style="190" customWidth="1"/>
    <col min="12" max="16384" width="9.140625" style="190" customWidth="1"/>
  </cols>
  <sheetData>
    <row r="1" spans="2:5" ht="15">
      <c r="B1" s="804" t="s">
        <v>456</v>
      </c>
      <c r="C1" s="804"/>
      <c r="D1" s="804"/>
      <c r="E1" s="804"/>
    </row>
    <row r="2" spans="2:11" ht="34.5" customHeight="1">
      <c r="B2" s="805" t="str">
        <f>+CONCATENATE("Adósság állomány alakulása lejárat, eszközök, bel- és külföldi hitelezők szerinti bontásban ",CHAR(10),LEFT('[8]ÖSSZEFÜGGÉSEK'!A4,4),". december 31-én")</f>
        <v>Adósság állomány alakulása lejárat, eszközök, bel- és külföldi hitelezők szerinti bontásban 
2014. december 31-én</v>
      </c>
      <c r="C2" s="806"/>
      <c r="D2" s="806"/>
      <c r="E2" s="806"/>
      <c r="F2" s="806"/>
      <c r="G2" s="806"/>
      <c r="H2" s="806"/>
      <c r="I2" s="806"/>
      <c r="J2" s="806"/>
      <c r="K2" s="807"/>
    </row>
    <row r="3" spans="9:11" ht="15.75" thickBot="1">
      <c r="I3" s="808" t="s">
        <v>96</v>
      </c>
      <c r="J3" s="808"/>
      <c r="K3" s="807"/>
    </row>
    <row r="4" spans="2:11" ht="15.75" thickBot="1">
      <c r="B4" s="809" t="s">
        <v>1210</v>
      </c>
      <c r="C4" s="811" t="s">
        <v>97</v>
      </c>
      <c r="D4" s="813" t="s">
        <v>98</v>
      </c>
      <c r="E4" s="815" t="s">
        <v>99</v>
      </c>
      <c r="F4" s="816"/>
      <c r="G4" s="816"/>
      <c r="H4" s="816"/>
      <c r="I4" s="816"/>
      <c r="J4" s="817" t="s">
        <v>100</v>
      </c>
      <c r="K4" s="807"/>
    </row>
    <row r="5" spans="2:11" s="179" customFormat="1" ht="42" customHeight="1" thickBot="1">
      <c r="B5" s="810"/>
      <c r="C5" s="812"/>
      <c r="D5" s="814"/>
      <c r="E5" s="458" t="s">
        <v>101</v>
      </c>
      <c r="F5" s="458" t="s">
        <v>102</v>
      </c>
      <c r="G5" s="458" t="s">
        <v>103</v>
      </c>
      <c r="H5" s="459" t="s">
        <v>104</v>
      </c>
      <c r="I5" s="459" t="s">
        <v>105</v>
      </c>
      <c r="J5" s="818"/>
      <c r="K5" s="807"/>
    </row>
    <row r="6" spans="2:11" s="179" customFormat="1" ht="12" customHeight="1" thickBot="1">
      <c r="B6" s="180" t="s">
        <v>564</v>
      </c>
      <c r="C6" s="460" t="s">
        <v>565</v>
      </c>
      <c r="D6" s="460" t="s">
        <v>566</v>
      </c>
      <c r="E6" s="460" t="s">
        <v>567</v>
      </c>
      <c r="F6" s="460" t="s">
        <v>568</v>
      </c>
      <c r="G6" s="460" t="s">
        <v>689</v>
      </c>
      <c r="H6" s="460" t="s">
        <v>599</v>
      </c>
      <c r="I6" s="460" t="s">
        <v>106</v>
      </c>
      <c r="J6" s="461" t="s">
        <v>107</v>
      </c>
      <c r="K6" s="807"/>
    </row>
    <row r="7" spans="2:11" s="179" customFormat="1" ht="18" customHeight="1">
      <c r="B7" s="819" t="s">
        <v>108</v>
      </c>
      <c r="C7" s="820"/>
      <c r="D7" s="820"/>
      <c r="E7" s="820"/>
      <c r="F7" s="820"/>
      <c r="G7" s="820"/>
      <c r="H7" s="820"/>
      <c r="I7" s="820"/>
      <c r="J7" s="821"/>
      <c r="K7" s="807"/>
    </row>
    <row r="8" spans="2:11" ht="15.75" customHeight="1">
      <c r="B8" s="464" t="s">
        <v>928</v>
      </c>
      <c r="C8" s="465" t="s">
        <v>109</v>
      </c>
      <c r="D8" s="466"/>
      <c r="E8" s="466"/>
      <c r="F8" s="466"/>
      <c r="G8" s="466"/>
      <c r="H8" s="467"/>
      <c r="I8" s="468">
        <f aca="true" t="shared" si="0" ref="I8:I14">SUM(E8:H8)</f>
        <v>0</v>
      </c>
      <c r="J8" s="469">
        <f aca="true" t="shared" si="1" ref="J8:J14">D8+I8</f>
        <v>0</v>
      </c>
      <c r="K8" s="807"/>
    </row>
    <row r="9" spans="2:11" ht="31.5">
      <c r="B9" s="464" t="s">
        <v>929</v>
      </c>
      <c r="C9" s="465" t="s">
        <v>1211</v>
      </c>
      <c r="D9" s="466"/>
      <c r="E9" s="466"/>
      <c r="F9" s="466"/>
      <c r="G9" s="466"/>
      <c r="H9" s="467"/>
      <c r="I9" s="468">
        <f t="shared" si="0"/>
        <v>0</v>
      </c>
      <c r="J9" s="469">
        <f t="shared" si="1"/>
        <v>0</v>
      </c>
      <c r="K9" s="807"/>
    </row>
    <row r="10" spans="2:11" ht="31.5">
      <c r="B10" s="464" t="s">
        <v>934</v>
      </c>
      <c r="C10" s="465" t="s">
        <v>1212</v>
      </c>
      <c r="D10" s="466"/>
      <c r="E10" s="466"/>
      <c r="F10" s="466"/>
      <c r="G10" s="466"/>
      <c r="H10" s="467"/>
      <c r="I10" s="468">
        <f t="shared" si="0"/>
        <v>0</v>
      </c>
      <c r="J10" s="469">
        <f t="shared" si="1"/>
        <v>0</v>
      </c>
      <c r="K10" s="807"/>
    </row>
    <row r="11" spans="2:11" ht="15.75" customHeight="1">
      <c r="B11" s="464" t="s">
        <v>1118</v>
      </c>
      <c r="C11" s="465" t="s">
        <v>1213</v>
      </c>
      <c r="D11" s="466"/>
      <c r="E11" s="466"/>
      <c r="F11" s="466"/>
      <c r="G11" s="466"/>
      <c r="H11" s="467"/>
      <c r="I11" s="468">
        <f t="shared" si="0"/>
        <v>0</v>
      </c>
      <c r="J11" s="469">
        <f t="shared" si="1"/>
        <v>0</v>
      </c>
      <c r="K11" s="807"/>
    </row>
    <row r="12" spans="2:11" ht="47.25">
      <c r="B12" s="464" t="s">
        <v>939</v>
      </c>
      <c r="C12" s="465" t="s">
        <v>1214</v>
      </c>
      <c r="D12" s="466"/>
      <c r="E12" s="466"/>
      <c r="F12" s="466"/>
      <c r="G12" s="466"/>
      <c r="H12" s="467"/>
      <c r="I12" s="468">
        <f t="shared" si="0"/>
        <v>0</v>
      </c>
      <c r="J12" s="469">
        <f t="shared" si="1"/>
        <v>0</v>
      </c>
      <c r="K12" s="807"/>
    </row>
    <row r="13" spans="2:11" ht="15.75" customHeight="1">
      <c r="B13" s="470" t="s">
        <v>1192</v>
      </c>
      <c r="C13" s="471" t="s">
        <v>110</v>
      </c>
      <c r="D13" s="472">
        <v>862</v>
      </c>
      <c r="E13" s="472"/>
      <c r="F13" s="472"/>
      <c r="G13" s="472"/>
      <c r="H13" s="473"/>
      <c r="I13" s="468">
        <f t="shared" si="0"/>
        <v>0</v>
      </c>
      <c r="J13" s="469">
        <f t="shared" si="1"/>
        <v>862</v>
      </c>
      <c r="K13" s="807"/>
    </row>
    <row r="14" spans="2:11" ht="15.75" customHeight="1" thickBot="1">
      <c r="B14" s="474" t="s">
        <v>1194</v>
      </c>
      <c r="C14" s="475" t="s">
        <v>111</v>
      </c>
      <c r="D14" s="476">
        <v>80</v>
      </c>
      <c r="E14" s="476"/>
      <c r="F14" s="476"/>
      <c r="G14" s="476"/>
      <c r="H14" s="477"/>
      <c r="I14" s="468">
        <f t="shared" si="0"/>
        <v>0</v>
      </c>
      <c r="J14" s="469">
        <f t="shared" si="1"/>
        <v>80</v>
      </c>
      <c r="K14" s="807"/>
    </row>
    <row r="15" spans="2:11" s="462" customFormat="1" ht="18" customHeight="1" thickBot="1">
      <c r="B15" s="799" t="s">
        <v>112</v>
      </c>
      <c r="C15" s="800"/>
      <c r="D15" s="478">
        <f aca="true" t="shared" si="2" ref="D15:J15">SUM(D8:D14)</f>
        <v>942</v>
      </c>
      <c r="E15" s="478">
        <f>SUM(E8:E14)</f>
        <v>0</v>
      </c>
      <c r="F15" s="478">
        <f t="shared" si="2"/>
        <v>0</v>
      </c>
      <c r="G15" s="478">
        <f t="shared" si="2"/>
        <v>0</v>
      </c>
      <c r="H15" s="479">
        <f t="shared" si="2"/>
        <v>0</v>
      </c>
      <c r="I15" s="479">
        <f t="shared" si="2"/>
        <v>0</v>
      </c>
      <c r="J15" s="480">
        <f t="shared" si="2"/>
        <v>942</v>
      </c>
      <c r="K15" s="807"/>
    </row>
    <row r="16" spans="2:11" s="463" customFormat="1" ht="18" customHeight="1">
      <c r="B16" s="801" t="s">
        <v>113</v>
      </c>
      <c r="C16" s="802"/>
      <c r="D16" s="802"/>
      <c r="E16" s="802"/>
      <c r="F16" s="802"/>
      <c r="G16" s="802"/>
      <c r="H16" s="802"/>
      <c r="I16" s="802"/>
      <c r="J16" s="803"/>
      <c r="K16" s="807"/>
    </row>
    <row r="17" spans="2:11" s="463" customFormat="1" ht="15.75">
      <c r="B17" s="464" t="s">
        <v>928</v>
      </c>
      <c r="C17" s="465" t="s">
        <v>114</v>
      </c>
      <c r="D17" s="466"/>
      <c r="E17" s="466"/>
      <c r="F17" s="466"/>
      <c r="G17" s="466"/>
      <c r="H17" s="467"/>
      <c r="I17" s="468">
        <f>SUM(E17:H17)</f>
        <v>0</v>
      </c>
      <c r="J17" s="469">
        <f>D17+I17</f>
        <v>0</v>
      </c>
      <c r="K17" s="807"/>
    </row>
    <row r="18" spans="2:11" ht="16.5" thickBot="1">
      <c r="B18" s="474" t="s">
        <v>929</v>
      </c>
      <c r="C18" s="475" t="s">
        <v>111</v>
      </c>
      <c r="D18" s="476"/>
      <c r="E18" s="476"/>
      <c r="F18" s="476"/>
      <c r="G18" s="476"/>
      <c r="H18" s="477"/>
      <c r="I18" s="468">
        <f>SUM(E18:H18)</f>
        <v>0</v>
      </c>
      <c r="J18" s="481">
        <f>D18+I18</f>
        <v>0</v>
      </c>
      <c r="K18" s="807"/>
    </row>
    <row r="19" spans="2:11" ht="15.75" customHeight="1" thickBot="1">
      <c r="B19" s="799" t="s">
        <v>115</v>
      </c>
      <c r="C19" s="800"/>
      <c r="D19" s="478">
        <f aca="true" t="shared" si="3" ref="D19:J19">SUM(D17:D18)</f>
        <v>0</v>
      </c>
      <c r="E19" s="478">
        <f t="shared" si="3"/>
        <v>0</v>
      </c>
      <c r="F19" s="478">
        <f t="shared" si="3"/>
        <v>0</v>
      </c>
      <c r="G19" s="478">
        <f t="shared" si="3"/>
        <v>0</v>
      </c>
      <c r="H19" s="479">
        <f t="shared" si="3"/>
        <v>0</v>
      </c>
      <c r="I19" s="479">
        <f t="shared" si="3"/>
        <v>0</v>
      </c>
      <c r="J19" s="480">
        <f t="shared" si="3"/>
        <v>0</v>
      </c>
      <c r="K19" s="807"/>
    </row>
    <row r="20" spans="2:11" ht="18" customHeight="1" thickBot="1">
      <c r="B20" s="799" t="s">
        <v>116</v>
      </c>
      <c r="C20" s="800"/>
      <c r="D20" s="478">
        <f aca="true" t="shared" si="4" ref="D20:J20">D15+D19</f>
        <v>942</v>
      </c>
      <c r="E20" s="478">
        <f t="shared" si="4"/>
        <v>0</v>
      </c>
      <c r="F20" s="478">
        <f t="shared" si="4"/>
        <v>0</v>
      </c>
      <c r="G20" s="478">
        <f t="shared" si="4"/>
        <v>0</v>
      </c>
      <c r="H20" s="478">
        <f t="shared" si="4"/>
        <v>0</v>
      </c>
      <c r="I20" s="478">
        <f t="shared" si="4"/>
        <v>0</v>
      </c>
      <c r="J20" s="480">
        <f t="shared" si="4"/>
        <v>942</v>
      </c>
      <c r="K20" s="807"/>
    </row>
  </sheetData>
  <sheetProtection/>
  <mergeCells count="14">
    <mergeCell ref="K2:K20"/>
    <mergeCell ref="I3:J3"/>
    <mergeCell ref="B4:B5"/>
    <mergeCell ref="C4:C5"/>
    <mergeCell ref="D4:D5"/>
    <mergeCell ref="E4:I4"/>
    <mergeCell ref="J4:J5"/>
    <mergeCell ref="B7:J7"/>
    <mergeCell ref="B15:C15"/>
    <mergeCell ref="B16:J16"/>
    <mergeCell ref="B19:C19"/>
    <mergeCell ref="B20:C20"/>
    <mergeCell ref="B1:E1"/>
    <mergeCell ref="B2:J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9.140625" style="9" customWidth="1"/>
    <col min="2" max="2" width="53.421875" style="0" customWidth="1"/>
    <col min="3" max="3" width="14.421875" style="8" customWidth="1"/>
    <col min="4" max="4" width="14.7109375" style="8" customWidth="1"/>
    <col min="5" max="5" width="13.57421875" style="8" customWidth="1"/>
    <col min="6" max="6" width="17.00390625" style="8" customWidth="1"/>
  </cols>
  <sheetData>
    <row r="1" spans="1:3" ht="15">
      <c r="A1" s="746" t="s">
        <v>439</v>
      </c>
      <c r="B1" s="747"/>
      <c r="C1" s="747"/>
    </row>
    <row r="2" ht="15">
      <c r="F2"/>
    </row>
    <row r="3" ht="15">
      <c r="B3" t="s">
        <v>686</v>
      </c>
    </row>
    <row r="5" spans="1:6" s="9" customFormat="1" ht="15">
      <c r="A5" s="10"/>
      <c r="B5" s="10" t="s">
        <v>564</v>
      </c>
      <c r="C5" s="10" t="s">
        <v>565</v>
      </c>
      <c r="D5" s="10" t="s">
        <v>566</v>
      </c>
      <c r="E5" s="10" t="s">
        <v>567</v>
      </c>
      <c r="F5" s="10" t="s">
        <v>568</v>
      </c>
    </row>
    <row r="6" spans="1:6" ht="30">
      <c r="A6" s="10">
        <v>1</v>
      </c>
      <c r="B6" s="11" t="s">
        <v>569</v>
      </c>
      <c r="C6" s="12" t="s">
        <v>570</v>
      </c>
      <c r="D6" s="12" t="s">
        <v>571</v>
      </c>
      <c r="E6" s="12" t="s">
        <v>572</v>
      </c>
      <c r="F6" s="13" t="s">
        <v>573</v>
      </c>
    </row>
    <row r="7" spans="1:6" ht="15">
      <c r="A7" s="10">
        <v>2</v>
      </c>
      <c r="B7" s="11" t="s">
        <v>574</v>
      </c>
      <c r="C7" s="14"/>
      <c r="D7" s="14"/>
      <c r="E7" s="14"/>
      <c r="F7" s="13"/>
    </row>
    <row r="8" spans="1:6" ht="27.75" customHeight="1">
      <c r="A8" s="10">
        <v>3</v>
      </c>
      <c r="B8" s="11" t="s">
        <v>575</v>
      </c>
      <c r="C8" s="15">
        <f>'1c.bev.részletes'!C71</f>
        <v>390925</v>
      </c>
      <c r="D8" s="14"/>
      <c r="E8" s="14"/>
      <c r="F8" s="13">
        <f>SUM(C8:E8)</f>
        <v>390925</v>
      </c>
    </row>
    <row r="9" spans="1:6" ht="15.75">
      <c r="A9" s="10">
        <v>4</v>
      </c>
      <c r="B9" s="16" t="s">
        <v>576</v>
      </c>
      <c r="C9" s="17">
        <f>'1c.bev.részletes'!E71</f>
        <v>156508</v>
      </c>
      <c r="D9" s="13"/>
      <c r="E9" s="13"/>
      <c r="F9" s="13">
        <f aca="true" t="shared" si="0" ref="F9:F40">SUM(C9:E9)</f>
        <v>156508</v>
      </c>
    </row>
    <row r="10" spans="1:6" ht="15.75">
      <c r="A10" s="10">
        <v>5</v>
      </c>
      <c r="B10" s="16" t="s">
        <v>577</v>
      </c>
      <c r="C10" s="17">
        <f>'1c.bev.részletes'!G71</f>
        <v>126657</v>
      </c>
      <c r="D10" s="13"/>
      <c r="E10" s="13"/>
      <c r="F10" s="18">
        <f t="shared" si="0"/>
        <v>126657</v>
      </c>
    </row>
    <row r="11" spans="1:6" ht="15.75">
      <c r="A11" s="10">
        <v>6</v>
      </c>
      <c r="B11" s="16" t="s">
        <v>578</v>
      </c>
      <c r="C11" s="17">
        <f>'1c.bev.részletes'!F71</f>
        <v>2720</v>
      </c>
      <c r="D11" s="13"/>
      <c r="E11" s="13"/>
      <c r="F11" s="18">
        <f t="shared" si="0"/>
        <v>2720</v>
      </c>
    </row>
    <row r="12" spans="1:6" ht="15.75">
      <c r="A12" s="10">
        <v>7</v>
      </c>
      <c r="B12" s="16" t="s">
        <v>579</v>
      </c>
      <c r="C12" s="17">
        <f>'1c.bev.részletes'!I71</f>
        <v>2299</v>
      </c>
      <c r="D12" s="13"/>
      <c r="E12" s="13"/>
      <c r="F12" s="18">
        <f t="shared" si="0"/>
        <v>2299</v>
      </c>
    </row>
    <row r="13" spans="1:6" ht="15.75">
      <c r="A13" s="10">
        <v>8</v>
      </c>
      <c r="B13" s="16" t="s">
        <v>580</v>
      </c>
      <c r="C13" s="17">
        <f>'1c.bev.részletes'!H71</f>
        <v>537</v>
      </c>
      <c r="D13" s="13"/>
      <c r="E13" s="13"/>
      <c r="F13" s="18">
        <f t="shared" si="0"/>
        <v>537</v>
      </c>
    </row>
    <row r="14" spans="1:6" ht="15.75">
      <c r="A14" s="10">
        <v>9</v>
      </c>
      <c r="B14" s="16" t="s">
        <v>583</v>
      </c>
      <c r="C14" s="17">
        <f>'1c.bev.részletes'!D71</f>
        <v>428</v>
      </c>
      <c r="D14" s="13"/>
      <c r="E14" s="13"/>
      <c r="F14" s="18">
        <f t="shared" si="0"/>
        <v>428</v>
      </c>
    </row>
    <row r="15" spans="1:6" ht="15.75">
      <c r="A15" s="10">
        <v>10</v>
      </c>
      <c r="B15" s="16" t="s">
        <v>581</v>
      </c>
      <c r="C15" s="17">
        <f>SUM(C8:C14)</f>
        <v>680074</v>
      </c>
      <c r="D15" s="17">
        <f>SUM(D8:D14)</f>
        <v>0</v>
      </c>
      <c r="E15" s="17">
        <f>SUM(E8:E14)</f>
        <v>0</v>
      </c>
      <c r="F15" s="17">
        <f>SUM(F8:F14)</f>
        <v>680074</v>
      </c>
    </row>
    <row r="16" spans="1:6" ht="15.75">
      <c r="A16" s="10">
        <v>11</v>
      </c>
      <c r="B16" s="16"/>
      <c r="C16" s="17"/>
      <c r="D16" s="13"/>
      <c r="E16" s="13"/>
      <c r="F16" s="13">
        <f t="shared" si="0"/>
        <v>0</v>
      </c>
    </row>
    <row r="17" spans="1:6" ht="18.75">
      <c r="A17" s="10">
        <v>12</v>
      </c>
      <c r="B17" s="19" t="s">
        <v>582</v>
      </c>
      <c r="C17" s="14"/>
      <c r="D17" s="14"/>
      <c r="E17" s="14"/>
      <c r="F17" s="13">
        <f t="shared" si="0"/>
        <v>0</v>
      </c>
    </row>
    <row r="18" spans="1:6" ht="20.25" customHeight="1">
      <c r="A18" s="10">
        <v>13</v>
      </c>
      <c r="B18" s="20" t="s">
        <v>583</v>
      </c>
      <c r="C18" s="15">
        <v>10718</v>
      </c>
      <c r="D18" s="14"/>
      <c r="E18" s="14"/>
      <c r="F18" s="13">
        <f t="shared" si="0"/>
        <v>10718</v>
      </c>
    </row>
    <row r="19" spans="1:6" ht="20.25" customHeight="1">
      <c r="A19" s="10">
        <v>14</v>
      </c>
      <c r="B19" s="20" t="s">
        <v>584</v>
      </c>
      <c r="C19" s="15">
        <v>3940</v>
      </c>
      <c r="D19" s="14"/>
      <c r="E19" s="14"/>
      <c r="F19" s="13">
        <f t="shared" si="0"/>
        <v>3940</v>
      </c>
    </row>
    <row r="20" spans="1:6" ht="15">
      <c r="A20" s="10">
        <v>15</v>
      </c>
      <c r="B20" s="11" t="s">
        <v>585</v>
      </c>
      <c r="C20" s="17">
        <v>2195</v>
      </c>
      <c r="D20" s="17"/>
      <c r="E20" s="17"/>
      <c r="F20" s="13">
        <f t="shared" si="0"/>
        <v>2195</v>
      </c>
    </row>
    <row r="21" spans="1:6" ht="15">
      <c r="A21" s="10">
        <v>16</v>
      </c>
      <c r="B21" s="11" t="s">
        <v>586</v>
      </c>
      <c r="C21" s="17">
        <v>5620</v>
      </c>
      <c r="D21" s="17"/>
      <c r="E21" s="17"/>
      <c r="F21" s="13">
        <f t="shared" si="0"/>
        <v>5620</v>
      </c>
    </row>
    <row r="22" spans="1:6" ht="15">
      <c r="A22" s="10">
        <v>17</v>
      </c>
      <c r="B22" s="11" t="s">
        <v>587</v>
      </c>
      <c r="C22" s="13"/>
      <c r="D22" s="17">
        <v>5750</v>
      </c>
      <c r="E22" s="13"/>
      <c r="F22" s="13">
        <f t="shared" si="0"/>
        <v>5750</v>
      </c>
    </row>
    <row r="23" spans="1:6" ht="15">
      <c r="A23" s="10">
        <v>18</v>
      </c>
      <c r="B23" s="11" t="s">
        <v>588</v>
      </c>
      <c r="C23" s="13"/>
      <c r="D23" s="17">
        <v>4577</v>
      </c>
      <c r="E23" s="13"/>
      <c r="F23" s="13">
        <f t="shared" si="0"/>
        <v>4577</v>
      </c>
    </row>
    <row r="24" spans="1:6" ht="15.75">
      <c r="A24" s="10">
        <v>19</v>
      </c>
      <c r="B24" s="20" t="s">
        <v>589</v>
      </c>
      <c r="C24" s="17">
        <v>2963</v>
      </c>
      <c r="D24" s="13"/>
      <c r="E24" s="13"/>
      <c r="F24" s="13">
        <f t="shared" si="0"/>
        <v>2963</v>
      </c>
    </row>
    <row r="25" spans="1:6" ht="15.75">
      <c r="A25" s="10">
        <v>20</v>
      </c>
      <c r="B25" s="20" t="s">
        <v>590</v>
      </c>
      <c r="C25" s="17">
        <v>10174</v>
      </c>
      <c r="D25" s="17">
        <v>4620</v>
      </c>
      <c r="E25" s="13"/>
      <c r="F25" s="13">
        <f t="shared" si="0"/>
        <v>14794</v>
      </c>
    </row>
    <row r="26" spans="1:6" ht="15.75">
      <c r="A26" s="10">
        <v>21</v>
      </c>
      <c r="B26" s="20" t="s">
        <v>1378</v>
      </c>
      <c r="C26" s="17">
        <v>610</v>
      </c>
      <c r="D26" s="17"/>
      <c r="E26" s="13"/>
      <c r="F26" s="13">
        <f t="shared" si="0"/>
        <v>610</v>
      </c>
    </row>
    <row r="27" spans="1:6" ht="15.75">
      <c r="A27" s="10">
        <v>22</v>
      </c>
      <c r="B27" s="20" t="s">
        <v>1396</v>
      </c>
      <c r="C27" s="17">
        <v>280</v>
      </c>
      <c r="D27" s="17"/>
      <c r="E27" s="13"/>
      <c r="F27" s="13">
        <f t="shared" si="0"/>
        <v>280</v>
      </c>
    </row>
    <row r="28" spans="1:6" ht="15.75">
      <c r="A28" s="10">
        <v>23</v>
      </c>
      <c r="B28" s="20" t="s">
        <v>1397</v>
      </c>
      <c r="C28" s="17">
        <v>50</v>
      </c>
      <c r="D28" s="17"/>
      <c r="E28" s="13"/>
      <c r="F28" s="13">
        <f t="shared" si="0"/>
        <v>50</v>
      </c>
    </row>
    <row r="29" spans="1:6" ht="15.75">
      <c r="A29" s="10">
        <v>24</v>
      </c>
      <c r="B29" s="20" t="s">
        <v>1398</v>
      </c>
      <c r="C29" s="17">
        <v>51</v>
      </c>
      <c r="D29" s="17"/>
      <c r="E29" s="13"/>
      <c r="F29" s="13">
        <f t="shared" si="0"/>
        <v>51</v>
      </c>
    </row>
    <row r="30" spans="1:6" ht="15.75">
      <c r="A30" s="10">
        <v>25</v>
      </c>
      <c r="B30" s="20" t="s">
        <v>591</v>
      </c>
      <c r="C30" s="17">
        <v>2110</v>
      </c>
      <c r="D30" s="13"/>
      <c r="E30" s="13"/>
      <c r="F30" s="13">
        <f t="shared" si="0"/>
        <v>2110</v>
      </c>
    </row>
    <row r="31" spans="1:6" ht="15.75">
      <c r="A31" s="10">
        <v>26</v>
      </c>
      <c r="B31" s="20" t="s">
        <v>592</v>
      </c>
      <c r="C31" s="17">
        <v>16307</v>
      </c>
      <c r="D31" s="13"/>
      <c r="E31" s="13"/>
      <c r="F31" s="13">
        <f t="shared" si="0"/>
        <v>16307</v>
      </c>
    </row>
    <row r="32" spans="1:6" ht="15">
      <c r="A32" s="10">
        <v>27</v>
      </c>
      <c r="B32" s="11" t="s">
        <v>593</v>
      </c>
      <c r="C32" s="17">
        <v>2233</v>
      </c>
      <c r="D32" s="13"/>
      <c r="E32" s="13"/>
      <c r="F32" s="13">
        <f t="shared" si="0"/>
        <v>2233</v>
      </c>
    </row>
    <row r="33" spans="1:6" ht="15">
      <c r="A33" s="10">
        <v>28</v>
      </c>
      <c r="B33" s="11" t="s">
        <v>594</v>
      </c>
      <c r="C33" s="17">
        <v>6256</v>
      </c>
      <c r="D33" s="13"/>
      <c r="E33" s="13"/>
      <c r="F33" s="13">
        <f t="shared" si="0"/>
        <v>6256</v>
      </c>
    </row>
    <row r="34" spans="1:6" ht="15">
      <c r="A34" s="10">
        <v>29</v>
      </c>
      <c r="B34" s="11" t="s">
        <v>595</v>
      </c>
      <c r="C34" s="17"/>
      <c r="D34" s="17">
        <v>683</v>
      </c>
      <c r="E34" s="13"/>
      <c r="F34" s="13">
        <f t="shared" si="0"/>
        <v>683</v>
      </c>
    </row>
    <row r="35" spans="1:6" ht="15">
      <c r="A35" s="10">
        <v>30</v>
      </c>
      <c r="B35" s="11" t="s">
        <v>596</v>
      </c>
      <c r="C35" s="13"/>
      <c r="D35" s="17">
        <v>370</v>
      </c>
      <c r="E35" s="13"/>
      <c r="F35" s="13">
        <f t="shared" si="0"/>
        <v>370</v>
      </c>
    </row>
    <row r="36" spans="1:6" ht="15.75">
      <c r="A36" s="10">
        <v>31</v>
      </c>
      <c r="B36" s="16" t="s">
        <v>597</v>
      </c>
      <c r="C36" s="17">
        <v>195</v>
      </c>
      <c r="D36" s="13"/>
      <c r="E36" s="13"/>
      <c r="F36" s="13">
        <f t="shared" si="0"/>
        <v>195</v>
      </c>
    </row>
    <row r="37" spans="1:6" ht="18.75">
      <c r="A37" s="10">
        <v>32</v>
      </c>
      <c r="B37" s="21" t="s">
        <v>598</v>
      </c>
      <c r="C37" s="22">
        <f>SUM(C18:C36)</f>
        <v>63702</v>
      </c>
      <c r="D37" s="22">
        <f>SUM(D18:D36)</f>
        <v>16000</v>
      </c>
      <c r="E37" s="22">
        <f>SUM(E18:E36)</f>
        <v>0</v>
      </c>
      <c r="F37" s="22">
        <f>SUM(F18:F36)</f>
        <v>79702</v>
      </c>
    </row>
    <row r="38" spans="1:6" ht="15">
      <c r="A38" s="10">
        <v>33</v>
      </c>
      <c r="B38" s="11"/>
      <c r="C38" s="13"/>
      <c r="D38" s="13"/>
      <c r="E38" s="13"/>
      <c r="F38" s="13">
        <f t="shared" si="0"/>
        <v>0</v>
      </c>
    </row>
    <row r="39" spans="1:6" ht="15">
      <c r="A39" s="10">
        <v>34</v>
      </c>
      <c r="B39" s="11" t="s">
        <v>1282</v>
      </c>
      <c r="C39" s="13">
        <v>849</v>
      </c>
      <c r="D39" s="13"/>
      <c r="E39" s="13"/>
      <c r="F39" s="13">
        <f>SUM(C39:E39)</f>
        <v>849</v>
      </c>
    </row>
    <row r="40" spans="1:6" ht="15">
      <c r="A40" s="10">
        <v>35</v>
      </c>
      <c r="B40" s="11"/>
      <c r="C40" s="13"/>
      <c r="D40" s="13"/>
      <c r="E40" s="13"/>
      <c r="F40" s="13">
        <f t="shared" si="0"/>
        <v>0</v>
      </c>
    </row>
    <row r="41" spans="1:6" ht="18.75">
      <c r="A41" s="10">
        <v>36</v>
      </c>
      <c r="B41" s="11" t="s">
        <v>563</v>
      </c>
      <c r="C41" s="22">
        <f>C37+C15+C39</f>
        <v>744625</v>
      </c>
      <c r="D41" s="22">
        <f>D37+D15+D39</f>
        <v>16000</v>
      </c>
      <c r="E41" s="22">
        <f>E37+E15+E39</f>
        <v>0</v>
      </c>
      <c r="F41" s="22">
        <f>F37+F15+F39</f>
        <v>760625</v>
      </c>
    </row>
    <row r="43" ht="15">
      <c r="C43" s="23"/>
    </row>
    <row r="44" ht="15">
      <c r="C44" s="23"/>
    </row>
    <row r="48" ht="15">
      <c r="C48" s="194"/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view="pageBreakPreview" zoomScale="80" zoomScaleSheetLayoutView="80" zoomScalePageLayoutView="0" workbookViewId="0" topLeftCell="A1">
      <selection activeCell="A1" sqref="A1:E1"/>
    </sheetView>
  </sheetViews>
  <sheetFormatPr defaultColWidth="9.140625" defaultRowHeight="15"/>
  <cols>
    <col min="1" max="1" width="5.8515625" style="139" customWidth="1"/>
    <col min="2" max="2" width="35.00390625" style="137" customWidth="1"/>
    <col min="3" max="5" width="11.00390625" style="137" customWidth="1"/>
    <col min="6" max="6" width="11.8515625" style="137" customWidth="1"/>
    <col min="7" max="7" width="13.28125" style="137" customWidth="1"/>
    <col min="8" max="8" width="14.421875" style="137" customWidth="1"/>
    <col min="9" max="16384" width="9.140625" style="137" customWidth="1"/>
  </cols>
  <sheetData>
    <row r="1" spans="1:5" ht="15">
      <c r="A1" s="822" t="s">
        <v>457</v>
      </c>
      <c r="B1" s="822"/>
      <c r="C1" s="823"/>
      <c r="D1" s="823"/>
      <c r="E1" s="823"/>
    </row>
    <row r="2" spans="1:5" ht="15">
      <c r="A2" s="137"/>
      <c r="C2" s="138"/>
      <c r="D2" s="138"/>
      <c r="E2" s="138"/>
    </row>
    <row r="3" spans="1:5" ht="15.75">
      <c r="A3" s="137"/>
      <c r="B3" s="824" t="s">
        <v>1245</v>
      </c>
      <c r="C3" s="825"/>
      <c r="D3" s="825"/>
      <c r="E3" s="825"/>
    </row>
    <row r="6" spans="1:8" s="141" customFormat="1" ht="15.75" thickBot="1">
      <c r="A6" s="140"/>
      <c r="H6" s="142" t="s">
        <v>1199</v>
      </c>
    </row>
    <row r="7" spans="1:8" s="146" customFormat="1" ht="26.25" customHeight="1">
      <c r="A7" s="826" t="s">
        <v>1182</v>
      </c>
      <c r="B7" s="828" t="s">
        <v>1200</v>
      </c>
      <c r="C7" s="826" t="s">
        <v>1201</v>
      </c>
      <c r="D7" s="826" t="s">
        <v>1202</v>
      </c>
      <c r="E7" s="143" t="s">
        <v>1203</v>
      </c>
      <c r="F7" s="144"/>
      <c r="G7" s="144"/>
      <c r="H7" s="145"/>
    </row>
    <row r="8" spans="1:8" s="150" customFormat="1" ht="32.25" customHeight="1" thickBot="1">
      <c r="A8" s="827"/>
      <c r="B8" s="829"/>
      <c r="C8" s="829"/>
      <c r="D8" s="827"/>
      <c r="E8" s="147">
        <v>2015</v>
      </c>
      <c r="F8" s="148">
        <v>2016</v>
      </c>
      <c r="G8" s="148">
        <v>2017</v>
      </c>
      <c r="H8" s="149">
        <v>2018</v>
      </c>
    </row>
    <row r="9" spans="1:8" s="155" customFormat="1" ht="18" customHeight="1" thickBot="1">
      <c r="A9" s="151"/>
      <c r="B9" s="152" t="s">
        <v>564</v>
      </c>
      <c r="C9" s="152" t="s">
        <v>565</v>
      </c>
      <c r="D9" s="153" t="s">
        <v>566</v>
      </c>
      <c r="E9" s="151" t="s">
        <v>567</v>
      </c>
      <c r="F9" s="153" t="s">
        <v>568</v>
      </c>
      <c r="G9" s="153" t="s">
        <v>689</v>
      </c>
      <c r="H9" s="154" t="s">
        <v>599</v>
      </c>
    </row>
    <row r="10" spans="1:8" ht="18" customHeight="1" thickBot="1">
      <c r="A10" s="156">
        <v>1</v>
      </c>
      <c r="B10" s="157" t="s">
        <v>1204</v>
      </c>
      <c r="C10" s="158"/>
      <c r="D10" s="159"/>
      <c r="E10" s="160">
        <v>86</v>
      </c>
      <c r="F10" s="161">
        <f>SUM(F11:F14)</f>
        <v>0</v>
      </c>
      <c r="G10" s="161">
        <f>SUM(G11:G14)</f>
        <v>0</v>
      </c>
      <c r="H10" s="162">
        <f>SUM(H11:H14)</f>
        <v>0</v>
      </c>
    </row>
    <row r="11" spans="1:8" ht="18" customHeight="1">
      <c r="A11" s="163">
        <v>2</v>
      </c>
      <c r="B11" s="164" t="s">
        <v>1191</v>
      </c>
      <c r="C11" s="165">
        <v>2012</v>
      </c>
      <c r="D11" s="166">
        <v>2013</v>
      </c>
      <c r="E11" s="580">
        <v>86</v>
      </c>
      <c r="F11" s="168"/>
      <c r="G11" s="168"/>
      <c r="H11" s="169"/>
    </row>
    <row r="12" spans="1:8" ht="18" customHeight="1" thickBot="1">
      <c r="A12" s="163">
        <v>3</v>
      </c>
      <c r="B12" s="164" t="s">
        <v>1191</v>
      </c>
      <c r="C12" s="165"/>
      <c r="D12" s="166"/>
      <c r="E12" s="167"/>
      <c r="F12" s="168"/>
      <c r="G12" s="168"/>
      <c r="H12" s="169"/>
    </row>
    <row r="13" spans="1:8" ht="18" customHeight="1" thickBot="1">
      <c r="A13" s="156">
        <v>4</v>
      </c>
      <c r="B13" s="164" t="s">
        <v>1191</v>
      </c>
      <c r="C13" s="165"/>
      <c r="D13" s="166"/>
      <c r="E13" s="167"/>
      <c r="F13" s="168"/>
      <c r="G13" s="168"/>
      <c r="H13" s="169"/>
    </row>
    <row r="14" spans="1:8" ht="18" customHeight="1" thickBot="1">
      <c r="A14" s="163">
        <v>5</v>
      </c>
      <c r="B14" s="164" t="s">
        <v>1191</v>
      </c>
      <c r="C14" s="165"/>
      <c r="D14" s="166"/>
      <c r="E14" s="167"/>
      <c r="F14" s="168"/>
      <c r="G14" s="168"/>
      <c r="H14" s="169"/>
    </row>
    <row r="15" spans="1:8" ht="18" customHeight="1" thickBot="1">
      <c r="A15" s="163">
        <v>6</v>
      </c>
      <c r="B15" s="157" t="s">
        <v>1205</v>
      </c>
      <c r="C15" s="158"/>
      <c r="D15" s="159"/>
      <c r="E15" s="160">
        <f>SUM(E16:E19)</f>
        <v>6295</v>
      </c>
      <c r="F15" s="161">
        <f>SUM(F16:F19)</f>
        <v>5858</v>
      </c>
      <c r="G15" s="161">
        <f>SUM(G16:G19)</f>
        <v>3661</v>
      </c>
      <c r="H15" s="162">
        <f>SUM(H16:H19)</f>
        <v>3174</v>
      </c>
    </row>
    <row r="16" spans="1:8" ht="18" customHeight="1" thickBot="1">
      <c r="A16" s="156">
        <v>7</v>
      </c>
      <c r="B16" s="164" t="s">
        <v>1206</v>
      </c>
      <c r="C16" s="165" t="s">
        <v>1207</v>
      </c>
      <c r="D16" s="166" t="s">
        <v>1207</v>
      </c>
      <c r="E16" s="167">
        <v>1034</v>
      </c>
      <c r="F16" s="168">
        <v>1134</v>
      </c>
      <c r="G16" s="168">
        <v>1184</v>
      </c>
      <c r="H16" s="169">
        <v>1234</v>
      </c>
    </row>
    <row r="17" spans="1:8" ht="18" customHeight="1">
      <c r="A17" s="163">
        <v>8</v>
      </c>
      <c r="B17" s="164" t="s">
        <v>1208</v>
      </c>
      <c r="C17" s="165">
        <v>1997</v>
      </c>
      <c r="D17" s="166">
        <v>2022</v>
      </c>
      <c r="E17" s="167">
        <v>3551</v>
      </c>
      <c r="F17" s="168">
        <v>3014</v>
      </c>
      <c r="G17" s="168">
        <v>2477</v>
      </c>
      <c r="H17" s="169">
        <v>1940</v>
      </c>
    </row>
    <row r="18" spans="1:8" ht="18" customHeight="1" thickBot="1">
      <c r="A18" s="163">
        <v>9</v>
      </c>
      <c r="B18" s="164" t="s">
        <v>1209</v>
      </c>
      <c r="C18" s="165">
        <v>2008</v>
      </c>
      <c r="D18" s="166">
        <v>2012</v>
      </c>
      <c r="E18" s="167">
        <v>1710</v>
      </c>
      <c r="F18" s="168">
        <v>1710</v>
      </c>
      <c r="G18" s="168"/>
      <c r="H18" s="169"/>
    </row>
    <row r="19" spans="1:8" ht="18" customHeight="1" thickBot="1">
      <c r="A19" s="156">
        <v>10</v>
      </c>
      <c r="B19" s="164"/>
      <c r="C19" s="165"/>
      <c r="D19" s="166"/>
      <c r="E19" s="167"/>
      <c r="F19" s="168"/>
      <c r="G19" s="168"/>
      <c r="H19" s="169"/>
    </row>
    <row r="20" spans="1:8" ht="18" customHeight="1" thickBot="1">
      <c r="A20" s="163">
        <v>11</v>
      </c>
      <c r="B20" s="157" t="s">
        <v>1198</v>
      </c>
      <c r="C20" s="158"/>
      <c r="D20" s="159"/>
      <c r="E20" s="160">
        <f>E10+E15</f>
        <v>6381</v>
      </c>
      <c r="F20" s="161">
        <f>F10+F15</f>
        <v>5858</v>
      </c>
      <c r="G20" s="161">
        <f>G10+G15</f>
        <v>3661</v>
      </c>
      <c r="H20" s="162">
        <f>H10+H15</f>
        <v>3174</v>
      </c>
    </row>
  </sheetData>
  <sheetProtection/>
  <mergeCells count="6">
    <mergeCell ref="A1:E1"/>
    <mergeCell ref="B3:E3"/>
    <mergeCell ref="A7:A8"/>
    <mergeCell ref="B7:B8"/>
    <mergeCell ref="C7:C8"/>
    <mergeCell ref="D7:D8"/>
  </mergeCells>
  <printOptions/>
  <pageMargins left="0.7" right="0.7" top="0.75" bottom="0.75" header="0.3" footer="0.3"/>
  <pageSetup horizontalDpi="300" verticalDpi="3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="60" zoomScalePageLayoutView="0" workbookViewId="0" topLeftCell="A1">
      <selection activeCell="F5" sqref="F5"/>
    </sheetView>
  </sheetViews>
  <sheetFormatPr defaultColWidth="9.140625" defaultRowHeight="15"/>
  <cols>
    <col min="1" max="1" width="9.140625" style="67" customWidth="1"/>
    <col min="2" max="2" width="37.140625" style="66" customWidth="1"/>
    <col min="3" max="3" width="9.421875" style="66" customWidth="1"/>
    <col min="4" max="4" width="8.7109375" style="66" customWidth="1"/>
    <col min="5" max="6" width="10.140625" style="66" customWidth="1"/>
    <col min="7" max="7" width="9.7109375" style="66" customWidth="1"/>
    <col min="8" max="8" width="10.8515625" style="66" customWidth="1"/>
    <col min="9" max="16384" width="9.140625" style="66" customWidth="1"/>
  </cols>
  <sheetData>
    <row r="1" spans="1:4" ht="15.75">
      <c r="A1" s="830" t="s">
        <v>458</v>
      </c>
      <c r="B1" s="830"/>
      <c r="C1" s="831"/>
      <c r="D1" s="831"/>
    </row>
    <row r="3" spans="2:7" ht="15.75">
      <c r="B3" s="770" t="s">
        <v>1143</v>
      </c>
      <c r="C3" s="770"/>
      <c r="D3" s="770"/>
      <c r="E3" s="770"/>
      <c r="F3" s="770"/>
      <c r="G3" s="770"/>
    </row>
    <row r="4" spans="2:7" ht="15.75">
      <c r="B4" s="68"/>
      <c r="C4" s="68"/>
      <c r="D4" s="68"/>
      <c r="E4" s="68"/>
      <c r="F4" s="68"/>
      <c r="G4" s="68"/>
    </row>
    <row r="5" spans="1:8" s="67" customFormat="1" ht="33" customHeight="1">
      <c r="A5" s="69"/>
      <c r="B5" s="69" t="s">
        <v>564</v>
      </c>
      <c r="C5" s="69" t="s">
        <v>565</v>
      </c>
      <c r="D5" s="69" t="s">
        <v>566</v>
      </c>
      <c r="E5" s="69" t="s">
        <v>567</v>
      </c>
      <c r="F5" s="69" t="s">
        <v>568</v>
      </c>
      <c r="G5" s="69" t="s">
        <v>689</v>
      </c>
      <c r="H5" s="69" t="s">
        <v>599</v>
      </c>
    </row>
    <row r="6" spans="1:8" ht="15.75" hidden="1">
      <c r="A6" s="69"/>
      <c r="B6" s="71"/>
      <c r="C6" s="71"/>
      <c r="D6" s="71"/>
      <c r="E6" s="71"/>
      <c r="F6" s="71"/>
      <c r="G6" s="71"/>
      <c r="H6" s="71"/>
    </row>
    <row r="7" spans="1:8" ht="1.5" customHeight="1" hidden="1">
      <c r="A7" s="69"/>
      <c r="B7" s="71"/>
      <c r="C7" s="71"/>
      <c r="D7" s="71"/>
      <c r="E7" s="71"/>
      <c r="F7" s="71"/>
      <c r="G7" s="71"/>
      <c r="H7" s="71"/>
    </row>
    <row r="8" spans="1:8" ht="6" customHeight="1" hidden="1">
      <c r="A8" s="69"/>
      <c r="B8" s="71"/>
      <c r="C8" s="71"/>
      <c r="D8" s="71"/>
      <c r="E8" s="71"/>
      <c r="F8" s="71"/>
      <c r="G8" s="71"/>
      <c r="H8" s="71"/>
    </row>
    <row r="9" spans="1:8" s="77" customFormat="1" ht="61.5" customHeight="1">
      <c r="A9" s="69">
        <v>1</v>
      </c>
      <c r="B9" s="75" t="s">
        <v>617</v>
      </c>
      <c r="C9" s="80" t="s">
        <v>1123</v>
      </c>
      <c r="D9" s="80" t="s">
        <v>1124</v>
      </c>
      <c r="E9" s="80" t="s">
        <v>1125</v>
      </c>
      <c r="F9" s="81" t="s">
        <v>1126</v>
      </c>
      <c r="G9" s="80" t="s">
        <v>1127</v>
      </c>
      <c r="H9" s="82" t="s">
        <v>924</v>
      </c>
    </row>
    <row r="10" spans="1:8" ht="33.75" customHeight="1">
      <c r="A10" s="69">
        <v>2</v>
      </c>
      <c r="B10" s="71"/>
      <c r="C10" s="83" t="s">
        <v>1913</v>
      </c>
      <c r="D10" s="83" t="s">
        <v>1913</v>
      </c>
      <c r="E10" s="83" t="s">
        <v>1913</v>
      </c>
      <c r="F10" s="84" t="s">
        <v>1913</v>
      </c>
      <c r="G10" s="83" t="s">
        <v>1913</v>
      </c>
      <c r="H10" s="85" t="s">
        <v>1914</v>
      </c>
    </row>
    <row r="11" spans="1:8" s="77" customFormat="1" ht="15.75">
      <c r="A11" s="69">
        <v>3</v>
      </c>
      <c r="B11" s="75"/>
      <c r="C11" s="75"/>
      <c r="D11" s="75"/>
      <c r="E11" s="75"/>
      <c r="F11" s="79"/>
      <c r="G11" s="75"/>
      <c r="H11" s="71"/>
    </row>
    <row r="12" spans="1:8" s="77" customFormat="1" ht="15.75">
      <c r="A12" s="69">
        <v>4</v>
      </c>
      <c r="B12" s="75" t="s">
        <v>701</v>
      </c>
      <c r="C12" s="75"/>
      <c r="D12" s="75">
        <v>7</v>
      </c>
      <c r="E12" s="75"/>
      <c r="F12" s="79">
        <f>SUM(C12:E12)</f>
        <v>7</v>
      </c>
      <c r="G12" s="75"/>
      <c r="H12" s="71">
        <f>SUM(F12:G12)</f>
        <v>7</v>
      </c>
    </row>
    <row r="13" spans="1:8" s="77" customFormat="1" ht="15.75">
      <c r="A13" s="69">
        <v>5</v>
      </c>
      <c r="B13" s="75" t="s">
        <v>1365</v>
      </c>
      <c r="C13" s="75"/>
      <c r="D13" s="75">
        <v>1</v>
      </c>
      <c r="E13" s="75"/>
      <c r="F13" s="79">
        <f>SUM(C13:E13)</f>
        <v>1</v>
      </c>
      <c r="G13" s="75"/>
      <c r="H13" s="71">
        <f>SUM(F13:G13)</f>
        <v>1</v>
      </c>
    </row>
    <row r="14" spans="1:8" s="77" customFormat="1" ht="15.75">
      <c r="A14" s="69">
        <v>6</v>
      </c>
      <c r="B14" s="75" t="s">
        <v>1366</v>
      </c>
      <c r="C14" s="75">
        <f aca="true" t="shared" si="0" ref="C14:H14">SUM(C12:C13)</f>
        <v>0</v>
      </c>
      <c r="D14" s="75">
        <f t="shared" si="0"/>
        <v>8</v>
      </c>
      <c r="E14" s="75">
        <f t="shared" si="0"/>
        <v>0</v>
      </c>
      <c r="F14" s="75">
        <f t="shared" si="0"/>
        <v>8</v>
      </c>
      <c r="G14" s="75">
        <f t="shared" si="0"/>
        <v>0</v>
      </c>
      <c r="H14" s="75">
        <f t="shared" si="0"/>
        <v>8</v>
      </c>
    </row>
    <row r="15" spans="1:8" s="77" customFormat="1" ht="15.75">
      <c r="A15" s="69">
        <v>7</v>
      </c>
      <c r="B15" s="75"/>
      <c r="C15" s="75"/>
      <c r="D15" s="75"/>
      <c r="E15" s="75"/>
      <c r="F15" s="79"/>
      <c r="G15" s="75"/>
      <c r="H15" s="71"/>
    </row>
    <row r="16" spans="1:8" ht="15.75">
      <c r="A16" s="69">
        <v>8</v>
      </c>
      <c r="B16" s="75" t="s">
        <v>582</v>
      </c>
      <c r="C16" s="71"/>
      <c r="D16" s="71"/>
      <c r="E16" s="71"/>
      <c r="F16" s="79"/>
      <c r="G16" s="71"/>
      <c r="H16" s="71"/>
    </row>
    <row r="17" spans="1:8" ht="15.75">
      <c r="A17" s="69">
        <v>9</v>
      </c>
      <c r="B17" s="71" t="s">
        <v>1128</v>
      </c>
      <c r="C17" s="71"/>
      <c r="D17" s="71">
        <v>1</v>
      </c>
      <c r="E17" s="71"/>
      <c r="F17" s="79">
        <f aca="true" t="shared" si="1" ref="F17:F25">SUM(C17:E17)</f>
        <v>1</v>
      </c>
      <c r="G17" s="71"/>
      <c r="H17" s="71">
        <f>SUM(F17:G17)</f>
        <v>1</v>
      </c>
    </row>
    <row r="18" spans="1:8" ht="15.75">
      <c r="A18" s="69">
        <v>10</v>
      </c>
      <c r="B18" s="71" t="s">
        <v>1129</v>
      </c>
      <c r="C18" s="71"/>
      <c r="D18" s="71">
        <v>1</v>
      </c>
      <c r="E18" s="71"/>
      <c r="F18" s="79">
        <f t="shared" si="1"/>
        <v>1</v>
      </c>
      <c r="G18" s="71"/>
      <c r="H18" s="71">
        <f aca="true" t="shared" si="2" ref="H18:H25">SUM(F18:G18)</f>
        <v>1</v>
      </c>
    </row>
    <row r="19" spans="1:8" ht="15.75">
      <c r="A19" s="69">
        <v>11</v>
      </c>
      <c r="B19" s="71" t="s">
        <v>765</v>
      </c>
      <c r="C19" s="71"/>
      <c r="D19" s="71">
        <v>1</v>
      </c>
      <c r="E19" s="71"/>
      <c r="F19" s="79">
        <f t="shared" si="1"/>
        <v>1</v>
      </c>
      <c r="G19" s="71"/>
      <c r="H19" s="71">
        <f t="shared" si="2"/>
        <v>1</v>
      </c>
    </row>
    <row r="20" spans="1:8" ht="15.75">
      <c r="A20" s="69">
        <v>12</v>
      </c>
      <c r="B20" s="71" t="s">
        <v>1130</v>
      </c>
      <c r="C20" s="71"/>
      <c r="D20" s="71"/>
      <c r="E20" s="71">
        <v>1</v>
      </c>
      <c r="F20" s="79">
        <f t="shared" si="1"/>
        <v>1</v>
      </c>
      <c r="G20" s="71"/>
      <c r="H20" s="71">
        <f t="shared" si="2"/>
        <v>1</v>
      </c>
    </row>
    <row r="21" spans="1:8" ht="15.75">
      <c r="A21" s="69">
        <v>13</v>
      </c>
      <c r="B21" s="71" t="s">
        <v>1169</v>
      </c>
      <c r="C21" s="71"/>
      <c r="D21" s="71">
        <v>2</v>
      </c>
      <c r="E21" s="71"/>
      <c r="F21" s="79">
        <f t="shared" si="1"/>
        <v>2</v>
      </c>
      <c r="G21" s="71"/>
      <c r="H21" s="71">
        <f t="shared" si="2"/>
        <v>2</v>
      </c>
    </row>
    <row r="22" spans="1:8" s="77" customFormat="1" ht="15.75">
      <c r="A22" s="69">
        <v>14</v>
      </c>
      <c r="B22" s="20" t="s">
        <v>1131</v>
      </c>
      <c r="C22" s="71"/>
      <c r="D22" s="79">
        <v>3</v>
      </c>
      <c r="E22" s="79">
        <v>1</v>
      </c>
      <c r="F22" s="79">
        <f t="shared" si="1"/>
        <v>4</v>
      </c>
      <c r="G22" s="79"/>
      <c r="H22" s="71">
        <f t="shared" si="2"/>
        <v>4</v>
      </c>
    </row>
    <row r="23" spans="1:8" s="77" customFormat="1" ht="15.75">
      <c r="A23" s="69">
        <v>15</v>
      </c>
      <c r="B23" s="20" t="s">
        <v>1367</v>
      </c>
      <c r="C23" s="71"/>
      <c r="D23" s="79"/>
      <c r="E23" s="79">
        <v>1</v>
      </c>
      <c r="F23" s="79">
        <f t="shared" si="1"/>
        <v>1</v>
      </c>
      <c r="G23" s="79"/>
      <c r="H23" s="71">
        <f t="shared" si="2"/>
        <v>1</v>
      </c>
    </row>
    <row r="24" spans="1:8" ht="15.75">
      <c r="A24" s="69">
        <v>16</v>
      </c>
      <c r="B24" s="71" t="s">
        <v>1132</v>
      </c>
      <c r="C24" s="71"/>
      <c r="D24" s="71">
        <v>11</v>
      </c>
      <c r="E24" s="71">
        <v>3</v>
      </c>
      <c r="F24" s="79">
        <f t="shared" si="1"/>
        <v>14</v>
      </c>
      <c r="G24" s="71">
        <v>5</v>
      </c>
      <c r="H24" s="71">
        <f t="shared" si="2"/>
        <v>19</v>
      </c>
    </row>
    <row r="25" spans="1:8" s="77" customFormat="1" ht="15.75">
      <c r="A25" s="69">
        <v>17</v>
      </c>
      <c r="B25" s="20" t="s">
        <v>1133</v>
      </c>
      <c r="C25" s="75"/>
      <c r="D25" s="75">
        <v>3</v>
      </c>
      <c r="E25" s="75">
        <v>3</v>
      </c>
      <c r="F25" s="79">
        <f t="shared" si="1"/>
        <v>6</v>
      </c>
      <c r="G25" s="75"/>
      <c r="H25" s="71">
        <f t="shared" si="2"/>
        <v>6</v>
      </c>
    </row>
    <row r="26" spans="1:8" s="77" customFormat="1" ht="15.75">
      <c r="A26" s="69">
        <v>18</v>
      </c>
      <c r="B26" s="75" t="s">
        <v>1134</v>
      </c>
      <c r="C26" s="71">
        <f aca="true" t="shared" si="3" ref="C26:H26">SUM(C17:C25)</f>
        <v>0</v>
      </c>
      <c r="D26" s="71">
        <f t="shared" si="3"/>
        <v>22</v>
      </c>
      <c r="E26" s="71">
        <f t="shared" si="3"/>
        <v>9</v>
      </c>
      <c r="F26" s="71">
        <f t="shared" si="3"/>
        <v>31</v>
      </c>
      <c r="G26" s="71">
        <f t="shared" si="3"/>
        <v>5</v>
      </c>
      <c r="H26" s="71">
        <f t="shared" si="3"/>
        <v>36</v>
      </c>
    </row>
    <row r="27" spans="1:8" s="77" customFormat="1" ht="15.75">
      <c r="A27" s="69">
        <v>19</v>
      </c>
      <c r="B27" s="75"/>
      <c r="C27" s="71"/>
      <c r="D27" s="71"/>
      <c r="E27" s="71"/>
      <c r="F27" s="71"/>
      <c r="G27" s="71"/>
      <c r="H27" s="71"/>
    </row>
    <row r="28" spans="1:8" s="77" customFormat="1" ht="15.75">
      <c r="A28" s="69">
        <v>20</v>
      </c>
      <c r="B28" s="75" t="s">
        <v>1261</v>
      </c>
      <c r="C28" s="79">
        <f aca="true" t="shared" si="4" ref="C28:H28">C26+C12</f>
        <v>0</v>
      </c>
      <c r="D28" s="79">
        <f t="shared" si="4"/>
        <v>29</v>
      </c>
      <c r="E28" s="79">
        <f t="shared" si="4"/>
        <v>9</v>
      </c>
      <c r="F28" s="79">
        <f t="shared" si="4"/>
        <v>38</v>
      </c>
      <c r="G28" s="79">
        <f t="shared" si="4"/>
        <v>5</v>
      </c>
      <c r="H28" s="79">
        <f t="shared" si="4"/>
        <v>43</v>
      </c>
    </row>
    <row r="29" s="239" customFormat="1" ht="15.75">
      <c r="A29" s="238"/>
    </row>
    <row r="30" s="239" customFormat="1" ht="15.75">
      <c r="A30" s="238"/>
    </row>
  </sheetData>
  <sheetProtection/>
  <mergeCells count="2">
    <mergeCell ref="A1:D1"/>
    <mergeCell ref="B3:G3"/>
  </mergeCells>
  <printOptions/>
  <pageMargins left="0.7" right="0.7" top="0.75" bottom="0.75" header="0.3" footer="0.3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view="pageBreakPreview" zoomScale="60" zoomScalePageLayoutView="0" workbookViewId="0" topLeftCell="A1">
      <selection activeCell="E26" sqref="E26"/>
    </sheetView>
  </sheetViews>
  <sheetFormatPr defaultColWidth="9.140625" defaultRowHeight="15"/>
  <cols>
    <col min="1" max="1" width="5.00390625" style="171" customWidth="1"/>
    <col min="2" max="2" width="47.00390625" style="170" customWidth="1"/>
    <col min="3" max="4" width="15.140625" style="170" customWidth="1"/>
    <col min="5" max="16384" width="9.140625" style="170" customWidth="1"/>
  </cols>
  <sheetData>
    <row r="1" spans="1:2" ht="15">
      <c r="A1" s="832" t="s">
        <v>459</v>
      </c>
      <c r="B1" s="833"/>
    </row>
    <row r="3" spans="2:4" ht="31.5" customHeight="1">
      <c r="B3" s="834" t="s">
        <v>1215</v>
      </c>
      <c r="C3" s="834"/>
      <c r="D3" s="834"/>
    </row>
    <row r="4" spans="1:4" s="174" customFormat="1" ht="16.5" thickBot="1">
      <c r="A4" s="172"/>
      <c r="B4" s="173"/>
      <c r="D4" s="175" t="s">
        <v>1199</v>
      </c>
    </row>
    <row r="5" spans="1:4" s="179" customFormat="1" ht="48" customHeight="1" thickBot="1">
      <c r="A5" s="176" t="s">
        <v>1210</v>
      </c>
      <c r="B5" s="177" t="s">
        <v>1216</v>
      </c>
      <c r="C5" s="177" t="s">
        <v>1217</v>
      </c>
      <c r="D5" s="178" t="s">
        <v>1218</v>
      </c>
    </row>
    <row r="6" spans="1:4" s="179" customFormat="1" ht="13.5" customHeight="1" thickBot="1">
      <c r="A6" s="180"/>
      <c r="B6" s="181" t="s">
        <v>564</v>
      </c>
      <c r="C6" s="181" t="s">
        <v>565</v>
      </c>
      <c r="D6" s="182" t="s">
        <v>566</v>
      </c>
    </row>
    <row r="7" spans="1:4" ht="21.75" customHeight="1">
      <c r="A7" s="183" t="s">
        <v>928</v>
      </c>
      <c r="B7" s="700" t="s">
        <v>1219</v>
      </c>
      <c r="C7" s="701"/>
      <c r="D7" s="702"/>
    </row>
    <row r="8" spans="1:4" ht="25.5" customHeight="1">
      <c r="A8" s="185" t="s">
        <v>929</v>
      </c>
      <c r="B8" s="703" t="s">
        <v>1220</v>
      </c>
      <c r="C8" s="704"/>
      <c r="D8" s="705"/>
    </row>
    <row r="9" spans="1:4" ht="24" customHeight="1">
      <c r="A9" s="185" t="s">
        <v>934</v>
      </c>
      <c r="B9" s="703" t="s">
        <v>1221</v>
      </c>
      <c r="C9" s="704"/>
      <c r="D9" s="705"/>
    </row>
    <row r="10" spans="1:4" ht="27" customHeight="1">
      <c r="A10" s="185" t="s">
        <v>1118</v>
      </c>
      <c r="B10" s="703" t="s">
        <v>1222</v>
      </c>
      <c r="C10" s="704"/>
      <c r="D10" s="705"/>
    </row>
    <row r="11" spans="1:4" ht="24" customHeight="1">
      <c r="A11" s="185" t="s">
        <v>939</v>
      </c>
      <c r="B11" s="703" t="s">
        <v>1223</v>
      </c>
      <c r="C11" s="704"/>
      <c r="D11" s="705"/>
    </row>
    <row r="12" spans="1:4" ht="24" customHeight="1">
      <c r="A12" s="185" t="s">
        <v>1192</v>
      </c>
      <c r="B12" s="703" t="s">
        <v>1224</v>
      </c>
      <c r="C12" s="704">
        <v>119074</v>
      </c>
      <c r="D12" s="705">
        <v>31545</v>
      </c>
    </row>
    <row r="13" spans="1:4" ht="25.5" customHeight="1">
      <c r="A13" s="185" t="s">
        <v>1194</v>
      </c>
      <c r="B13" s="706" t="s">
        <v>1225</v>
      </c>
      <c r="C13" s="704">
        <v>6967</v>
      </c>
      <c r="D13" s="705">
        <v>491</v>
      </c>
    </row>
    <row r="14" spans="1:4" ht="18" customHeight="1">
      <c r="A14" s="185" t="s">
        <v>1120</v>
      </c>
      <c r="B14" s="706" t="s">
        <v>1226</v>
      </c>
      <c r="C14" s="704"/>
      <c r="D14" s="705"/>
    </row>
    <row r="15" spans="1:4" ht="18" customHeight="1">
      <c r="A15" s="185" t="s">
        <v>1227</v>
      </c>
      <c r="B15" s="706" t="s">
        <v>1228</v>
      </c>
      <c r="C15" s="704"/>
      <c r="D15" s="705"/>
    </row>
    <row r="16" spans="1:4" ht="18" customHeight="1">
      <c r="A16" s="185" t="s">
        <v>1229</v>
      </c>
      <c r="B16" s="706" t="s">
        <v>1230</v>
      </c>
      <c r="C16" s="704"/>
      <c r="D16" s="705"/>
    </row>
    <row r="17" spans="1:4" ht="18" customHeight="1">
      <c r="A17" s="185" t="s">
        <v>1231</v>
      </c>
      <c r="B17" s="706" t="s">
        <v>1232</v>
      </c>
      <c r="C17" s="704"/>
      <c r="D17" s="705"/>
    </row>
    <row r="18" spans="1:4" ht="22.5" customHeight="1">
      <c r="A18" s="185" t="s">
        <v>1233</v>
      </c>
      <c r="B18" s="706" t="s">
        <v>1234</v>
      </c>
      <c r="C18" s="704"/>
      <c r="D18" s="705"/>
    </row>
    <row r="19" spans="1:4" ht="18" customHeight="1">
      <c r="A19" s="185" t="s">
        <v>1235</v>
      </c>
      <c r="B19" s="703" t="s">
        <v>1236</v>
      </c>
      <c r="C19" s="704"/>
      <c r="D19" s="705"/>
    </row>
    <row r="20" spans="1:4" ht="18" customHeight="1">
      <c r="A20" s="185" t="s">
        <v>1237</v>
      </c>
      <c r="B20" s="703" t="s">
        <v>1238</v>
      </c>
      <c r="C20" s="704"/>
      <c r="D20" s="705"/>
    </row>
    <row r="21" spans="1:4" ht="18" customHeight="1">
      <c r="A21" s="185" t="s">
        <v>1239</v>
      </c>
      <c r="B21" s="703" t="s">
        <v>1240</v>
      </c>
      <c r="C21" s="704"/>
      <c r="D21" s="705"/>
    </row>
    <row r="22" spans="1:4" ht="18" customHeight="1">
      <c r="A22" s="185" t="s">
        <v>1241</v>
      </c>
      <c r="B22" s="703" t="s">
        <v>1242</v>
      </c>
      <c r="C22" s="704"/>
      <c r="D22" s="705"/>
    </row>
    <row r="23" spans="1:4" ht="18" customHeight="1">
      <c r="A23" s="185" t="s">
        <v>1243</v>
      </c>
      <c r="B23" s="703" t="s">
        <v>1244</v>
      </c>
      <c r="C23" s="704"/>
      <c r="D23" s="705"/>
    </row>
    <row r="24" spans="1:4" ht="18" customHeight="1" thickBot="1">
      <c r="A24" s="187">
        <v>18</v>
      </c>
      <c r="B24" s="707"/>
      <c r="C24" s="708"/>
      <c r="D24" s="709"/>
    </row>
    <row r="25" spans="1:4" ht="18" customHeight="1" thickBot="1">
      <c r="A25" s="188">
        <v>19</v>
      </c>
      <c r="B25" s="710" t="s">
        <v>535</v>
      </c>
      <c r="C25" s="711">
        <f>SUM(C7:C24)</f>
        <v>126041</v>
      </c>
      <c r="D25" s="712">
        <f>SUM(D7:D24)</f>
        <v>32036</v>
      </c>
    </row>
    <row r="26" spans="1:4" ht="8.25" customHeight="1">
      <c r="A26" s="189"/>
      <c r="B26" s="835"/>
      <c r="C26" s="835"/>
      <c r="D26" s="835"/>
    </row>
  </sheetData>
  <sheetProtection/>
  <mergeCells count="3">
    <mergeCell ref="A1:B1"/>
    <mergeCell ref="B3:D3"/>
    <mergeCell ref="B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60" zoomScaleNormal="62" zoomScalePageLayoutView="0" workbookViewId="0" topLeftCell="A1">
      <selection activeCell="I8" sqref="I8"/>
    </sheetView>
  </sheetViews>
  <sheetFormatPr defaultColWidth="9.140625" defaultRowHeight="15"/>
  <cols>
    <col min="1" max="1" width="6.7109375" style="71" customWidth="1"/>
    <col min="2" max="2" width="45.421875" style="1" bestFit="1" customWidth="1"/>
    <col min="3" max="3" width="10.57421875" style="71" customWidth="1"/>
    <col min="4" max="4" width="9.57421875" style="71" customWidth="1"/>
    <col min="5" max="6" width="8.8515625" style="71" customWidth="1"/>
    <col min="7" max="7" width="5.57421875" style="71" customWidth="1"/>
    <col min="8" max="8" width="10.00390625" style="71" customWidth="1"/>
    <col min="9" max="9" width="9.28125" style="71" customWidth="1"/>
    <col min="10" max="10" width="10.28125" style="71" customWidth="1"/>
    <col min="11" max="14" width="9.7109375" style="71" customWidth="1"/>
    <col min="15" max="20" width="11.140625" style="75" customWidth="1"/>
    <col min="21" max="21" width="13.140625" style="71" customWidth="1"/>
    <col min="22" max="22" width="12.00390625" style="71" bestFit="1" customWidth="1"/>
    <col min="23" max="23" width="11.00390625" style="71" customWidth="1"/>
    <col min="24" max="24" width="0.13671875" style="71" customWidth="1"/>
    <col min="25" max="25" width="10.57421875" style="71" customWidth="1"/>
    <col min="26" max="16384" width="9.140625" style="71" customWidth="1"/>
  </cols>
  <sheetData>
    <row r="1" spans="1:26" ht="27" customHeight="1">
      <c r="A1" s="791" t="s">
        <v>2158</v>
      </c>
      <c r="B1" s="791"/>
      <c r="C1" s="791"/>
      <c r="D1" s="791"/>
      <c r="E1" s="791"/>
      <c r="F1" s="791"/>
      <c r="G1" s="791"/>
      <c r="H1" s="713"/>
      <c r="I1" s="713"/>
      <c r="J1" s="713"/>
      <c r="K1" s="713"/>
      <c r="L1" s="713"/>
      <c r="M1" s="713"/>
      <c r="N1" s="713"/>
      <c r="O1" s="714"/>
      <c r="P1" s="714"/>
      <c r="Q1" s="714"/>
      <c r="R1" s="714"/>
      <c r="S1" s="714"/>
      <c r="T1" s="714"/>
      <c r="U1" s="713"/>
      <c r="V1" s="715"/>
      <c r="W1" s="713"/>
      <c r="X1" s="713"/>
      <c r="Y1" s="713"/>
      <c r="Z1" s="716"/>
    </row>
    <row r="2" spans="1:26" ht="18.75">
      <c r="A2" s="713"/>
      <c r="B2" s="838" t="s">
        <v>2115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716"/>
    </row>
    <row r="3" spans="1:26" ht="18.75">
      <c r="A3" s="713"/>
      <c r="B3" s="838" t="s">
        <v>2116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39"/>
      <c r="X3" s="839"/>
      <c r="Y3" s="839"/>
      <c r="Z3" s="716"/>
    </row>
    <row r="4" spans="1:26" ht="18.75">
      <c r="A4" s="713"/>
      <c r="B4" s="838" t="s">
        <v>2117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39"/>
      <c r="X4" s="839"/>
      <c r="Y4" s="839"/>
      <c r="Z4" s="716"/>
    </row>
    <row r="5" spans="1:26" ht="18.75">
      <c r="A5" s="713"/>
      <c r="B5" s="838" t="s">
        <v>2156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716"/>
    </row>
    <row r="6" spans="1:26" ht="18.75">
      <c r="A6" s="713"/>
      <c r="B6" s="717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6"/>
    </row>
    <row r="7" spans="2:25" s="719" customFormat="1" ht="15.75">
      <c r="B7" s="719" t="s">
        <v>124</v>
      </c>
      <c r="C7" s="719" t="s">
        <v>565</v>
      </c>
      <c r="D7" s="719" t="s">
        <v>566</v>
      </c>
      <c r="E7" s="719" t="s">
        <v>567</v>
      </c>
      <c r="F7" s="719" t="s">
        <v>568</v>
      </c>
      <c r="G7" s="719" t="s">
        <v>689</v>
      </c>
      <c r="H7" s="719" t="s">
        <v>599</v>
      </c>
      <c r="I7" s="719" t="s">
        <v>600</v>
      </c>
      <c r="J7" s="719" t="s">
        <v>601</v>
      </c>
      <c r="K7" s="719" t="s">
        <v>602</v>
      </c>
      <c r="L7" s="719" t="s">
        <v>603</v>
      </c>
      <c r="M7" s="719" t="s">
        <v>604</v>
      </c>
      <c r="N7" s="719" t="s">
        <v>1407</v>
      </c>
      <c r="O7" s="719" t="s">
        <v>606</v>
      </c>
      <c r="P7" s="719" t="s">
        <v>730</v>
      </c>
      <c r="Q7" s="719" t="s">
        <v>607</v>
      </c>
      <c r="R7" s="719" t="s">
        <v>731</v>
      </c>
      <c r="S7" s="719" t="s">
        <v>608</v>
      </c>
      <c r="U7" s="719" t="s">
        <v>2118</v>
      </c>
      <c r="V7" s="719" t="s">
        <v>610</v>
      </c>
      <c r="W7" s="719" t="s">
        <v>611</v>
      </c>
      <c r="X7" s="719" t="s">
        <v>612</v>
      </c>
      <c r="Y7" s="719" t="s">
        <v>612</v>
      </c>
    </row>
    <row r="8" spans="2:26" ht="44.25" customHeight="1">
      <c r="B8" s="193"/>
      <c r="C8" s="69"/>
      <c r="D8" s="69"/>
      <c r="E8" s="69"/>
      <c r="F8" s="69"/>
      <c r="G8" s="69"/>
      <c r="H8" s="69"/>
      <c r="I8" s="70"/>
      <c r="J8" s="70"/>
      <c r="K8" s="69"/>
      <c r="L8" s="69"/>
      <c r="M8" s="69"/>
      <c r="N8" s="69"/>
      <c r="O8" s="70"/>
      <c r="P8" s="70"/>
      <c r="Q8" s="70"/>
      <c r="R8" s="70"/>
      <c r="S8" s="70"/>
      <c r="T8" s="70"/>
      <c r="U8" s="841" t="s">
        <v>2119</v>
      </c>
      <c r="V8" s="842"/>
      <c r="W8" s="843" t="s">
        <v>2120</v>
      </c>
      <c r="X8" s="843"/>
      <c r="Y8" s="844"/>
      <c r="Z8" s="70"/>
    </row>
    <row r="9" spans="2:26" ht="78.75">
      <c r="B9" s="720" t="s">
        <v>617</v>
      </c>
      <c r="C9" s="83" t="s">
        <v>2121</v>
      </c>
      <c r="D9" s="83" t="s">
        <v>2122</v>
      </c>
      <c r="E9" s="83" t="s">
        <v>2123</v>
      </c>
      <c r="F9" s="83" t="s">
        <v>2124</v>
      </c>
      <c r="G9" s="83" t="s">
        <v>2125</v>
      </c>
      <c r="H9" s="83" t="s">
        <v>2126</v>
      </c>
      <c r="I9" s="83" t="s">
        <v>2127</v>
      </c>
      <c r="J9" s="83" t="s">
        <v>2128</v>
      </c>
      <c r="K9" s="83" t="s">
        <v>2129</v>
      </c>
      <c r="L9" s="83" t="s">
        <v>2130</v>
      </c>
      <c r="M9" s="83" t="s">
        <v>2131</v>
      </c>
      <c r="N9" s="83" t="s">
        <v>2132</v>
      </c>
      <c r="O9" s="721" t="s">
        <v>2133</v>
      </c>
      <c r="P9" s="721" t="s">
        <v>2134</v>
      </c>
      <c r="Q9" s="721" t="s">
        <v>2135</v>
      </c>
      <c r="R9" s="721" t="s">
        <v>2136</v>
      </c>
      <c r="S9" s="721" t="s">
        <v>2137</v>
      </c>
      <c r="T9" s="721" t="s">
        <v>2157</v>
      </c>
      <c r="U9" s="83" t="s">
        <v>2138</v>
      </c>
      <c r="V9" s="83" t="s">
        <v>2139</v>
      </c>
      <c r="W9" s="722" t="s">
        <v>2140</v>
      </c>
      <c r="X9" s="836" t="s">
        <v>2141</v>
      </c>
      <c r="Y9" s="837"/>
      <c r="Z9" s="723"/>
    </row>
    <row r="10" spans="1:25" ht="15.75">
      <c r="A10" s="71">
        <v>1</v>
      </c>
      <c r="B10" s="1" t="s">
        <v>2142</v>
      </c>
      <c r="C10" s="724">
        <v>2570</v>
      </c>
      <c r="D10" s="724">
        <v>0</v>
      </c>
      <c r="E10" s="724"/>
      <c r="F10" s="724"/>
      <c r="G10" s="724"/>
      <c r="H10" s="724">
        <v>2570</v>
      </c>
      <c r="I10" s="71">
        <v>-2570</v>
      </c>
      <c r="K10" s="724">
        <v>0</v>
      </c>
      <c r="L10" s="724"/>
      <c r="M10" s="724"/>
      <c r="N10" s="724"/>
      <c r="O10" s="725"/>
      <c r="P10" s="725"/>
      <c r="Q10" s="725"/>
      <c r="R10" s="725"/>
      <c r="S10" s="725"/>
      <c r="T10" s="725"/>
      <c r="U10" s="78" t="s">
        <v>2143</v>
      </c>
      <c r="V10" s="724" t="s">
        <v>2143</v>
      </c>
      <c r="W10" s="726"/>
      <c r="X10" s="726"/>
      <c r="Y10" s="726"/>
    </row>
    <row r="11" spans="1:25" ht="15.75">
      <c r="A11" s="71">
        <v>2</v>
      </c>
      <c r="B11" s="1" t="s">
        <v>2144</v>
      </c>
      <c r="C11" s="724">
        <v>8100</v>
      </c>
      <c r="D11" s="724">
        <v>0</v>
      </c>
      <c r="E11" s="724"/>
      <c r="F11" s="724"/>
      <c r="G11" s="724"/>
      <c r="H11" s="724">
        <v>8100</v>
      </c>
      <c r="I11" s="71">
        <v>-8100</v>
      </c>
      <c r="K11" s="724">
        <v>0</v>
      </c>
      <c r="L11" s="724"/>
      <c r="M11" s="724"/>
      <c r="N11" s="724"/>
      <c r="O11" s="725"/>
      <c r="P11" s="725"/>
      <c r="Q11" s="725"/>
      <c r="R11" s="725"/>
      <c r="S11" s="725"/>
      <c r="T11" s="725"/>
      <c r="U11" s="78" t="s">
        <v>2143</v>
      </c>
      <c r="V11" s="724" t="s">
        <v>2143</v>
      </c>
      <c r="W11" s="726"/>
      <c r="X11" s="726"/>
      <c r="Y11" s="726"/>
    </row>
    <row r="12" spans="1:25" ht="15.75">
      <c r="A12" s="71">
        <v>3</v>
      </c>
      <c r="B12" s="1" t="s">
        <v>2145</v>
      </c>
      <c r="C12" s="724">
        <v>8000</v>
      </c>
      <c r="D12" s="724">
        <v>7881</v>
      </c>
      <c r="E12" s="724"/>
      <c r="F12" s="724"/>
      <c r="G12" s="724"/>
      <c r="H12" s="724">
        <v>8000</v>
      </c>
      <c r="I12" s="71">
        <v>-119</v>
      </c>
      <c r="J12" s="71">
        <v>0</v>
      </c>
      <c r="K12" s="724">
        <v>7881</v>
      </c>
      <c r="L12" s="724"/>
      <c r="M12" s="724">
        <v>7881</v>
      </c>
      <c r="N12" s="724">
        <v>7881</v>
      </c>
      <c r="O12" s="725">
        <v>5630</v>
      </c>
      <c r="P12" s="725">
        <v>5630</v>
      </c>
      <c r="Q12" s="725">
        <v>5630</v>
      </c>
      <c r="R12" s="725">
        <v>5630</v>
      </c>
      <c r="S12" s="725">
        <v>5630</v>
      </c>
      <c r="T12" s="725">
        <v>5630</v>
      </c>
      <c r="U12" s="78">
        <v>20756</v>
      </c>
      <c r="V12" s="724">
        <v>12430</v>
      </c>
      <c r="W12" s="726">
        <f>M12/U12</f>
        <v>0.3796974368857198</v>
      </c>
      <c r="X12" s="726"/>
      <c r="Y12" s="726">
        <f>M12/V12</f>
        <v>0.6340305711987128</v>
      </c>
    </row>
    <row r="13" spans="1:25" ht="15.75">
      <c r="A13" s="71">
        <v>4</v>
      </c>
      <c r="B13" s="1" t="s">
        <v>2146</v>
      </c>
      <c r="C13" s="724">
        <v>2690</v>
      </c>
      <c r="D13" s="724">
        <v>2690</v>
      </c>
      <c r="E13" s="724">
        <v>2690</v>
      </c>
      <c r="F13" s="724">
        <v>2690</v>
      </c>
      <c r="G13" s="724"/>
      <c r="H13" s="724">
        <v>2690</v>
      </c>
      <c r="K13" s="724">
        <v>0</v>
      </c>
      <c r="L13" s="724"/>
      <c r="M13" s="724"/>
      <c r="N13" s="724"/>
      <c r="O13" s="725"/>
      <c r="P13" s="725"/>
      <c r="Q13" s="725"/>
      <c r="R13" s="725"/>
      <c r="S13" s="725"/>
      <c r="T13" s="725"/>
      <c r="U13" s="78"/>
      <c r="V13" s="724"/>
      <c r="W13" s="726"/>
      <c r="X13" s="726"/>
      <c r="Y13" s="726"/>
    </row>
    <row r="14" spans="1:25" ht="15.75">
      <c r="A14" s="71">
        <v>5</v>
      </c>
      <c r="B14" s="1" t="s">
        <v>2147</v>
      </c>
      <c r="C14" s="724">
        <v>4290</v>
      </c>
      <c r="D14" s="724">
        <v>4290</v>
      </c>
      <c r="E14" s="724">
        <v>4290</v>
      </c>
      <c r="F14" s="724">
        <v>5068</v>
      </c>
      <c r="G14" s="724"/>
      <c r="H14" s="724">
        <v>4290</v>
      </c>
      <c r="K14" s="724">
        <v>0</v>
      </c>
      <c r="L14" s="724"/>
      <c r="M14" s="724"/>
      <c r="N14" s="724"/>
      <c r="O14" s="725"/>
      <c r="P14" s="725"/>
      <c r="Q14" s="725"/>
      <c r="R14" s="725"/>
      <c r="S14" s="725"/>
      <c r="T14" s="725"/>
      <c r="U14" s="78"/>
      <c r="V14" s="724"/>
      <c r="W14" s="726"/>
      <c r="X14" s="726"/>
      <c r="Y14" s="726"/>
    </row>
    <row r="15" spans="1:25" ht="15.75">
      <c r="A15" s="71">
        <v>6</v>
      </c>
      <c r="B15" s="1" t="s">
        <v>2148</v>
      </c>
      <c r="C15" s="724">
        <v>3350</v>
      </c>
      <c r="D15" s="724">
        <v>3350</v>
      </c>
      <c r="E15" s="724">
        <v>3350</v>
      </c>
      <c r="F15" s="724">
        <v>3546</v>
      </c>
      <c r="G15" s="724"/>
      <c r="H15" s="724">
        <v>3350</v>
      </c>
      <c r="K15" s="724">
        <v>0</v>
      </c>
      <c r="L15" s="724"/>
      <c r="M15" s="724"/>
      <c r="N15" s="724"/>
      <c r="O15" s="725"/>
      <c r="P15" s="725"/>
      <c r="Q15" s="725"/>
      <c r="R15" s="725"/>
      <c r="S15" s="725"/>
      <c r="T15" s="725"/>
      <c r="U15" s="78"/>
      <c r="V15" s="724"/>
      <c r="W15" s="726"/>
      <c r="X15" s="726"/>
      <c r="Y15" s="726"/>
    </row>
    <row r="16" spans="1:25" ht="15.75">
      <c r="A16" s="71">
        <v>7</v>
      </c>
      <c r="B16" s="1" t="s">
        <v>2149</v>
      </c>
      <c r="C16" s="724">
        <v>11050</v>
      </c>
      <c r="D16" s="724">
        <v>8002</v>
      </c>
      <c r="E16" s="724"/>
      <c r="F16" s="724"/>
      <c r="G16" s="724"/>
      <c r="H16" s="724">
        <v>11050</v>
      </c>
      <c r="I16" s="71">
        <v>-9806</v>
      </c>
      <c r="J16" s="71">
        <v>1244</v>
      </c>
      <c r="K16" s="724"/>
      <c r="L16" s="724"/>
      <c r="M16" s="724"/>
      <c r="N16" s="724"/>
      <c r="O16" s="725"/>
      <c r="P16" s="725"/>
      <c r="Q16" s="725"/>
      <c r="R16" s="725"/>
      <c r="S16" s="725"/>
      <c r="T16" s="725"/>
      <c r="U16" s="78" t="s">
        <v>2143</v>
      </c>
      <c r="V16" s="724" t="s">
        <v>2143</v>
      </c>
      <c r="W16" s="726"/>
      <c r="X16" s="726"/>
      <c r="Y16" s="726"/>
    </row>
    <row r="17" spans="1:25" ht="15.75">
      <c r="A17" s="71">
        <v>8</v>
      </c>
      <c r="B17" s="1" t="s">
        <v>2150</v>
      </c>
      <c r="C17" s="724">
        <v>9904</v>
      </c>
      <c r="D17" s="724">
        <v>9904</v>
      </c>
      <c r="E17" s="724"/>
      <c r="F17" s="724"/>
      <c r="G17" s="724"/>
      <c r="H17" s="724">
        <v>9904</v>
      </c>
      <c r="K17" s="724">
        <v>9904</v>
      </c>
      <c r="L17" s="724"/>
      <c r="M17" s="724">
        <v>9904</v>
      </c>
      <c r="N17" s="724">
        <v>9904</v>
      </c>
      <c r="O17" s="725">
        <v>18420</v>
      </c>
      <c r="P17" s="725">
        <v>18420</v>
      </c>
      <c r="Q17" s="725">
        <v>18420</v>
      </c>
      <c r="R17" s="725">
        <v>18420</v>
      </c>
      <c r="S17" s="725">
        <v>18420</v>
      </c>
      <c r="T17" s="725">
        <v>0</v>
      </c>
      <c r="U17" s="78">
        <v>4213747</v>
      </c>
      <c r="V17" s="724">
        <v>3522180</v>
      </c>
      <c r="W17" s="726">
        <f>M17/U17</f>
        <v>0.002350402148016955</v>
      </c>
      <c r="X17" s="726"/>
      <c r="Y17" s="726">
        <f>M17/V17</f>
        <v>0.0028118949059957187</v>
      </c>
    </row>
    <row r="18" spans="1:25" ht="15.75">
      <c r="A18" s="71">
        <v>9</v>
      </c>
      <c r="B18" s="1" t="s">
        <v>2151</v>
      </c>
      <c r="C18" s="724">
        <v>10</v>
      </c>
      <c r="D18" s="724">
        <v>10</v>
      </c>
      <c r="E18" s="724"/>
      <c r="F18" s="724"/>
      <c r="G18" s="724">
        <v>3</v>
      </c>
      <c r="H18" s="724">
        <v>7</v>
      </c>
      <c r="K18" s="724">
        <v>7</v>
      </c>
      <c r="L18" s="724"/>
      <c r="M18" s="724">
        <v>7</v>
      </c>
      <c r="N18" s="724">
        <v>7</v>
      </c>
      <c r="O18" s="725">
        <v>7</v>
      </c>
      <c r="P18" s="725">
        <v>7</v>
      </c>
      <c r="Q18" s="725">
        <v>7</v>
      </c>
      <c r="R18" s="725">
        <v>7</v>
      </c>
      <c r="S18" s="725">
        <v>14</v>
      </c>
      <c r="T18" s="725">
        <v>14</v>
      </c>
      <c r="U18" s="78">
        <v>1049144</v>
      </c>
      <c r="V18" s="724">
        <v>230123</v>
      </c>
      <c r="W18" s="726">
        <f>M18/U18</f>
        <v>6.672106021671001E-06</v>
      </c>
      <c r="X18" s="726"/>
      <c r="Y18" s="726">
        <f>M18/V18</f>
        <v>3.0418515315722462E-05</v>
      </c>
    </row>
    <row r="19" spans="1:25" s="75" customFormat="1" ht="15.75">
      <c r="A19" s="71">
        <v>10</v>
      </c>
      <c r="B19" s="5" t="s">
        <v>68</v>
      </c>
      <c r="C19" s="725">
        <f>SUM(C10:C18)</f>
        <v>49964</v>
      </c>
      <c r="D19" s="725">
        <f>SUM(D10:D18)</f>
        <v>36127</v>
      </c>
      <c r="E19" s="725">
        <f>SUM(E10:E18)</f>
        <v>10330</v>
      </c>
      <c r="F19" s="725">
        <f>SUM(F10:F18)</f>
        <v>11304</v>
      </c>
      <c r="G19" s="725">
        <f>SUM(G18)</f>
        <v>3</v>
      </c>
      <c r="H19" s="725">
        <f aca="true" t="shared" si="0" ref="H19:O19">SUM(H10:H18)</f>
        <v>49961</v>
      </c>
      <c r="I19" s="75">
        <f t="shared" si="0"/>
        <v>-20595</v>
      </c>
      <c r="J19" s="75">
        <f t="shared" si="0"/>
        <v>1244</v>
      </c>
      <c r="K19" s="725">
        <f t="shared" si="0"/>
        <v>17792</v>
      </c>
      <c r="L19" s="725">
        <f t="shared" si="0"/>
        <v>0</v>
      </c>
      <c r="M19" s="725">
        <f t="shared" si="0"/>
        <v>17792</v>
      </c>
      <c r="N19" s="724">
        <f t="shared" si="0"/>
        <v>17792</v>
      </c>
      <c r="O19" s="725">
        <f t="shared" si="0"/>
        <v>24057</v>
      </c>
      <c r="P19" s="725">
        <f>SUM(P10:P18)</f>
        <v>24057</v>
      </c>
      <c r="Q19" s="725">
        <f>SUM(Q10:Q18)</f>
        <v>24057</v>
      </c>
      <c r="R19" s="725">
        <f>SUM(R10:R18)</f>
        <v>24057</v>
      </c>
      <c r="S19" s="725">
        <f>SUM(S10:S18)</f>
        <v>24064</v>
      </c>
      <c r="T19" s="725">
        <f>SUM(T10:T18)</f>
        <v>5644</v>
      </c>
      <c r="U19" s="76">
        <f>SUM(U10:U17)</f>
        <v>4234503</v>
      </c>
      <c r="V19" s="725">
        <f>SUM(V10:V18)</f>
        <v>3764733</v>
      </c>
      <c r="W19" s="726">
        <f>M19/U19</f>
        <v>0.004201673726527057</v>
      </c>
      <c r="X19" s="727"/>
      <c r="Y19" s="726">
        <f>M19/V19</f>
        <v>0.004725965958276457</v>
      </c>
    </row>
    <row r="20" spans="1:22" ht="15.75">
      <c r="A20" s="71">
        <v>11</v>
      </c>
      <c r="B20" s="5"/>
      <c r="C20" s="725"/>
      <c r="D20" s="725"/>
      <c r="E20" s="725"/>
      <c r="F20" s="725"/>
      <c r="G20" s="725"/>
      <c r="H20" s="725"/>
      <c r="K20" s="725"/>
      <c r="L20" s="725"/>
      <c r="M20" s="725"/>
      <c r="N20" s="724"/>
      <c r="O20" s="725"/>
      <c r="P20" s="725"/>
      <c r="Q20" s="725"/>
      <c r="R20" s="725"/>
      <c r="S20" s="725"/>
      <c r="T20" s="725"/>
      <c r="U20" s="78"/>
      <c r="V20" s="725"/>
    </row>
    <row r="21" spans="1:22" ht="15.75">
      <c r="A21" s="71">
        <v>12</v>
      </c>
      <c r="B21" s="1" t="s">
        <v>2152</v>
      </c>
      <c r="C21" s="724">
        <v>32830</v>
      </c>
      <c r="D21" s="724">
        <v>32830</v>
      </c>
      <c r="E21" s="724"/>
      <c r="F21" s="724"/>
      <c r="G21" s="724"/>
      <c r="H21" s="724">
        <v>32830</v>
      </c>
      <c r="K21" s="724">
        <v>32830</v>
      </c>
      <c r="L21" s="724"/>
      <c r="M21" s="724">
        <v>0</v>
      </c>
      <c r="N21" s="724">
        <v>0</v>
      </c>
      <c r="O21" s="725"/>
      <c r="P21" s="725"/>
      <c r="Q21" s="725"/>
      <c r="R21" s="725"/>
      <c r="S21" s="725"/>
      <c r="T21" s="725"/>
      <c r="U21" s="78">
        <v>0</v>
      </c>
      <c r="V21" s="724">
        <v>0</v>
      </c>
    </row>
    <row r="22" spans="1:22" ht="15.75">
      <c r="A22" s="71">
        <v>13</v>
      </c>
      <c r="C22" s="724"/>
      <c r="D22" s="724"/>
      <c r="E22" s="724"/>
      <c r="F22" s="724"/>
      <c r="G22" s="724"/>
      <c r="H22" s="724"/>
      <c r="K22" s="724"/>
      <c r="L22" s="724"/>
      <c r="M22" s="724"/>
      <c r="N22" s="724"/>
      <c r="O22" s="725"/>
      <c r="P22" s="725"/>
      <c r="Q22" s="725"/>
      <c r="R22" s="725"/>
      <c r="S22" s="725"/>
      <c r="T22" s="725"/>
      <c r="U22" s="78"/>
      <c r="V22" s="724"/>
    </row>
    <row r="23" spans="1:22" ht="15.75">
      <c r="A23" s="71">
        <v>14</v>
      </c>
      <c r="B23" s="1" t="s">
        <v>2153</v>
      </c>
      <c r="C23" s="724">
        <v>5</v>
      </c>
      <c r="D23" s="724">
        <v>5</v>
      </c>
      <c r="E23" s="724"/>
      <c r="F23" s="724"/>
      <c r="G23" s="724"/>
      <c r="H23" s="724">
        <v>5</v>
      </c>
      <c r="K23" s="724">
        <v>5</v>
      </c>
      <c r="L23" s="724"/>
      <c r="M23" s="724">
        <v>5</v>
      </c>
      <c r="N23" s="724">
        <v>5</v>
      </c>
      <c r="O23" s="725">
        <v>5</v>
      </c>
      <c r="P23" s="725">
        <v>5</v>
      </c>
      <c r="Q23" s="725">
        <v>5</v>
      </c>
      <c r="R23" s="725">
        <v>5</v>
      </c>
      <c r="S23" s="725">
        <v>5</v>
      </c>
      <c r="T23" s="725">
        <v>5</v>
      </c>
      <c r="U23" s="78">
        <v>0</v>
      </c>
      <c r="V23" s="724">
        <v>0</v>
      </c>
    </row>
    <row r="24" spans="1:26" ht="15.75">
      <c r="A24" s="71">
        <v>15</v>
      </c>
      <c r="B24" s="5" t="s">
        <v>2154</v>
      </c>
      <c r="C24" s="725">
        <f>SUM(C19:C23)</f>
        <v>82799</v>
      </c>
      <c r="D24" s="725">
        <f>SUM(D19:D23)</f>
        <v>68962</v>
      </c>
      <c r="E24" s="725"/>
      <c r="F24" s="725"/>
      <c r="G24" s="725"/>
      <c r="H24" s="725">
        <f>SUM(H19:H23)</f>
        <v>82796</v>
      </c>
      <c r="I24" s="725">
        <f>SUM(I19:I23)</f>
        <v>-20595</v>
      </c>
      <c r="J24" s="725"/>
      <c r="K24" s="725">
        <f>SUM(K19:K23)</f>
        <v>50627</v>
      </c>
      <c r="L24" s="725">
        <f>SUM(L19:L23)</f>
        <v>0</v>
      </c>
      <c r="M24" s="725">
        <f>SUM(M19:M23)</f>
        <v>17797</v>
      </c>
      <c r="N24" s="724">
        <f>SUM(N19:N23)</f>
        <v>17797</v>
      </c>
      <c r="O24" s="725">
        <f>SUM(O19:O23)</f>
        <v>24062</v>
      </c>
      <c r="P24" s="725">
        <f aca="true" t="shared" si="1" ref="P24:V24">SUM(P19:P23)</f>
        <v>24062</v>
      </c>
      <c r="Q24" s="725">
        <f t="shared" si="1"/>
        <v>24062</v>
      </c>
      <c r="R24" s="725">
        <f t="shared" si="1"/>
        <v>24062</v>
      </c>
      <c r="S24" s="725">
        <f t="shared" si="1"/>
        <v>24069</v>
      </c>
      <c r="T24" s="725">
        <f t="shared" si="1"/>
        <v>5649</v>
      </c>
      <c r="U24" s="725">
        <f t="shared" si="1"/>
        <v>4234503</v>
      </c>
      <c r="V24" s="725">
        <f t="shared" si="1"/>
        <v>3764733</v>
      </c>
      <c r="W24" s="725"/>
      <c r="X24" s="725"/>
      <c r="Y24" s="725"/>
      <c r="Z24" s="725"/>
    </row>
    <row r="25" spans="3:20" ht="24.75" customHeight="1">
      <c r="C25" s="728"/>
      <c r="D25" s="728"/>
      <c r="E25" s="728"/>
      <c r="F25" s="728"/>
      <c r="G25" s="728"/>
      <c r="H25" s="728"/>
      <c r="K25" s="728"/>
      <c r="L25" s="728"/>
      <c r="M25" s="728"/>
      <c r="N25" s="728"/>
      <c r="O25" s="729"/>
      <c r="P25" s="729"/>
      <c r="Q25" s="729"/>
      <c r="R25" s="729"/>
      <c r="S25" s="729"/>
      <c r="T25" s="729"/>
    </row>
    <row r="33" ht="15.75">
      <c r="B33" s="1" t="s">
        <v>2155</v>
      </c>
    </row>
  </sheetData>
  <sheetProtection/>
  <mergeCells count="8">
    <mergeCell ref="X9:Y9"/>
    <mergeCell ref="A1:G1"/>
    <mergeCell ref="B2:Y2"/>
    <mergeCell ref="B3:Y3"/>
    <mergeCell ref="B4:Y4"/>
    <mergeCell ref="B5:Y5"/>
    <mergeCell ref="U8:V8"/>
    <mergeCell ref="W8:Y8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60" zoomScalePageLayoutView="0" workbookViewId="0" topLeftCell="A1">
      <selection activeCell="A9" sqref="A9"/>
    </sheetView>
  </sheetViews>
  <sheetFormatPr defaultColWidth="10.28125" defaultRowHeight="15"/>
  <cols>
    <col min="1" max="1" width="57.57421875" style="482" customWidth="1"/>
    <col min="2" max="2" width="5.28125" style="483" customWidth="1"/>
    <col min="3" max="4" width="10.421875" style="482" customWidth="1"/>
    <col min="5" max="5" width="10.421875" style="512" customWidth="1"/>
    <col min="6" max="16384" width="10.28125" style="482" customWidth="1"/>
  </cols>
  <sheetData>
    <row r="1" spans="1:5" ht="49.5" customHeight="1">
      <c r="A1" s="846" t="str">
        <f>+CONCATENATE("VAGYONKIMUTATÁS",CHAR(10),"a könyvviteli mérlegben értékkel szereplő eszközökről",CHAR(10),LEFT('[8]ÖSSZEFÜGGÉSEK'!A4,4),".")</f>
        <v>VAGYONKIMUTATÁS
a könyvviteli mérlegben értékkel szereplő eszközökről
2014.</v>
      </c>
      <c r="B1" s="847"/>
      <c r="C1" s="847"/>
      <c r="D1" s="847"/>
      <c r="E1" s="847"/>
    </row>
    <row r="2" spans="3:5" ht="16.5" thickBot="1">
      <c r="C2" s="848" t="s">
        <v>117</v>
      </c>
      <c r="D2" s="848"/>
      <c r="E2" s="848"/>
    </row>
    <row r="3" spans="1:5" ht="15.75" customHeight="1">
      <c r="A3" s="849" t="s">
        <v>118</v>
      </c>
      <c r="B3" s="852" t="s">
        <v>119</v>
      </c>
      <c r="C3" s="855" t="s">
        <v>120</v>
      </c>
      <c r="D3" s="855" t="s">
        <v>121</v>
      </c>
      <c r="E3" s="857" t="s">
        <v>122</v>
      </c>
    </row>
    <row r="4" spans="1:5" ht="11.25" customHeight="1">
      <c r="A4" s="850"/>
      <c r="B4" s="853"/>
      <c r="C4" s="856"/>
      <c r="D4" s="856"/>
      <c r="E4" s="858"/>
    </row>
    <row r="5" spans="1:5" ht="15.75">
      <c r="A5" s="851"/>
      <c r="B5" s="854"/>
      <c r="C5" s="859" t="s">
        <v>123</v>
      </c>
      <c r="D5" s="859"/>
      <c r="E5" s="860"/>
    </row>
    <row r="6" spans="1:5" s="487" customFormat="1" ht="16.5" thickBot="1">
      <c r="A6" s="484" t="s">
        <v>124</v>
      </c>
      <c r="B6" s="485" t="s">
        <v>565</v>
      </c>
      <c r="C6" s="485" t="s">
        <v>566</v>
      </c>
      <c r="D6" s="485" t="s">
        <v>567</v>
      </c>
      <c r="E6" s="486" t="s">
        <v>568</v>
      </c>
    </row>
    <row r="7" spans="1:5" s="492" customFormat="1" ht="15.75">
      <c r="A7" s="488" t="s">
        <v>125</v>
      </c>
      <c r="B7" s="489" t="s">
        <v>126</v>
      </c>
      <c r="C7" s="490"/>
      <c r="D7" s="490"/>
      <c r="E7" s="491"/>
    </row>
    <row r="8" spans="1:5" s="492" customFormat="1" ht="15.75">
      <c r="A8" s="493" t="s">
        <v>127</v>
      </c>
      <c r="B8" s="494" t="s">
        <v>128</v>
      </c>
      <c r="C8" s="495">
        <f>+C9+C14+C19+C24+C29</f>
        <v>0</v>
      </c>
      <c r="D8" s="495">
        <f>+D9+D14+D19+D24+D29</f>
        <v>0</v>
      </c>
      <c r="E8" s="496">
        <f>+E9+E14+E19+E24+E29</f>
        <v>0</v>
      </c>
    </row>
    <row r="9" spans="1:5" s="492" customFormat="1" ht="15.75">
      <c r="A9" s="493" t="s">
        <v>129</v>
      </c>
      <c r="B9" s="494" t="s">
        <v>130</v>
      </c>
      <c r="C9" s="495">
        <f>+C10+C11+C12+C13</f>
        <v>0</v>
      </c>
      <c r="D9" s="495">
        <f>+D10+D11+D12+D13</f>
        <v>0</v>
      </c>
      <c r="E9" s="496">
        <f>+E10+E11+E12+E13</f>
        <v>0</v>
      </c>
    </row>
    <row r="10" spans="1:5" s="492" customFormat="1" ht="15.75">
      <c r="A10" s="497" t="s">
        <v>131</v>
      </c>
      <c r="B10" s="494" t="s">
        <v>132</v>
      </c>
      <c r="C10" s="498"/>
      <c r="D10" s="498"/>
      <c r="E10" s="499"/>
    </row>
    <row r="11" spans="1:5" s="492" customFormat="1" ht="26.25" customHeight="1">
      <c r="A11" s="497" t="s">
        <v>133</v>
      </c>
      <c r="B11" s="494" t="s">
        <v>134</v>
      </c>
      <c r="C11" s="500"/>
      <c r="D11" s="500"/>
      <c r="E11" s="501"/>
    </row>
    <row r="12" spans="1:5" s="492" customFormat="1" ht="22.5">
      <c r="A12" s="497" t="s">
        <v>135</v>
      </c>
      <c r="B12" s="494" t="s">
        <v>136</v>
      </c>
      <c r="C12" s="500"/>
      <c r="D12" s="500"/>
      <c r="E12" s="501"/>
    </row>
    <row r="13" spans="1:5" s="492" customFormat="1" ht="15.75">
      <c r="A13" s="497" t="s">
        <v>137</v>
      </c>
      <c r="B13" s="494" t="s">
        <v>138</v>
      </c>
      <c r="C13" s="500"/>
      <c r="D13" s="500"/>
      <c r="E13" s="501"/>
    </row>
    <row r="14" spans="1:5" s="492" customFormat="1" ht="15.75">
      <c r="A14" s="493" t="s">
        <v>139</v>
      </c>
      <c r="B14" s="494" t="s">
        <v>140</v>
      </c>
      <c r="C14" s="502">
        <f>+C15+C16+C17+C18</f>
        <v>0</v>
      </c>
      <c r="D14" s="502">
        <f>+D15+D16+D17+D18</f>
        <v>0</v>
      </c>
      <c r="E14" s="503">
        <f>+E15+E16+E17+E18</f>
        <v>0</v>
      </c>
    </row>
    <row r="15" spans="1:5" s="492" customFormat="1" ht="15.75">
      <c r="A15" s="497" t="s">
        <v>141</v>
      </c>
      <c r="B15" s="494" t="s">
        <v>142</v>
      </c>
      <c r="C15" s="500"/>
      <c r="D15" s="500"/>
      <c r="E15" s="501"/>
    </row>
    <row r="16" spans="1:5" s="492" customFormat="1" ht="22.5">
      <c r="A16" s="497" t="s">
        <v>143</v>
      </c>
      <c r="B16" s="494" t="s">
        <v>1229</v>
      </c>
      <c r="C16" s="500"/>
      <c r="D16" s="500"/>
      <c r="E16" s="501"/>
    </row>
    <row r="17" spans="1:5" s="492" customFormat="1" ht="15.75">
      <c r="A17" s="497" t="s">
        <v>144</v>
      </c>
      <c r="B17" s="494" t="s">
        <v>1231</v>
      </c>
      <c r="C17" s="500"/>
      <c r="D17" s="500"/>
      <c r="E17" s="501"/>
    </row>
    <row r="18" spans="1:5" s="492" customFormat="1" ht="15.75">
      <c r="A18" s="497" t="s">
        <v>145</v>
      </c>
      <c r="B18" s="494" t="s">
        <v>1233</v>
      </c>
      <c r="C18" s="500"/>
      <c r="D18" s="500"/>
      <c r="E18" s="501"/>
    </row>
    <row r="19" spans="1:5" s="492" customFormat="1" ht="15.75">
      <c r="A19" s="493" t="s">
        <v>146</v>
      </c>
      <c r="B19" s="494" t="s">
        <v>1235</v>
      </c>
      <c r="C19" s="502">
        <f>+C20+C21+C22+C23</f>
        <v>0</v>
      </c>
      <c r="D19" s="502">
        <f>+D20+D21+D22+D23</f>
        <v>0</v>
      </c>
      <c r="E19" s="503">
        <f>+E20+E21+E22+E23</f>
        <v>0</v>
      </c>
    </row>
    <row r="20" spans="1:5" s="492" customFormat="1" ht="15.75">
      <c r="A20" s="497" t="s">
        <v>147</v>
      </c>
      <c r="B20" s="494" t="s">
        <v>1237</v>
      </c>
      <c r="C20" s="500"/>
      <c r="D20" s="500"/>
      <c r="E20" s="501"/>
    </row>
    <row r="21" spans="1:5" s="492" customFormat="1" ht="15.75">
      <c r="A21" s="497" t="s">
        <v>148</v>
      </c>
      <c r="B21" s="494" t="s">
        <v>1239</v>
      </c>
      <c r="C21" s="500"/>
      <c r="D21" s="500"/>
      <c r="E21" s="501"/>
    </row>
    <row r="22" spans="1:5" s="492" customFormat="1" ht="15.75">
      <c r="A22" s="497" t="s">
        <v>149</v>
      </c>
      <c r="B22" s="494" t="s">
        <v>1241</v>
      </c>
      <c r="C22" s="500"/>
      <c r="D22" s="500"/>
      <c r="E22" s="501"/>
    </row>
    <row r="23" spans="1:5" s="492" customFormat="1" ht="15.75">
      <c r="A23" s="497" t="s">
        <v>150</v>
      </c>
      <c r="B23" s="494" t="s">
        <v>1243</v>
      </c>
      <c r="C23" s="500"/>
      <c r="D23" s="500"/>
      <c r="E23" s="501"/>
    </row>
    <row r="24" spans="1:5" s="492" customFormat="1" ht="15.75">
      <c r="A24" s="493" t="s">
        <v>151</v>
      </c>
      <c r="B24" s="494" t="s">
        <v>1490</v>
      </c>
      <c r="C24" s="502">
        <f>+C25+C26+C27+C28</f>
        <v>0</v>
      </c>
      <c r="D24" s="502">
        <f>+D25+D26+D27+D28</f>
        <v>0</v>
      </c>
      <c r="E24" s="503">
        <f>+E25+E26+E27+E28</f>
        <v>0</v>
      </c>
    </row>
    <row r="25" spans="1:5" s="492" customFormat="1" ht="15.75">
      <c r="A25" s="497" t="s">
        <v>152</v>
      </c>
      <c r="B25" s="494" t="s">
        <v>1493</v>
      </c>
      <c r="C25" s="500"/>
      <c r="D25" s="500"/>
      <c r="E25" s="501"/>
    </row>
    <row r="26" spans="1:5" s="492" customFormat="1" ht="15.75">
      <c r="A26" s="497" t="s">
        <v>153</v>
      </c>
      <c r="B26" s="494" t="s">
        <v>1496</v>
      </c>
      <c r="C26" s="500"/>
      <c r="D26" s="500"/>
      <c r="E26" s="501"/>
    </row>
    <row r="27" spans="1:5" s="492" customFormat="1" ht="15.75">
      <c r="A27" s="497" t="s">
        <v>154</v>
      </c>
      <c r="B27" s="494" t="s">
        <v>1499</v>
      </c>
      <c r="C27" s="500"/>
      <c r="D27" s="500"/>
      <c r="E27" s="501"/>
    </row>
    <row r="28" spans="1:5" s="492" customFormat="1" ht="15.75">
      <c r="A28" s="497" t="s">
        <v>155</v>
      </c>
      <c r="B28" s="494" t="s">
        <v>1501</v>
      </c>
      <c r="C28" s="500"/>
      <c r="D28" s="500"/>
      <c r="E28" s="501"/>
    </row>
    <row r="29" spans="1:5" s="492" customFormat="1" ht="15.75">
      <c r="A29" s="493" t="s">
        <v>156</v>
      </c>
      <c r="B29" s="494" t="s">
        <v>2</v>
      </c>
      <c r="C29" s="502">
        <f>+C30+C31+C32+C33</f>
        <v>0</v>
      </c>
      <c r="D29" s="502">
        <f>+D30+D31+D32+D33</f>
        <v>0</v>
      </c>
      <c r="E29" s="503">
        <f>+E30+E31+E32+E33</f>
        <v>0</v>
      </c>
    </row>
    <row r="30" spans="1:5" s="492" customFormat="1" ht="15.75">
      <c r="A30" s="497" t="s">
        <v>157</v>
      </c>
      <c r="B30" s="494" t="s">
        <v>5</v>
      </c>
      <c r="C30" s="500"/>
      <c r="D30" s="500"/>
      <c r="E30" s="501"/>
    </row>
    <row r="31" spans="1:5" s="492" customFormat="1" ht="22.5">
      <c r="A31" s="497" t="s">
        <v>158</v>
      </c>
      <c r="B31" s="494" t="s">
        <v>8</v>
      </c>
      <c r="C31" s="500"/>
      <c r="D31" s="500"/>
      <c r="E31" s="501"/>
    </row>
    <row r="32" spans="1:5" s="492" customFormat="1" ht="15.75">
      <c r="A32" s="497" t="s">
        <v>159</v>
      </c>
      <c r="B32" s="494" t="s">
        <v>42</v>
      </c>
      <c r="C32" s="500"/>
      <c r="D32" s="500"/>
      <c r="E32" s="501"/>
    </row>
    <row r="33" spans="1:5" s="492" customFormat="1" ht="15.75">
      <c r="A33" s="497" t="s">
        <v>160</v>
      </c>
      <c r="B33" s="494" t="s">
        <v>45</v>
      </c>
      <c r="C33" s="500"/>
      <c r="D33" s="500"/>
      <c r="E33" s="501"/>
    </row>
    <row r="34" spans="1:5" s="492" customFormat="1" ht="15.75">
      <c r="A34" s="493" t="s">
        <v>161</v>
      </c>
      <c r="B34" s="494" t="s">
        <v>46</v>
      </c>
      <c r="C34" s="502">
        <f>+C35+C40+C45</f>
        <v>0</v>
      </c>
      <c r="D34" s="502">
        <f>+D35+D40+D45</f>
        <v>0</v>
      </c>
      <c r="E34" s="503">
        <f>+E35+E40+E45</f>
        <v>0</v>
      </c>
    </row>
    <row r="35" spans="1:5" s="492" customFormat="1" ht="15.75">
      <c r="A35" s="493" t="s">
        <v>162</v>
      </c>
      <c r="B35" s="494" t="s">
        <v>163</v>
      </c>
      <c r="C35" s="502">
        <f>+C36+C37+C38+C39</f>
        <v>0</v>
      </c>
      <c r="D35" s="502">
        <f>+D36+D37+D38+D39</f>
        <v>0</v>
      </c>
      <c r="E35" s="503">
        <f>+E36+E37+E38+E39</f>
        <v>0</v>
      </c>
    </row>
    <row r="36" spans="1:5" s="492" customFormat="1" ht="15.75">
      <c r="A36" s="497" t="s">
        <v>164</v>
      </c>
      <c r="B36" s="494" t="s">
        <v>165</v>
      </c>
      <c r="C36" s="500"/>
      <c r="D36" s="500"/>
      <c r="E36" s="501"/>
    </row>
    <row r="37" spans="1:5" s="492" customFormat="1" ht="15.75">
      <c r="A37" s="497" t="s">
        <v>166</v>
      </c>
      <c r="B37" s="494" t="s">
        <v>167</v>
      </c>
      <c r="C37" s="500"/>
      <c r="D37" s="500"/>
      <c r="E37" s="501"/>
    </row>
    <row r="38" spans="1:5" s="492" customFormat="1" ht="15.75">
      <c r="A38" s="497" t="s">
        <v>168</v>
      </c>
      <c r="B38" s="494" t="s">
        <v>169</v>
      </c>
      <c r="C38" s="500"/>
      <c r="D38" s="500"/>
      <c r="E38" s="501"/>
    </row>
    <row r="39" spans="1:5" s="492" customFormat="1" ht="15.75">
      <c r="A39" s="497" t="s">
        <v>170</v>
      </c>
      <c r="B39" s="494" t="s">
        <v>171</v>
      </c>
      <c r="C39" s="500"/>
      <c r="D39" s="500"/>
      <c r="E39" s="501"/>
    </row>
    <row r="40" spans="1:5" s="492" customFormat="1" ht="15.75">
      <c r="A40" s="493" t="s">
        <v>172</v>
      </c>
      <c r="B40" s="494" t="s">
        <v>173</v>
      </c>
      <c r="C40" s="502">
        <f>+C41+C42+C43+C44</f>
        <v>0</v>
      </c>
      <c r="D40" s="502">
        <f>+D41+D42+D43+D44</f>
        <v>0</v>
      </c>
      <c r="E40" s="503">
        <f>+E41+E42+E43+E44</f>
        <v>0</v>
      </c>
    </row>
    <row r="41" spans="1:5" s="492" customFormat="1" ht="15.75">
      <c r="A41" s="497" t="s">
        <v>174</v>
      </c>
      <c r="B41" s="494" t="s">
        <v>175</v>
      </c>
      <c r="C41" s="500"/>
      <c r="D41" s="500"/>
      <c r="E41" s="501"/>
    </row>
    <row r="42" spans="1:5" s="492" customFormat="1" ht="22.5">
      <c r="A42" s="497" t="s">
        <v>176</v>
      </c>
      <c r="B42" s="494" t="s">
        <v>177</v>
      </c>
      <c r="C42" s="500"/>
      <c r="D42" s="500"/>
      <c r="E42" s="501"/>
    </row>
    <row r="43" spans="1:5" s="492" customFormat="1" ht="15.75">
      <c r="A43" s="497" t="s">
        <v>178</v>
      </c>
      <c r="B43" s="494" t="s">
        <v>179</v>
      </c>
      <c r="C43" s="500"/>
      <c r="D43" s="500"/>
      <c r="E43" s="501"/>
    </row>
    <row r="44" spans="1:5" s="492" customFormat="1" ht="15.75">
      <c r="A44" s="497" t="s">
        <v>180</v>
      </c>
      <c r="B44" s="494" t="s">
        <v>181</v>
      </c>
      <c r="C44" s="500"/>
      <c r="D44" s="500"/>
      <c r="E44" s="501"/>
    </row>
    <row r="45" spans="1:5" s="492" customFormat="1" ht="15.75">
      <c r="A45" s="493" t="s">
        <v>182</v>
      </c>
      <c r="B45" s="494" t="s">
        <v>183</v>
      </c>
      <c r="C45" s="502">
        <f>+C46+C47+C48+C49</f>
        <v>0</v>
      </c>
      <c r="D45" s="502">
        <f>+D46+D47+D48+D49</f>
        <v>0</v>
      </c>
      <c r="E45" s="503">
        <f>+E46+E47+E48+E49</f>
        <v>0</v>
      </c>
    </row>
    <row r="46" spans="1:5" s="492" customFormat="1" ht="15.75">
      <c r="A46" s="497" t="s">
        <v>184</v>
      </c>
      <c r="B46" s="494" t="s">
        <v>185</v>
      </c>
      <c r="C46" s="500"/>
      <c r="D46" s="500"/>
      <c r="E46" s="501"/>
    </row>
    <row r="47" spans="1:5" s="492" customFormat="1" ht="22.5">
      <c r="A47" s="497" t="s">
        <v>186</v>
      </c>
      <c r="B47" s="494" t="s">
        <v>187</v>
      </c>
      <c r="C47" s="500"/>
      <c r="D47" s="500"/>
      <c r="E47" s="501"/>
    </row>
    <row r="48" spans="1:5" s="492" customFormat="1" ht="15.75">
      <c r="A48" s="497" t="s">
        <v>188</v>
      </c>
      <c r="B48" s="494" t="s">
        <v>189</v>
      </c>
      <c r="C48" s="500"/>
      <c r="D48" s="500"/>
      <c r="E48" s="501"/>
    </row>
    <row r="49" spans="1:5" s="492" customFormat="1" ht="15.75">
      <c r="A49" s="497" t="s">
        <v>190</v>
      </c>
      <c r="B49" s="494" t="s">
        <v>191</v>
      </c>
      <c r="C49" s="500"/>
      <c r="D49" s="500"/>
      <c r="E49" s="501"/>
    </row>
    <row r="50" spans="1:5" s="492" customFormat="1" ht="15.75">
      <c r="A50" s="493" t="s">
        <v>192</v>
      </c>
      <c r="B50" s="494" t="s">
        <v>193</v>
      </c>
      <c r="C50" s="500"/>
      <c r="D50" s="500"/>
      <c r="E50" s="501"/>
    </row>
    <row r="51" spans="1:5" s="492" customFormat="1" ht="21">
      <c r="A51" s="493" t="s">
        <v>194</v>
      </c>
      <c r="B51" s="494" t="s">
        <v>195</v>
      </c>
      <c r="C51" s="502">
        <f>+C7+C8+C34+C50</f>
        <v>0</v>
      </c>
      <c r="D51" s="502">
        <f>+D7+D8+D34+D50</f>
        <v>0</v>
      </c>
      <c r="E51" s="503">
        <f>+E7+E8+E34+E50</f>
        <v>0</v>
      </c>
    </row>
    <row r="52" spans="1:5" s="492" customFormat="1" ht="15.75">
      <c r="A52" s="493" t="s">
        <v>196</v>
      </c>
      <c r="B52" s="494" t="s">
        <v>197</v>
      </c>
      <c r="C52" s="500"/>
      <c r="D52" s="500"/>
      <c r="E52" s="501"/>
    </row>
    <row r="53" spans="1:5" s="492" customFormat="1" ht="15.75">
      <c r="A53" s="493" t="s">
        <v>198</v>
      </c>
      <c r="B53" s="494" t="s">
        <v>199</v>
      </c>
      <c r="C53" s="500"/>
      <c r="D53" s="500"/>
      <c r="E53" s="501"/>
    </row>
    <row r="54" spans="1:5" s="492" customFormat="1" ht="15.75">
      <c r="A54" s="493" t="s">
        <v>200</v>
      </c>
      <c r="B54" s="494" t="s">
        <v>201</v>
      </c>
      <c r="C54" s="502">
        <f>+C52+C53</f>
        <v>0</v>
      </c>
      <c r="D54" s="502">
        <f>+D52+D53</f>
        <v>0</v>
      </c>
      <c r="E54" s="503">
        <f>+E52+E53</f>
        <v>0</v>
      </c>
    </row>
    <row r="55" spans="1:5" s="492" customFormat="1" ht="15.75">
      <c r="A55" s="493" t="s">
        <v>202</v>
      </c>
      <c r="B55" s="494" t="s">
        <v>203</v>
      </c>
      <c r="C55" s="500"/>
      <c r="D55" s="500"/>
      <c r="E55" s="501"/>
    </row>
    <row r="56" spans="1:5" s="492" customFormat="1" ht="15.75">
      <c r="A56" s="493" t="s">
        <v>204</v>
      </c>
      <c r="B56" s="494" t="s">
        <v>205</v>
      </c>
      <c r="C56" s="500"/>
      <c r="D56" s="500"/>
      <c r="E56" s="501"/>
    </row>
    <row r="57" spans="1:5" s="492" customFormat="1" ht="15.75">
      <c r="A57" s="493" t="s">
        <v>206</v>
      </c>
      <c r="B57" s="494" t="s">
        <v>207</v>
      </c>
      <c r="C57" s="500"/>
      <c r="D57" s="500"/>
      <c r="E57" s="501"/>
    </row>
    <row r="58" spans="1:5" s="492" customFormat="1" ht="15.75">
      <c r="A58" s="493" t="s">
        <v>208</v>
      </c>
      <c r="B58" s="494" t="s">
        <v>209</v>
      </c>
      <c r="C58" s="500"/>
      <c r="D58" s="500"/>
      <c r="E58" s="501"/>
    </row>
    <row r="59" spans="1:5" s="492" customFormat="1" ht="15.75">
      <c r="A59" s="493" t="s">
        <v>210</v>
      </c>
      <c r="B59" s="494" t="s">
        <v>211</v>
      </c>
      <c r="C59" s="502">
        <f>+C55+C56+C57+C58</f>
        <v>0</v>
      </c>
      <c r="D59" s="502">
        <f>+D55+D56+D57+D58</f>
        <v>0</v>
      </c>
      <c r="E59" s="503">
        <f>+E55+E56+E57+E58</f>
        <v>0</v>
      </c>
    </row>
    <row r="60" spans="1:5" s="492" customFormat="1" ht="15.75">
      <c r="A60" s="493" t="s">
        <v>212</v>
      </c>
      <c r="B60" s="494" t="s">
        <v>213</v>
      </c>
      <c r="C60" s="500"/>
      <c r="D60" s="500"/>
      <c r="E60" s="501"/>
    </row>
    <row r="61" spans="1:5" s="492" customFormat="1" ht="15.75">
      <c r="A61" s="493" t="s">
        <v>214</v>
      </c>
      <c r="B61" s="494" t="s">
        <v>215</v>
      </c>
      <c r="C61" s="500"/>
      <c r="D61" s="500"/>
      <c r="E61" s="501"/>
    </row>
    <row r="62" spans="1:5" s="492" customFormat="1" ht="15.75">
      <c r="A62" s="493" t="s">
        <v>216</v>
      </c>
      <c r="B62" s="494" t="s">
        <v>217</v>
      </c>
      <c r="C62" s="500"/>
      <c r="D62" s="500"/>
      <c r="E62" s="501"/>
    </row>
    <row r="63" spans="1:5" s="492" customFormat="1" ht="15.75">
      <c r="A63" s="493" t="s">
        <v>218</v>
      </c>
      <c r="B63" s="494" t="s">
        <v>219</v>
      </c>
      <c r="C63" s="502">
        <f>+C60+C61+C62</f>
        <v>0</v>
      </c>
      <c r="D63" s="502">
        <f>+D60+D61+D62</f>
        <v>0</v>
      </c>
      <c r="E63" s="503">
        <f>+E60+E61+E62</f>
        <v>0</v>
      </c>
    </row>
    <row r="64" spans="1:5" s="492" customFormat="1" ht="15.75">
      <c r="A64" s="493" t="s">
        <v>220</v>
      </c>
      <c r="B64" s="494" t="s">
        <v>221</v>
      </c>
      <c r="C64" s="500"/>
      <c r="D64" s="500"/>
      <c r="E64" s="501"/>
    </row>
    <row r="65" spans="1:5" s="492" customFormat="1" ht="21">
      <c r="A65" s="493" t="s">
        <v>222</v>
      </c>
      <c r="B65" s="494" t="s">
        <v>223</v>
      </c>
      <c r="C65" s="500"/>
      <c r="D65" s="500"/>
      <c r="E65" s="501"/>
    </row>
    <row r="66" spans="1:5" s="492" customFormat="1" ht="15.75">
      <c r="A66" s="493" t="s">
        <v>224</v>
      </c>
      <c r="B66" s="494" t="s">
        <v>225</v>
      </c>
      <c r="C66" s="502">
        <f>+C64+C65</f>
        <v>0</v>
      </c>
      <c r="D66" s="502">
        <f>+D64+D65</f>
        <v>0</v>
      </c>
      <c r="E66" s="503">
        <f>+E64+E65</f>
        <v>0</v>
      </c>
    </row>
    <row r="67" spans="1:5" s="492" customFormat="1" ht="15.75">
      <c r="A67" s="493" t="s">
        <v>226</v>
      </c>
      <c r="B67" s="494" t="s">
        <v>227</v>
      </c>
      <c r="C67" s="500"/>
      <c r="D67" s="500"/>
      <c r="E67" s="501"/>
    </row>
    <row r="68" spans="1:5" s="492" customFormat="1" ht="16.5" thickBot="1">
      <c r="A68" s="504" t="s">
        <v>228</v>
      </c>
      <c r="B68" s="505" t="s">
        <v>229</v>
      </c>
      <c r="C68" s="506">
        <f>+C51+C54+C59+C63+C66+C67</f>
        <v>0</v>
      </c>
      <c r="D68" s="506">
        <f>+D51+D54+D59+D63+D66+D67</f>
        <v>0</v>
      </c>
      <c r="E68" s="507">
        <f>+E51+E54+E59+E63+E66+E67</f>
        <v>0</v>
      </c>
    </row>
    <row r="69" spans="1:5" ht="15.75">
      <c r="A69" s="508"/>
      <c r="C69" s="509"/>
      <c r="D69" s="509"/>
      <c r="E69" s="510"/>
    </row>
    <row r="70" spans="1:5" ht="15.75">
      <c r="A70" s="508"/>
      <c r="C70" s="509"/>
      <c r="D70" s="509"/>
      <c r="E70" s="510"/>
    </row>
    <row r="71" spans="1:5" ht="15.75">
      <c r="A71" s="511"/>
      <c r="C71" s="509"/>
      <c r="D71" s="509"/>
      <c r="E71" s="510"/>
    </row>
    <row r="72" spans="1:5" ht="15.75">
      <c r="A72" s="845"/>
      <c r="B72" s="845"/>
      <c r="C72" s="845"/>
      <c r="D72" s="845"/>
      <c r="E72" s="845"/>
    </row>
    <row r="73" spans="1:5" ht="15.75">
      <c r="A73" s="845"/>
      <c r="B73" s="845"/>
      <c r="C73" s="845"/>
      <c r="D73" s="845"/>
      <c r="E73" s="845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92"/>
  <sheetViews>
    <sheetView view="pageBreakPreview" zoomScale="70" zoomScaleSheetLayoutView="70" zoomScalePageLayoutView="0" workbookViewId="0" topLeftCell="A1">
      <pane xSplit="2" ySplit="6" topLeftCell="F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22" sqref="AE22"/>
    </sheetView>
  </sheetViews>
  <sheetFormatPr defaultColWidth="9.140625" defaultRowHeight="15" customHeight="1"/>
  <cols>
    <col min="1" max="1" width="9.140625" style="198" customWidth="1"/>
    <col min="2" max="2" width="30.57421875" style="24" bestFit="1" customWidth="1"/>
    <col min="3" max="4" width="10.7109375" style="24" customWidth="1"/>
    <col min="5" max="9" width="8.7109375" style="24" customWidth="1"/>
    <col min="10" max="10" width="9.8515625" style="26" bestFit="1" customWidth="1"/>
    <col min="11" max="11" width="9.8515625" style="26" customWidth="1"/>
    <col min="12" max="18" width="8.28125" style="24" customWidth="1"/>
    <col min="19" max="19" width="8.7109375" style="24" bestFit="1" customWidth="1"/>
    <col min="20" max="20" width="8.7109375" style="24" customWidth="1"/>
    <col min="21" max="21" width="8.7109375" style="24" bestFit="1" customWidth="1"/>
    <col min="22" max="27" width="8.8515625" style="24" customWidth="1"/>
    <col min="28" max="30" width="8.7109375" style="24" customWidth="1"/>
    <col min="31" max="31" width="9.140625" style="26" customWidth="1"/>
    <col min="32" max="32" width="9.57421875" style="24" customWidth="1"/>
    <col min="33" max="33" width="10.00390625" style="24" customWidth="1"/>
    <col min="34" max="34" width="8.140625" style="24" bestFit="1" customWidth="1"/>
    <col min="35" max="16384" width="9.140625" style="24" customWidth="1"/>
  </cols>
  <sheetData>
    <row r="1" spans="1:17" ht="15">
      <c r="A1" s="746" t="s">
        <v>440</v>
      </c>
      <c r="B1" s="752"/>
      <c r="C1" s="752"/>
      <c r="D1" s="248"/>
      <c r="E1" s="746"/>
      <c r="F1" s="752"/>
      <c r="G1" s="752"/>
      <c r="H1" s="746"/>
      <c r="I1" s="752"/>
      <c r="J1" s="752"/>
      <c r="K1" s="248"/>
      <c r="L1" s="262"/>
      <c r="M1" s="262"/>
      <c r="N1" s="262"/>
      <c r="O1" s="262"/>
      <c r="P1" s="262"/>
      <c r="Q1" s="262"/>
    </row>
    <row r="2" spans="1:2" ht="15">
      <c r="A2" s="751" t="s">
        <v>687</v>
      </c>
      <c r="B2" s="742"/>
    </row>
    <row r="3" spans="1:2" ht="15">
      <c r="A3" s="263"/>
      <c r="B3" s="262"/>
    </row>
    <row r="4" spans="2:32" s="198" customFormat="1" ht="12.75">
      <c r="B4" s="198" t="s">
        <v>564</v>
      </c>
      <c r="C4" s="249" t="s">
        <v>565</v>
      </c>
      <c r="D4" s="249" t="s">
        <v>566</v>
      </c>
      <c r="E4" s="249" t="s">
        <v>567</v>
      </c>
      <c r="F4" s="198" t="s">
        <v>568</v>
      </c>
      <c r="G4" s="249" t="s">
        <v>689</v>
      </c>
      <c r="H4" s="249" t="s">
        <v>599</v>
      </c>
      <c r="I4" s="198" t="s">
        <v>600</v>
      </c>
      <c r="J4" s="249" t="s">
        <v>601</v>
      </c>
      <c r="K4" s="249" t="s">
        <v>602</v>
      </c>
      <c r="L4" s="249" t="s">
        <v>603</v>
      </c>
      <c r="M4" s="198" t="s">
        <v>604</v>
      </c>
      <c r="N4" s="249" t="s">
        <v>605</v>
      </c>
      <c r="O4" s="249" t="s">
        <v>606</v>
      </c>
      <c r="P4" s="249" t="s">
        <v>730</v>
      </c>
      <c r="Q4" s="249" t="s">
        <v>607</v>
      </c>
      <c r="R4" s="249" t="s">
        <v>731</v>
      </c>
      <c r="S4" s="198" t="s">
        <v>608</v>
      </c>
      <c r="T4" s="198" t="s">
        <v>609</v>
      </c>
      <c r="U4" s="249" t="s">
        <v>610</v>
      </c>
      <c r="V4" s="249" t="s">
        <v>611</v>
      </c>
      <c r="W4" s="249" t="s">
        <v>612</v>
      </c>
      <c r="X4" s="249" t="s">
        <v>613</v>
      </c>
      <c r="Y4" s="198" t="s">
        <v>614</v>
      </c>
      <c r="Z4" s="249" t="s">
        <v>615</v>
      </c>
      <c r="AA4" s="249" t="s">
        <v>616</v>
      </c>
      <c r="AB4" s="198" t="s">
        <v>1250</v>
      </c>
      <c r="AC4" s="249" t="s">
        <v>770</v>
      </c>
      <c r="AD4" s="249" t="s">
        <v>771</v>
      </c>
      <c r="AE4" s="198" t="s">
        <v>772</v>
      </c>
      <c r="AF4" s="249" t="s">
        <v>773</v>
      </c>
    </row>
    <row r="5" spans="1:31" s="198" customFormat="1" ht="12.75">
      <c r="A5" s="198">
        <v>1</v>
      </c>
      <c r="C5" s="748" t="s">
        <v>574</v>
      </c>
      <c r="D5" s="749"/>
      <c r="E5" s="749"/>
      <c r="F5" s="749"/>
      <c r="G5" s="749"/>
      <c r="H5" s="749"/>
      <c r="I5" s="749"/>
      <c r="J5" s="750"/>
      <c r="K5" s="264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50"/>
    </row>
    <row r="6" spans="1:32" s="26" customFormat="1" ht="63.75">
      <c r="A6" s="249">
        <v>2</v>
      </c>
      <c r="B6" s="26" t="s">
        <v>617</v>
      </c>
      <c r="C6" s="25" t="s">
        <v>618</v>
      </c>
      <c r="D6" s="25" t="s">
        <v>1399</v>
      </c>
      <c r="E6" s="25" t="s">
        <v>619</v>
      </c>
      <c r="F6" s="25" t="s">
        <v>620</v>
      </c>
      <c r="G6" s="25" t="s">
        <v>621</v>
      </c>
      <c r="H6" s="25" t="s">
        <v>622</v>
      </c>
      <c r="I6" s="25" t="s">
        <v>623</v>
      </c>
      <c r="J6" s="25" t="s">
        <v>624</v>
      </c>
      <c r="K6" s="25" t="s">
        <v>1283</v>
      </c>
      <c r="L6" s="25" t="s">
        <v>625</v>
      </c>
      <c r="M6" s="25" t="s">
        <v>626</v>
      </c>
      <c r="N6" s="25" t="s">
        <v>627</v>
      </c>
      <c r="O6" s="25" t="s">
        <v>628</v>
      </c>
      <c r="P6" s="25" t="s">
        <v>629</v>
      </c>
      <c r="Q6" s="25" t="s">
        <v>630</v>
      </c>
      <c r="R6" s="25" t="s">
        <v>631</v>
      </c>
      <c r="S6" s="25" t="s">
        <v>632</v>
      </c>
      <c r="T6" s="25" t="s">
        <v>1400</v>
      </c>
      <c r="U6" s="25" t="s">
        <v>633</v>
      </c>
      <c r="V6" s="25" t="s">
        <v>634</v>
      </c>
      <c r="W6" s="25" t="s">
        <v>1401</v>
      </c>
      <c r="X6" s="25" t="s">
        <v>1402</v>
      </c>
      <c r="Y6" s="25" t="s">
        <v>593</v>
      </c>
      <c r="Z6" s="25" t="s">
        <v>635</v>
      </c>
      <c r="AA6" s="25" t="s">
        <v>636</v>
      </c>
      <c r="AB6" s="25" t="s">
        <v>637</v>
      </c>
      <c r="AC6" s="25" t="s">
        <v>638</v>
      </c>
      <c r="AD6" s="25" t="s">
        <v>639</v>
      </c>
      <c r="AE6" s="25" t="s">
        <v>640</v>
      </c>
      <c r="AF6" s="25" t="s">
        <v>641</v>
      </c>
    </row>
    <row r="7" spans="1:32" ht="12.75">
      <c r="A7" s="198">
        <v>3</v>
      </c>
      <c r="B7" s="24" t="s">
        <v>642</v>
      </c>
      <c r="J7" s="26">
        <f>SUM(C7:I7)</f>
        <v>0</v>
      </c>
      <c r="N7" s="24">
        <v>1728</v>
      </c>
      <c r="O7" s="24">
        <v>4425</v>
      </c>
      <c r="Y7" s="24">
        <v>1758</v>
      </c>
      <c r="AE7" s="26">
        <f>SUM(L7:AD7)</f>
        <v>7911</v>
      </c>
      <c r="AF7" s="24">
        <f>AE7+J7+K7</f>
        <v>7911</v>
      </c>
    </row>
    <row r="8" spans="1:32" ht="12.75">
      <c r="A8" s="198">
        <v>4</v>
      </c>
      <c r="B8" s="24" t="s">
        <v>643</v>
      </c>
      <c r="J8" s="26">
        <f aca="true" t="shared" si="0" ref="J8:J71">SUM(C8:I8)</f>
        <v>0</v>
      </c>
      <c r="P8" s="24">
        <v>3604</v>
      </c>
      <c r="AE8" s="26">
        <f aca="true" t="shared" si="1" ref="AE8:AE71">SUM(L8:AD8)</f>
        <v>3604</v>
      </c>
      <c r="AF8" s="24">
        <f aca="true" t="shared" si="2" ref="AF8:AF71">AE8+J8+K8</f>
        <v>3604</v>
      </c>
    </row>
    <row r="9" spans="1:32" ht="12.75">
      <c r="A9" s="198">
        <v>5</v>
      </c>
      <c r="B9" s="24" t="s">
        <v>644</v>
      </c>
      <c r="J9" s="26">
        <f t="shared" si="0"/>
        <v>0</v>
      </c>
      <c r="M9" s="24">
        <v>3103</v>
      </c>
      <c r="Q9" s="24">
        <v>4528</v>
      </c>
      <c r="V9" s="24">
        <v>751</v>
      </c>
      <c r="AB9" s="24">
        <v>272</v>
      </c>
      <c r="AD9" s="24">
        <v>169</v>
      </c>
      <c r="AE9" s="26">
        <f t="shared" si="1"/>
        <v>8823</v>
      </c>
      <c r="AF9" s="24">
        <f t="shared" si="2"/>
        <v>8823</v>
      </c>
    </row>
    <row r="10" spans="1:32" s="26" customFormat="1" ht="12.75">
      <c r="A10" s="249">
        <v>6</v>
      </c>
      <c r="B10" s="26" t="s">
        <v>645</v>
      </c>
      <c r="E10" s="26">
        <f>SUM(E7:E9)</f>
        <v>0</v>
      </c>
      <c r="G10" s="26">
        <f>SUM(G7:G9)</f>
        <v>0</v>
      </c>
      <c r="H10" s="26">
        <f>SUM(H7:H9)</f>
        <v>0</v>
      </c>
      <c r="I10" s="26">
        <f>SUM(I7:I9)</f>
        <v>0</v>
      </c>
      <c r="J10" s="26">
        <f t="shared" si="0"/>
        <v>0</v>
      </c>
      <c r="K10" s="26">
        <f>SUM(K7,K9)</f>
        <v>0</v>
      </c>
      <c r="L10" s="26">
        <f aca="true" t="shared" si="3" ref="L10:AB10">SUM(L7:L9)</f>
        <v>0</v>
      </c>
      <c r="M10" s="26">
        <f t="shared" si="3"/>
        <v>3103</v>
      </c>
      <c r="N10" s="26">
        <f t="shared" si="3"/>
        <v>1728</v>
      </c>
      <c r="O10" s="26">
        <f t="shared" si="3"/>
        <v>4425</v>
      </c>
      <c r="P10" s="26">
        <f t="shared" si="3"/>
        <v>3604</v>
      </c>
      <c r="Q10" s="26">
        <f t="shared" si="3"/>
        <v>4528</v>
      </c>
      <c r="R10" s="26">
        <f t="shared" si="3"/>
        <v>0</v>
      </c>
      <c r="S10" s="26">
        <f t="shared" si="3"/>
        <v>0</v>
      </c>
      <c r="U10" s="26">
        <f>SUM(U7:U9)</f>
        <v>0</v>
      </c>
      <c r="V10" s="26">
        <f>SUM(V7:V9)</f>
        <v>751</v>
      </c>
      <c r="Y10" s="26">
        <f>SUM(Y7:Y9)</f>
        <v>1758</v>
      </c>
      <c r="Z10" s="26">
        <f>SUM(Z7:Z9)</f>
        <v>0</v>
      </c>
      <c r="AB10" s="26">
        <f t="shared" si="3"/>
        <v>272</v>
      </c>
      <c r="AC10" s="26">
        <f>SUM(AC7:AC9)</f>
        <v>0</v>
      </c>
      <c r="AD10" s="26">
        <f>SUM(AD7:AD9)</f>
        <v>169</v>
      </c>
      <c r="AE10" s="26">
        <f t="shared" si="1"/>
        <v>20338</v>
      </c>
      <c r="AF10" s="24">
        <f t="shared" si="2"/>
        <v>20338</v>
      </c>
    </row>
    <row r="11" spans="1:32" ht="12.75">
      <c r="A11" s="198">
        <v>7</v>
      </c>
      <c r="B11" s="24" t="s">
        <v>646</v>
      </c>
      <c r="J11" s="26">
        <f t="shared" si="0"/>
        <v>0</v>
      </c>
      <c r="T11" s="24">
        <f>230</f>
        <v>230</v>
      </c>
      <c r="AE11" s="26">
        <f t="shared" si="1"/>
        <v>230</v>
      </c>
      <c r="AF11" s="24">
        <f t="shared" si="2"/>
        <v>230</v>
      </c>
    </row>
    <row r="12" spans="1:32" ht="12.75">
      <c r="A12" s="198">
        <v>8</v>
      </c>
      <c r="B12" s="24" t="s">
        <v>647</v>
      </c>
      <c r="J12" s="26">
        <f t="shared" si="0"/>
        <v>0</v>
      </c>
      <c r="S12" s="24">
        <v>3653</v>
      </c>
      <c r="U12" s="24">
        <f>1494+200</f>
        <v>1694</v>
      </c>
      <c r="V12" s="24">
        <v>480</v>
      </c>
      <c r="AE12" s="26">
        <f t="shared" si="1"/>
        <v>5827</v>
      </c>
      <c r="AF12" s="24">
        <f t="shared" si="2"/>
        <v>5827</v>
      </c>
    </row>
    <row r="13" spans="1:32" s="26" customFormat="1" ht="12.75">
      <c r="A13" s="198">
        <v>9</v>
      </c>
      <c r="B13" s="26" t="s">
        <v>1284</v>
      </c>
      <c r="E13" s="26">
        <f>SUM(E11:E12)</f>
        <v>0</v>
      </c>
      <c r="G13" s="26">
        <f>SUM(G11:G12)</f>
        <v>0</v>
      </c>
      <c r="J13" s="26">
        <f t="shared" si="0"/>
        <v>0</v>
      </c>
      <c r="K13" s="26">
        <f aca="true" t="shared" si="4" ref="K13:Q13">SUM(K11:K12)</f>
        <v>0</v>
      </c>
      <c r="L13" s="26">
        <f t="shared" si="4"/>
        <v>0</v>
      </c>
      <c r="M13" s="26">
        <f t="shared" si="4"/>
        <v>0</v>
      </c>
      <c r="N13" s="26">
        <f t="shared" si="4"/>
        <v>0</v>
      </c>
      <c r="O13" s="26">
        <f t="shared" si="4"/>
        <v>0</v>
      </c>
      <c r="P13" s="26">
        <f t="shared" si="4"/>
        <v>0</v>
      </c>
      <c r="Q13" s="26">
        <f t="shared" si="4"/>
        <v>0</v>
      </c>
      <c r="S13" s="26">
        <f aca="true" t="shared" si="5" ref="S13:AA13">SUM(S11:S12)</f>
        <v>3653</v>
      </c>
      <c r="T13" s="26">
        <f t="shared" si="5"/>
        <v>230</v>
      </c>
      <c r="U13" s="26">
        <f t="shared" si="5"/>
        <v>1694</v>
      </c>
      <c r="V13" s="26">
        <f t="shared" si="5"/>
        <v>480</v>
      </c>
      <c r="Y13" s="26">
        <f t="shared" si="5"/>
        <v>0</v>
      </c>
      <c r="Z13" s="26">
        <f t="shared" si="5"/>
        <v>0</v>
      </c>
      <c r="AA13" s="26">
        <f t="shared" si="5"/>
        <v>0</v>
      </c>
      <c r="AC13" s="26">
        <f>SUM(AC11:AC12)</f>
        <v>0</v>
      </c>
      <c r="AD13" s="26">
        <f>SUM(AD11:AD12)</f>
        <v>0</v>
      </c>
      <c r="AE13" s="26">
        <f t="shared" si="1"/>
        <v>6057</v>
      </c>
      <c r="AF13" s="24">
        <f t="shared" si="2"/>
        <v>6057</v>
      </c>
    </row>
    <row r="14" spans="1:32" ht="12.75">
      <c r="A14" s="249">
        <v>10</v>
      </c>
      <c r="B14" s="24" t="s">
        <v>550</v>
      </c>
      <c r="C14" s="24">
        <v>80</v>
      </c>
      <c r="J14" s="26">
        <f t="shared" si="0"/>
        <v>80</v>
      </c>
      <c r="L14" s="24">
        <v>8439</v>
      </c>
      <c r="S14" s="24">
        <f>10010+164</f>
        <v>10174</v>
      </c>
      <c r="W14" s="24">
        <v>50</v>
      </c>
      <c r="AB14" s="24">
        <v>370</v>
      </c>
      <c r="AE14" s="26">
        <f t="shared" si="1"/>
        <v>19033</v>
      </c>
      <c r="AF14" s="24">
        <f t="shared" si="2"/>
        <v>19113</v>
      </c>
    </row>
    <row r="15" spans="1:32" ht="12.75">
      <c r="A15" s="198">
        <v>11</v>
      </c>
      <c r="B15" s="24" t="s">
        <v>1285</v>
      </c>
      <c r="J15" s="26">
        <f t="shared" si="0"/>
        <v>0</v>
      </c>
      <c r="AE15" s="26">
        <f t="shared" si="1"/>
        <v>0</v>
      </c>
      <c r="AF15" s="24">
        <f t="shared" si="2"/>
        <v>0</v>
      </c>
    </row>
    <row r="16" spans="1:32" ht="12.75">
      <c r="A16" s="198">
        <v>12</v>
      </c>
      <c r="B16" s="24" t="s">
        <v>1286</v>
      </c>
      <c r="J16" s="26">
        <f t="shared" si="0"/>
        <v>0</v>
      </c>
      <c r="AE16" s="26">
        <f t="shared" si="1"/>
        <v>0</v>
      </c>
      <c r="AF16" s="24">
        <f t="shared" si="2"/>
        <v>0</v>
      </c>
    </row>
    <row r="17" spans="1:32" ht="12.75">
      <c r="A17" s="198">
        <v>13</v>
      </c>
      <c r="B17" s="24" t="s">
        <v>1287</v>
      </c>
      <c r="C17" s="24">
        <v>256</v>
      </c>
      <c r="J17" s="26">
        <f t="shared" si="0"/>
        <v>256</v>
      </c>
      <c r="R17" s="24">
        <v>2963</v>
      </c>
      <c r="X17" s="24">
        <v>51</v>
      </c>
      <c r="AC17" s="24">
        <v>370</v>
      </c>
      <c r="AE17" s="26">
        <f t="shared" si="1"/>
        <v>3384</v>
      </c>
      <c r="AF17" s="24">
        <f t="shared" si="2"/>
        <v>3640</v>
      </c>
    </row>
    <row r="18" spans="1:32" s="26" customFormat="1" ht="12.75">
      <c r="A18" s="249">
        <v>14</v>
      </c>
      <c r="B18" s="26" t="s">
        <v>648</v>
      </c>
      <c r="C18" s="26">
        <f>SUM(C14:C17)</f>
        <v>336</v>
      </c>
      <c r="D18" s="26">
        <f>SUM(D14:D17)</f>
        <v>0</v>
      </c>
      <c r="E18" s="26">
        <f>SUM(E14:E17)</f>
        <v>0</v>
      </c>
      <c r="G18" s="26">
        <f>SUM(G14:G17)</f>
        <v>0</v>
      </c>
      <c r="J18" s="26">
        <f t="shared" si="0"/>
        <v>336</v>
      </c>
      <c r="K18" s="26">
        <f aca="true" t="shared" si="6" ref="K18:AB18">SUM(K14:K17)</f>
        <v>0</v>
      </c>
      <c r="L18" s="26">
        <f t="shared" si="6"/>
        <v>8439</v>
      </c>
      <c r="M18" s="26">
        <f t="shared" si="6"/>
        <v>0</v>
      </c>
      <c r="N18" s="26">
        <f t="shared" si="6"/>
        <v>0</v>
      </c>
      <c r="O18" s="26">
        <f t="shared" si="6"/>
        <v>0</v>
      </c>
      <c r="P18" s="26">
        <f t="shared" si="6"/>
        <v>0</v>
      </c>
      <c r="Q18" s="26">
        <f t="shared" si="6"/>
        <v>0</v>
      </c>
      <c r="R18" s="26">
        <f t="shared" si="6"/>
        <v>2963</v>
      </c>
      <c r="S18" s="26">
        <f t="shared" si="6"/>
        <v>10174</v>
      </c>
      <c r="T18" s="26">
        <f t="shared" si="6"/>
        <v>0</v>
      </c>
      <c r="U18" s="26">
        <f t="shared" si="6"/>
        <v>0</v>
      </c>
      <c r="V18" s="26">
        <f t="shared" si="6"/>
        <v>0</v>
      </c>
      <c r="W18" s="26">
        <f t="shared" si="6"/>
        <v>50</v>
      </c>
      <c r="X18" s="26">
        <f t="shared" si="6"/>
        <v>51</v>
      </c>
      <c r="Y18" s="26">
        <f t="shared" si="6"/>
        <v>0</v>
      </c>
      <c r="Z18" s="26">
        <f t="shared" si="6"/>
        <v>0</v>
      </c>
      <c r="AA18" s="26">
        <f t="shared" si="6"/>
        <v>0</v>
      </c>
      <c r="AB18" s="26">
        <f t="shared" si="6"/>
        <v>370</v>
      </c>
      <c r="AC18" s="26">
        <f>SUM(AC14:AC17)</f>
        <v>370</v>
      </c>
      <c r="AD18" s="26">
        <f>SUM(AD14:AD17)</f>
        <v>0</v>
      </c>
      <c r="AE18" s="26">
        <f t="shared" si="1"/>
        <v>22417</v>
      </c>
      <c r="AF18" s="24">
        <f t="shared" si="2"/>
        <v>22753</v>
      </c>
    </row>
    <row r="19" spans="1:32" ht="12.75">
      <c r="A19" s="198">
        <v>15</v>
      </c>
      <c r="B19" s="24" t="s">
        <v>649</v>
      </c>
      <c r="J19" s="26">
        <f t="shared" si="0"/>
        <v>0</v>
      </c>
      <c r="AE19" s="26">
        <f t="shared" si="1"/>
        <v>0</v>
      </c>
      <c r="AF19" s="24">
        <f t="shared" si="2"/>
        <v>0</v>
      </c>
    </row>
    <row r="20" spans="1:32" ht="12.75">
      <c r="A20" s="198">
        <v>16</v>
      </c>
      <c r="B20" s="24" t="s">
        <v>650</v>
      </c>
      <c r="J20" s="26">
        <f t="shared" si="0"/>
        <v>0</v>
      </c>
      <c r="AE20" s="26">
        <f t="shared" si="1"/>
        <v>0</v>
      </c>
      <c r="AF20" s="24">
        <f t="shared" si="2"/>
        <v>0</v>
      </c>
    </row>
    <row r="21" spans="1:32" ht="12.75">
      <c r="A21" s="198">
        <v>17</v>
      </c>
      <c r="B21" s="24" t="s">
        <v>651</v>
      </c>
      <c r="J21" s="26">
        <f t="shared" si="0"/>
        <v>0</v>
      </c>
      <c r="L21" s="24">
        <v>2279</v>
      </c>
      <c r="M21" s="24">
        <v>837</v>
      </c>
      <c r="N21" s="24">
        <v>467</v>
      </c>
      <c r="O21" s="24">
        <v>1195</v>
      </c>
      <c r="P21" s="24">
        <v>973</v>
      </c>
      <c r="Q21" s="24">
        <v>1222</v>
      </c>
      <c r="S21" s="24">
        <v>967</v>
      </c>
      <c r="T21" s="24">
        <v>50</v>
      </c>
      <c r="U21" s="24">
        <f>402+14</f>
        <v>416</v>
      </c>
      <c r="V21" s="24">
        <v>130</v>
      </c>
      <c r="Y21" s="24">
        <v>475</v>
      </c>
      <c r="AB21" s="24">
        <v>41</v>
      </c>
      <c r="AD21" s="24">
        <v>26</v>
      </c>
      <c r="AE21" s="26">
        <f>SUM(L21:AD21)</f>
        <v>9078</v>
      </c>
      <c r="AF21" s="24">
        <f t="shared" si="2"/>
        <v>9078</v>
      </c>
    </row>
    <row r="22" spans="1:32" ht="12.75">
      <c r="A22" s="249">
        <v>18</v>
      </c>
      <c r="B22" s="24" t="s">
        <v>652</v>
      </c>
      <c r="C22" s="24">
        <v>7</v>
      </c>
      <c r="G22" s="24">
        <v>1650</v>
      </c>
      <c r="J22" s="26">
        <f t="shared" si="0"/>
        <v>1657</v>
      </c>
      <c r="V22" s="24">
        <v>8</v>
      </c>
      <c r="AE22" s="26">
        <f t="shared" si="1"/>
        <v>8</v>
      </c>
      <c r="AF22" s="24">
        <f t="shared" si="2"/>
        <v>1665</v>
      </c>
    </row>
    <row r="23" spans="1:32" s="26" customFormat="1" ht="12.75">
      <c r="A23" s="198">
        <v>19</v>
      </c>
      <c r="B23" s="26" t="s">
        <v>653</v>
      </c>
      <c r="C23" s="26">
        <f>SUM(C19:C22)</f>
        <v>7</v>
      </c>
      <c r="E23" s="26">
        <f>SUM(E19:E22)</f>
        <v>0</v>
      </c>
      <c r="G23" s="26">
        <f>SUM(G19:G22)</f>
        <v>1650</v>
      </c>
      <c r="H23" s="26">
        <f>SUM(H19:H22)</f>
        <v>0</v>
      </c>
      <c r="I23" s="26">
        <f>SUM(I19:I22)</f>
        <v>0</v>
      </c>
      <c r="J23" s="26">
        <f t="shared" si="0"/>
        <v>1657</v>
      </c>
      <c r="L23" s="26">
        <f aca="true" t="shared" si="7" ref="L23:Q23">SUM(L19:L22)</f>
        <v>2279</v>
      </c>
      <c r="M23" s="26">
        <f t="shared" si="7"/>
        <v>837</v>
      </c>
      <c r="N23" s="26">
        <f t="shared" si="7"/>
        <v>467</v>
      </c>
      <c r="O23" s="26">
        <f t="shared" si="7"/>
        <v>1195</v>
      </c>
      <c r="P23" s="26">
        <f t="shared" si="7"/>
        <v>973</v>
      </c>
      <c r="Q23" s="26">
        <f t="shared" si="7"/>
        <v>1222</v>
      </c>
      <c r="S23" s="26">
        <f>SUM(S19:S22)</f>
        <v>967</v>
      </c>
      <c r="T23" s="26">
        <f>SUM(T19:T22)</f>
        <v>50</v>
      </c>
      <c r="U23" s="26">
        <f aca="true" t="shared" si="8" ref="U23:AD23">SUM(U19:U22)</f>
        <v>416</v>
      </c>
      <c r="V23" s="26">
        <f t="shared" si="8"/>
        <v>138</v>
      </c>
      <c r="W23" s="26">
        <f t="shared" si="8"/>
        <v>0</v>
      </c>
      <c r="X23" s="26">
        <f t="shared" si="8"/>
        <v>0</v>
      </c>
      <c r="Y23" s="26">
        <f t="shared" si="8"/>
        <v>475</v>
      </c>
      <c r="Z23" s="26">
        <f t="shared" si="8"/>
        <v>0</v>
      </c>
      <c r="AA23" s="26">
        <f t="shared" si="8"/>
        <v>0</v>
      </c>
      <c r="AB23" s="26">
        <f t="shared" si="8"/>
        <v>41</v>
      </c>
      <c r="AC23" s="26">
        <f t="shared" si="8"/>
        <v>0</v>
      </c>
      <c r="AD23" s="26">
        <f t="shared" si="8"/>
        <v>26</v>
      </c>
      <c r="AE23" s="26">
        <f t="shared" si="1"/>
        <v>9086</v>
      </c>
      <c r="AF23" s="24">
        <f t="shared" si="2"/>
        <v>10743</v>
      </c>
    </row>
    <row r="24" spans="1:32" ht="12.75">
      <c r="A24" s="198">
        <v>20</v>
      </c>
      <c r="B24" s="24" t="s">
        <v>654</v>
      </c>
      <c r="J24" s="26">
        <f t="shared" si="0"/>
        <v>0</v>
      </c>
      <c r="AE24" s="26">
        <f t="shared" si="1"/>
        <v>0</v>
      </c>
      <c r="AF24" s="24">
        <f t="shared" si="2"/>
        <v>0</v>
      </c>
    </row>
    <row r="25" spans="1:32" ht="12.75">
      <c r="A25" s="198">
        <v>21</v>
      </c>
      <c r="B25" s="24" t="s">
        <v>1288</v>
      </c>
      <c r="C25" s="24">
        <v>8028</v>
      </c>
      <c r="J25" s="26">
        <f t="shared" si="0"/>
        <v>8028</v>
      </c>
      <c r="AE25" s="26">
        <f t="shared" si="1"/>
        <v>0</v>
      </c>
      <c r="AF25" s="24">
        <f t="shared" si="2"/>
        <v>8028</v>
      </c>
    </row>
    <row r="26" spans="1:32" s="26" customFormat="1" ht="12.75">
      <c r="A26" s="249">
        <v>22</v>
      </c>
      <c r="B26" s="26" t="s">
        <v>655</v>
      </c>
      <c r="C26" s="26">
        <f>SUM(C24:C25)</f>
        <v>8028</v>
      </c>
      <c r="E26" s="26">
        <f>SUM(E24:E25)</f>
        <v>0</v>
      </c>
      <c r="J26" s="26">
        <f t="shared" si="0"/>
        <v>8028</v>
      </c>
      <c r="K26" s="26">
        <v>2</v>
      </c>
      <c r="L26" s="26">
        <f aca="true" t="shared" si="9" ref="L26:S26">SUM(L24:L25)</f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si="9"/>
        <v>0</v>
      </c>
      <c r="R26" s="26">
        <f t="shared" si="9"/>
        <v>0</v>
      </c>
      <c r="S26" s="26">
        <f t="shared" si="9"/>
        <v>0</v>
      </c>
      <c r="U26" s="26">
        <f>SUM(U24:U25)</f>
        <v>0</v>
      </c>
      <c r="V26" s="26">
        <v>28</v>
      </c>
      <c r="Y26" s="26">
        <f>SUM(Y24:Y25)</f>
        <v>0</v>
      </c>
      <c r="Z26" s="26">
        <f>SUM(Z24:Z25)</f>
        <v>0</v>
      </c>
      <c r="AA26" s="26">
        <f>SUM(AA24:AA25)</f>
        <v>0</v>
      </c>
      <c r="AD26" s="26">
        <f>SUM(AD24:AD25)</f>
        <v>0</v>
      </c>
      <c r="AE26" s="26">
        <f t="shared" si="1"/>
        <v>28</v>
      </c>
      <c r="AF26" s="24">
        <f t="shared" si="2"/>
        <v>8058</v>
      </c>
    </row>
    <row r="27" spans="1:32" s="26" customFormat="1" ht="12.75">
      <c r="A27" s="198">
        <v>23</v>
      </c>
      <c r="B27" s="26" t="s">
        <v>656</v>
      </c>
      <c r="C27" s="26">
        <f>SUM(C26,C23,C18,C13,C10)</f>
        <v>8371</v>
      </c>
      <c r="E27" s="26">
        <f>SUM(E26,E23,E18,E13,E10)</f>
        <v>0</v>
      </c>
      <c r="G27" s="26">
        <f>SUM(G26,G23,G18,G13,G10)</f>
        <v>1650</v>
      </c>
      <c r="H27" s="26">
        <f>SUM(H26,H23,H18,H13,H10)</f>
        <v>0</v>
      </c>
      <c r="I27" s="26">
        <f>SUM(I26,I23,I18,I13,I10)</f>
        <v>0</v>
      </c>
      <c r="J27" s="26">
        <f t="shared" si="0"/>
        <v>10021</v>
      </c>
      <c r="K27" s="26">
        <f>SUM(K26)</f>
        <v>2</v>
      </c>
      <c r="L27" s="26">
        <f>SUM(L26,L23,L18,L13,L10)</f>
        <v>10718</v>
      </c>
      <c r="M27" s="26">
        <f>SUM(M10,M13,M18,M23,M26)</f>
        <v>3940</v>
      </c>
      <c r="N27" s="26">
        <f>SUM(N10,N13,N18,N23,N26)</f>
        <v>2195</v>
      </c>
      <c r="O27" s="26">
        <f>SUM(O10,O13,O18,O23,O26)</f>
        <v>5620</v>
      </c>
      <c r="P27" s="26">
        <f>SUM(P10,P13,P18,P23,P26)</f>
        <v>4577</v>
      </c>
      <c r="Q27" s="26">
        <f>SUM(Q10,Q13,Q18,Q23,Q26)</f>
        <v>5750</v>
      </c>
      <c r="R27" s="26">
        <f aca="true" t="shared" si="10" ref="R27:AC27">SUM(R26,R23,R18,R13,R10)</f>
        <v>2963</v>
      </c>
      <c r="S27" s="26">
        <f t="shared" si="10"/>
        <v>14794</v>
      </c>
      <c r="T27" s="26">
        <f t="shared" si="10"/>
        <v>280</v>
      </c>
      <c r="U27" s="26">
        <f t="shared" si="10"/>
        <v>2110</v>
      </c>
      <c r="V27" s="26">
        <f t="shared" si="10"/>
        <v>1397</v>
      </c>
      <c r="W27" s="26">
        <f t="shared" si="10"/>
        <v>50</v>
      </c>
      <c r="X27" s="26">
        <f t="shared" si="10"/>
        <v>51</v>
      </c>
      <c r="Y27" s="26">
        <f t="shared" si="10"/>
        <v>2233</v>
      </c>
      <c r="Z27" s="26">
        <f t="shared" si="10"/>
        <v>0</v>
      </c>
      <c r="AA27" s="26">
        <f t="shared" si="10"/>
        <v>0</v>
      </c>
      <c r="AB27" s="26">
        <f t="shared" si="10"/>
        <v>683</v>
      </c>
      <c r="AC27" s="26">
        <f t="shared" si="10"/>
        <v>370</v>
      </c>
      <c r="AD27" s="26">
        <f>SUM(AD10,AD13,AD18,AD23,AD26)</f>
        <v>195</v>
      </c>
      <c r="AE27" s="26">
        <f t="shared" si="1"/>
        <v>57926</v>
      </c>
      <c r="AF27" s="24">
        <f t="shared" si="2"/>
        <v>67949</v>
      </c>
    </row>
    <row r="28" spans="1:32" s="26" customFormat="1" ht="12.75">
      <c r="A28" s="198">
        <v>24</v>
      </c>
      <c r="J28" s="26">
        <f t="shared" si="0"/>
        <v>0</v>
      </c>
      <c r="AE28" s="26">
        <f t="shared" si="1"/>
        <v>0</v>
      </c>
      <c r="AF28" s="24">
        <f t="shared" si="2"/>
        <v>0</v>
      </c>
    </row>
    <row r="29" spans="1:32" s="26" customFormat="1" ht="12.75">
      <c r="A29" s="198">
        <v>25</v>
      </c>
      <c r="J29" s="26">
        <f t="shared" si="0"/>
        <v>0</v>
      </c>
      <c r="AE29" s="26">
        <f t="shared" si="1"/>
        <v>0</v>
      </c>
      <c r="AF29" s="24">
        <f t="shared" si="2"/>
        <v>0</v>
      </c>
    </row>
    <row r="30" spans="1:32" s="26" customFormat="1" ht="12.75">
      <c r="A30" s="249">
        <v>26</v>
      </c>
      <c r="J30" s="26">
        <f t="shared" si="0"/>
        <v>0</v>
      </c>
      <c r="AE30" s="26">
        <f t="shared" si="1"/>
        <v>0</v>
      </c>
      <c r="AF30" s="24">
        <f t="shared" si="2"/>
        <v>0</v>
      </c>
    </row>
    <row r="31" spans="1:32" s="26" customFormat="1" ht="12.75">
      <c r="A31" s="198">
        <v>27</v>
      </c>
      <c r="B31" s="26" t="s">
        <v>617</v>
      </c>
      <c r="C31" s="26">
        <v>841112</v>
      </c>
      <c r="E31" s="26">
        <v>841133</v>
      </c>
      <c r="F31" s="26">
        <v>841358</v>
      </c>
      <c r="G31" s="26">
        <v>841901</v>
      </c>
      <c r="H31" s="26">
        <v>889942</v>
      </c>
      <c r="I31" s="26">
        <v>869041</v>
      </c>
      <c r="K31" s="26">
        <v>851011</v>
      </c>
      <c r="L31" s="26">
        <v>370000</v>
      </c>
      <c r="M31" s="26">
        <v>902113</v>
      </c>
      <c r="N31" s="26">
        <v>552312</v>
      </c>
      <c r="O31" s="26">
        <v>552323</v>
      </c>
      <c r="P31" s="26">
        <v>552411</v>
      </c>
      <c r="Q31" s="26">
        <v>751950</v>
      </c>
      <c r="R31" s="26">
        <v>682001</v>
      </c>
      <c r="S31" s="26">
        <v>682002</v>
      </c>
      <c r="T31" s="26">
        <v>813000</v>
      </c>
      <c r="U31" s="26">
        <v>841403</v>
      </c>
      <c r="V31" s="26">
        <v>869041</v>
      </c>
      <c r="W31" s="26">
        <v>852011</v>
      </c>
      <c r="X31" s="26">
        <v>862102</v>
      </c>
      <c r="Y31" s="26">
        <v>889921</v>
      </c>
      <c r="Z31" s="26">
        <v>890442</v>
      </c>
      <c r="AA31" s="26">
        <v>890444</v>
      </c>
      <c r="AB31" s="26">
        <v>910502</v>
      </c>
      <c r="AC31" s="26">
        <v>849900</v>
      </c>
      <c r="AD31" s="26">
        <v>751867</v>
      </c>
      <c r="AF31" s="24"/>
    </row>
    <row r="32" spans="1:32" s="26" customFormat="1" ht="12.75">
      <c r="A32" s="198">
        <v>28</v>
      </c>
      <c r="B32" s="26" t="s">
        <v>657</v>
      </c>
      <c r="G32" s="26">
        <v>876</v>
      </c>
      <c r="J32" s="26">
        <f t="shared" si="0"/>
        <v>876</v>
      </c>
      <c r="M32" s="26">
        <f>SUM(M28:M29)</f>
        <v>0</v>
      </c>
      <c r="N32" s="26">
        <f>SUM(N28:N29)</f>
        <v>0</v>
      </c>
      <c r="O32" s="26">
        <f>SUM(O28:O29)</f>
        <v>0</v>
      </c>
      <c r="P32" s="26">
        <f>SUM(P28:P29)</f>
        <v>0</v>
      </c>
      <c r="Q32" s="26">
        <f>SUM(Q28:Q29)</f>
        <v>0</v>
      </c>
      <c r="AD32" s="26">
        <f>SUM(AD28:AD29)</f>
        <v>0</v>
      </c>
      <c r="AE32" s="26">
        <f t="shared" si="1"/>
        <v>0</v>
      </c>
      <c r="AF32" s="24">
        <f t="shared" si="2"/>
        <v>876</v>
      </c>
    </row>
    <row r="33" spans="1:32" ht="12.75">
      <c r="A33" s="198">
        <v>29</v>
      </c>
      <c r="B33" s="24" t="s">
        <v>1403</v>
      </c>
      <c r="C33" s="24">
        <v>26451</v>
      </c>
      <c r="J33" s="26">
        <f t="shared" si="0"/>
        <v>26451</v>
      </c>
      <c r="AE33" s="26">
        <f t="shared" si="1"/>
        <v>0</v>
      </c>
      <c r="AF33" s="24">
        <f t="shared" si="2"/>
        <v>26451</v>
      </c>
    </row>
    <row r="34" spans="1:32" ht="12.75">
      <c r="A34" s="249">
        <v>30</v>
      </c>
      <c r="B34" s="24" t="s">
        <v>1404</v>
      </c>
      <c r="C34" s="24">
        <v>28</v>
      </c>
      <c r="J34" s="26">
        <f t="shared" si="0"/>
        <v>28</v>
      </c>
      <c r="V34" s="24">
        <v>31</v>
      </c>
      <c r="AE34" s="26">
        <f t="shared" si="1"/>
        <v>31</v>
      </c>
      <c r="AF34" s="24">
        <f t="shared" si="2"/>
        <v>59</v>
      </c>
    </row>
    <row r="35" spans="1:32" ht="12.75">
      <c r="A35" s="198">
        <v>31</v>
      </c>
      <c r="B35" s="24" t="s">
        <v>658</v>
      </c>
      <c r="G35" s="24">
        <v>6369</v>
      </c>
      <c r="J35" s="31">
        <f t="shared" si="0"/>
        <v>6369</v>
      </c>
      <c r="AE35" s="26">
        <f t="shared" si="1"/>
        <v>0</v>
      </c>
      <c r="AF35" s="24">
        <f t="shared" si="2"/>
        <v>6369</v>
      </c>
    </row>
    <row r="36" spans="1:32" s="26" customFormat="1" ht="12.75">
      <c r="A36" s="198">
        <v>32</v>
      </c>
      <c r="B36" s="26" t="s">
        <v>659</v>
      </c>
      <c r="C36" s="26">
        <f>SUM(C33:C35)</f>
        <v>26479</v>
      </c>
      <c r="E36" s="26">
        <f>+E33+E34+E35</f>
        <v>0</v>
      </c>
      <c r="G36" s="26">
        <f>+G33+G34+G35</f>
        <v>6369</v>
      </c>
      <c r="H36" s="26">
        <f>+H33+H34+H35</f>
        <v>0</v>
      </c>
      <c r="I36" s="26">
        <f>+I33+I34+I35</f>
        <v>0</v>
      </c>
      <c r="J36" s="26">
        <f t="shared" si="0"/>
        <v>32848</v>
      </c>
      <c r="L36" s="26">
        <f>+L33+L34+L35</f>
        <v>0</v>
      </c>
      <c r="M36" s="26">
        <f>SUM(M33:M34)</f>
        <v>0</v>
      </c>
      <c r="N36" s="26">
        <f>SUM(N33:N34)</f>
        <v>0</v>
      </c>
      <c r="O36" s="26">
        <f>SUM(O33:O34)</f>
        <v>0</v>
      </c>
      <c r="P36" s="26">
        <f>SUM(P33:P34)</f>
        <v>0</v>
      </c>
      <c r="Q36" s="26">
        <f>SUM(Q33:Q34)</f>
        <v>0</v>
      </c>
      <c r="R36" s="26">
        <f aca="true" t="shared" si="11" ref="R36:Z36">+R33+R34+R35</f>
        <v>0</v>
      </c>
      <c r="S36" s="26">
        <f t="shared" si="11"/>
        <v>0</v>
      </c>
      <c r="T36" s="26">
        <f t="shared" si="11"/>
        <v>0</v>
      </c>
      <c r="U36" s="26">
        <f t="shared" si="11"/>
        <v>0</v>
      </c>
      <c r="V36" s="26">
        <f t="shared" si="11"/>
        <v>31</v>
      </c>
      <c r="W36" s="26">
        <f t="shared" si="11"/>
        <v>0</v>
      </c>
      <c r="X36" s="26">
        <f t="shared" si="11"/>
        <v>0</v>
      </c>
      <c r="Y36" s="26">
        <f t="shared" si="11"/>
        <v>0</v>
      </c>
      <c r="Z36" s="26">
        <f t="shared" si="11"/>
        <v>0</v>
      </c>
      <c r="AB36" s="26">
        <f>+AB33+AB34+AB35</f>
        <v>0</v>
      </c>
      <c r="AC36" s="26">
        <f>+AC33+AC34+AC35</f>
        <v>0</v>
      </c>
      <c r="AD36" s="26">
        <f>SUM(AD33:AD34)</f>
        <v>0</v>
      </c>
      <c r="AE36" s="26">
        <f t="shared" si="1"/>
        <v>31</v>
      </c>
      <c r="AF36" s="24">
        <f t="shared" si="2"/>
        <v>32879</v>
      </c>
    </row>
    <row r="37" spans="1:32" ht="12.75">
      <c r="A37" s="198">
        <v>33</v>
      </c>
      <c r="B37" s="24" t="s">
        <v>660</v>
      </c>
      <c r="J37" s="26">
        <f t="shared" si="0"/>
        <v>0</v>
      </c>
      <c r="AE37" s="26">
        <f t="shared" si="1"/>
        <v>0</v>
      </c>
      <c r="AF37" s="24">
        <f t="shared" si="2"/>
        <v>0</v>
      </c>
    </row>
    <row r="38" spans="1:32" ht="12.75">
      <c r="A38" s="249">
        <v>34</v>
      </c>
      <c r="B38" s="24" t="s">
        <v>661</v>
      </c>
      <c r="J38" s="26">
        <f t="shared" si="0"/>
        <v>0</v>
      </c>
      <c r="AE38" s="26">
        <f t="shared" si="1"/>
        <v>0</v>
      </c>
      <c r="AF38" s="24">
        <f t="shared" si="2"/>
        <v>0</v>
      </c>
    </row>
    <row r="39" spans="1:32" s="26" customFormat="1" ht="12.75">
      <c r="A39" s="198">
        <v>35</v>
      </c>
      <c r="B39" s="26" t="s">
        <v>662</v>
      </c>
      <c r="C39" s="26">
        <f>SUM(C37:C38)</f>
        <v>0</v>
      </c>
      <c r="E39" s="26">
        <f>SUM(E37:E38)</f>
        <v>0</v>
      </c>
      <c r="J39" s="26">
        <f t="shared" si="0"/>
        <v>0</v>
      </c>
      <c r="L39" s="26">
        <f aca="true" t="shared" si="12" ref="L39:Q39">SUM(L37:L38)</f>
        <v>0</v>
      </c>
      <c r="M39" s="26">
        <f t="shared" si="12"/>
        <v>0</v>
      </c>
      <c r="N39" s="26">
        <f t="shared" si="12"/>
        <v>0</v>
      </c>
      <c r="O39" s="26">
        <f t="shared" si="12"/>
        <v>0</v>
      </c>
      <c r="P39" s="26">
        <f t="shared" si="12"/>
        <v>0</v>
      </c>
      <c r="Q39" s="26">
        <f t="shared" si="12"/>
        <v>0</v>
      </c>
      <c r="R39" s="26">
        <f>SUM(R37:R38)</f>
        <v>0</v>
      </c>
      <c r="S39" s="26">
        <f>SUM(S37:S38)</f>
        <v>0</v>
      </c>
      <c r="T39" s="26">
        <f>SUM(T37:T38)</f>
        <v>0</v>
      </c>
      <c r="U39" s="26">
        <f>SUM(U37:U38)</f>
        <v>0</v>
      </c>
      <c r="V39" s="26">
        <f>SUM(V37:V38)</f>
        <v>0</v>
      </c>
      <c r="Z39" s="26">
        <f>SUM(Z37:Z38)</f>
        <v>0</v>
      </c>
      <c r="AD39" s="26">
        <f>SUM(AD37:AD38)</f>
        <v>0</v>
      </c>
      <c r="AE39" s="26">
        <f t="shared" si="1"/>
        <v>0</v>
      </c>
      <c r="AF39" s="24">
        <f t="shared" si="2"/>
        <v>0</v>
      </c>
    </row>
    <row r="40" spans="1:32" s="26" customFormat="1" ht="12.75">
      <c r="A40" s="198">
        <v>36</v>
      </c>
      <c r="B40" s="26" t="s">
        <v>663</v>
      </c>
      <c r="C40" s="26">
        <f>SUM(C39,C36)</f>
        <v>26479</v>
      </c>
      <c r="E40" s="26">
        <f>SUM(E39,E36)</f>
        <v>0</v>
      </c>
      <c r="G40" s="26">
        <f>SUM(G39,G36)</f>
        <v>6369</v>
      </c>
      <c r="H40" s="26">
        <f>SUM(H39,H36)</f>
        <v>0</v>
      </c>
      <c r="I40" s="26">
        <f>SUM(I39,I36)</f>
        <v>0</v>
      </c>
      <c r="J40" s="26">
        <f t="shared" si="0"/>
        <v>32848</v>
      </c>
      <c r="L40" s="26">
        <f>SUM(L39,L36)</f>
        <v>0</v>
      </c>
      <c r="M40" s="26">
        <f>SUM(M32,M36,M39)</f>
        <v>0</v>
      </c>
      <c r="N40" s="26">
        <f>SUM(N32,N36,N39)</f>
        <v>0</v>
      </c>
      <c r="O40" s="26">
        <f>SUM(O32,O36,O39)</f>
        <v>0</v>
      </c>
      <c r="P40" s="26">
        <f>SUM(P32,P36,P39)</f>
        <v>0</v>
      </c>
      <c r="Q40" s="26">
        <f>SUM(Q32,Q36,Q39)</f>
        <v>0</v>
      </c>
      <c r="R40" s="26">
        <f>SUM(R39,R36)</f>
        <v>0</v>
      </c>
      <c r="S40" s="26">
        <f>SUM(S39,S36)</f>
        <v>0</v>
      </c>
      <c r="T40" s="26">
        <f>SUM(T39,T36)</f>
        <v>0</v>
      </c>
      <c r="U40" s="26">
        <f aca="true" t="shared" si="13" ref="U40:AC40">SUM(U39,U36)</f>
        <v>0</v>
      </c>
      <c r="V40" s="26">
        <f t="shared" si="13"/>
        <v>31</v>
      </c>
      <c r="W40" s="26">
        <f t="shared" si="13"/>
        <v>0</v>
      </c>
      <c r="X40" s="26">
        <f t="shared" si="13"/>
        <v>0</v>
      </c>
      <c r="Y40" s="26">
        <f t="shared" si="13"/>
        <v>0</v>
      </c>
      <c r="Z40" s="26">
        <f t="shared" si="13"/>
        <v>0</v>
      </c>
      <c r="AA40" s="26">
        <f t="shared" si="13"/>
        <v>0</v>
      </c>
      <c r="AB40" s="26">
        <f t="shared" si="13"/>
        <v>0</v>
      </c>
      <c r="AC40" s="26">
        <f t="shared" si="13"/>
        <v>0</v>
      </c>
      <c r="AD40" s="26">
        <f>SUM(AD32,AD36,AD39)</f>
        <v>0</v>
      </c>
      <c r="AE40" s="26">
        <f t="shared" si="1"/>
        <v>31</v>
      </c>
      <c r="AF40" s="24">
        <f t="shared" si="2"/>
        <v>32879</v>
      </c>
    </row>
    <row r="41" spans="1:32" ht="12.75">
      <c r="A41" s="198">
        <v>37</v>
      </c>
      <c r="J41" s="26">
        <f t="shared" si="0"/>
        <v>0</v>
      </c>
      <c r="AE41" s="26">
        <f t="shared" si="1"/>
        <v>0</v>
      </c>
      <c r="AF41" s="24">
        <f t="shared" si="2"/>
        <v>0</v>
      </c>
    </row>
    <row r="42" spans="1:32" ht="12.75">
      <c r="A42" s="249">
        <v>38</v>
      </c>
      <c r="B42" s="24" t="s">
        <v>664</v>
      </c>
      <c r="J42" s="26">
        <f t="shared" si="0"/>
        <v>0</v>
      </c>
      <c r="AE42" s="26">
        <f t="shared" si="1"/>
        <v>0</v>
      </c>
      <c r="AF42" s="24">
        <f t="shared" si="2"/>
        <v>0</v>
      </c>
    </row>
    <row r="43" spans="1:32" ht="12.75">
      <c r="A43" s="198">
        <v>39</v>
      </c>
      <c r="B43" s="24" t="s">
        <v>665</v>
      </c>
      <c r="G43" s="24">
        <v>55</v>
      </c>
      <c r="J43" s="26">
        <f t="shared" si="0"/>
        <v>55</v>
      </c>
      <c r="AE43" s="26">
        <f t="shared" si="1"/>
        <v>0</v>
      </c>
      <c r="AF43" s="24">
        <f t="shared" si="2"/>
        <v>55</v>
      </c>
    </row>
    <row r="44" spans="1:32" ht="12.75">
      <c r="A44" s="198">
        <v>40</v>
      </c>
      <c r="B44" s="24" t="s">
        <v>666</v>
      </c>
      <c r="J44" s="26">
        <f t="shared" si="0"/>
        <v>0</v>
      </c>
      <c r="Z44" s="24">
        <v>4501</v>
      </c>
      <c r="AA44" s="24">
        <v>1755</v>
      </c>
      <c r="AE44" s="26">
        <f t="shared" si="1"/>
        <v>6256</v>
      </c>
      <c r="AF44" s="24">
        <f t="shared" si="2"/>
        <v>6256</v>
      </c>
    </row>
    <row r="45" spans="1:32" ht="12.75">
      <c r="A45" s="198">
        <v>41</v>
      </c>
      <c r="B45" s="24" t="s">
        <v>667</v>
      </c>
      <c r="I45" s="24">
        <v>2299</v>
      </c>
      <c r="J45" s="26">
        <f t="shared" si="0"/>
        <v>2299</v>
      </c>
      <c r="AE45" s="26">
        <f t="shared" si="1"/>
        <v>0</v>
      </c>
      <c r="AF45" s="24">
        <f t="shared" si="2"/>
        <v>2299</v>
      </c>
    </row>
    <row r="46" spans="1:32" ht="12.75">
      <c r="A46" s="249">
        <v>42</v>
      </c>
      <c r="B46" s="24" t="s">
        <v>668</v>
      </c>
      <c r="C46" s="24">
        <f>4006+500+500</f>
        <v>5006</v>
      </c>
      <c r="G46" s="24">
        <v>191</v>
      </c>
      <c r="J46" s="26">
        <f t="shared" si="0"/>
        <v>5197</v>
      </c>
      <c r="AE46" s="26">
        <f t="shared" si="1"/>
        <v>0</v>
      </c>
      <c r="AF46" s="24">
        <f t="shared" si="2"/>
        <v>5197</v>
      </c>
    </row>
    <row r="47" spans="1:32" ht="12.75">
      <c r="A47" s="198">
        <v>43</v>
      </c>
      <c r="B47" s="24" t="s">
        <v>669</v>
      </c>
      <c r="F47" s="24">
        <f>'[2]841358'!$H$5</f>
        <v>2720</v>
      </c>
      <c r="J47" s="26">
        <f t="shared" si="0"/>
        <v>2720</v>
      </c>
      <c r="AE47" s="26">
        <f t="shared" si="1"/>
        <v>0</v>
      </c>
      <c r="AF47" s="24">
        <f t="shared" si="2"/>
        <v>2720</v>
      </c>
    </row>
    <row r="48" spans="1:32" ht="12.75">
      <c r="A48" s="198">
        <v>44</v>
      </c>
      <c r="B48" s="24" t="s">
        <v>670</v>
      </c>
      <c r="D48" s="24">
        <v>428</v>
      </c>
      <c r="H48" s="24">
        <v>537</v>
      </c>
      <c r="J48" s="26">
        <f t="shared" si="0"/>
        <v>965</v>
      </c>
      <c r="AE48" s="26">
        <f t="shared" si="1"/>
        <v>0</v>
      </c>
      <c r="AF48" s="24">
        <f t="shared" si="2"/>
        <v>965</v>
      </c>
    </row>
    <row r="49" spans="1:32" ht="12.75">
      <c r="A49" s="198">
        <v>45</v>
      </c>
      <c r="B49" s="24" t="s">
        <v>671</v>
      </c>
      <c r="J49" s="26">
        <f t="shared" si="0"/>
        <v>0</v>
      </c>
      <c r="AE49" s="26">
        <f t="shared" si="1"/>
        <v>0</v>
      </c>
      <c r="AF49" s="24">
        <f t="shared" si="2"/>
        <v>0</v>
      </c>
    </row>
    <row r="50" spans="1:32" ht="12.75">
      <c r="A50" s="249">
        <v>46</v>
      </c>
      <c r="B50" s="24" t="s">
        <v>1405</v>
      </c>
      <c r="C50" s="24">
        <v>216</v>
      </c>
      <c r="J50" s="26">
        <f t="shared" si="0"/>
        <v>216</v>
      </c>
      <c r="AE50" s="26">
        <f t="shared" si="1"/>
        <v>0</v>
      </c>
      <c r="AF50" s="24">
        <f t="shared" si="2"/>
        <v>216</v>
      </c>
    </row>
    <row r="51" spans="1:32" s="26" customFormat="1" ht="12.75">
      <c r="A51" s="198">
        <v>47</v>
      </c>
      <c r="B51" s="26" t="s">
        <v>672</v>
      </c>
      <c r="C51" s="26">
        <f aca="true" t="shared" si="14" ref="C51:I51">SUM(C42:C50)</f>
        <v>5222</v>
      </c>
      <c r="D51" s="26">
        <f t="shared" si="14"/>
        <v>428</v>
      </c>
      <c r="E51" s="26">
        <f t="shared" si="14"/>
        <v>0</v>
      </c>
      <c r="F51" s="26">
        <f t="shared" si="14"/>
        <v>2720</v>
      </c>
      <c r="G51" s="26">
        <f t="shared" si="14"/>
        <v>246</v>
      </c>
      <c r="H51" s="26">
        <f t="shared" si="14"/>
        <v>537</v>
      </c>
      <c r="I51" s="26">
        <f t="shared" si="14"/>
        <v>2299</v>
      </c>
      <c r="J51" s="26">
        <f t="shared" si="0"/>
        <v>11452</v>
      </c>
      <c r="L51" s="26">
        <f>SUM(L42:L50)</f>
        <v>0</v>
      </c>
      <c r="M51" s="26">
        <f>SUM(M41:M50)</f>
        <v>0</v>
      </c>
      <c r="N51" s="26">
        <f>SUM(N41:N50)</f>
        <v>0</v>
      </c>
      <c r="O51" s="26">
        <f>SUM(O41:O50)</f>
        <v>0</v>
      </c>
      <c r="P51" s="26">
        <f>SUM(P41:P50)</f>
        <v>0</v>
      </c>
      <c r="Q51" s="26">
        <f>SUM(Q41:Q50)</f>
        <v>0</v>
      </c>
      <c r="R51" s="26">
        <f aca="true" t="shared" si="15" ref="R51:AC51">SUM(R42:R50)</f>
        <v>0</v>
      </c>
      <c r="S51" s="26">
        <f t="shared" si="15"/>
        <v>0</v>
      </c>
      <c r="T51" s="26">
        <f t="shared" si="15"/>
        <v>0</v>
      </c>
      <c r="U51" s="26">
        <f t="shared" si="15"/>
        <v>0</v>
      </c>
      <c r="V51" s="26">
        <f t="shared" si="15"/>
        <v>0</v>
      </c>
      <c r="W51" s="26">
        <f t="shared" si="15"/>
        <v>0</v>
      </c>
      <c r="X51" s="26">
        <f t="shared" si="15"/>
        <v>0</v>
      </c>
      <c r="Y51" s="26">
        <f t="shared" si="15"/>
        <v>0</v>
      </c>
      <c r="Z51" s="26">
        <f t="shared" si="15"/>
        <v>4501</v>
      </c>
      <c r="AA51" s="26">
        <f t="shared" si="15"/>
        <v>1755</v>
      </c>
      <c r="AB51" s="26">
        <f t="shared" si="15"/>
        <v>0</v>
      </c>
      <c r="AC51" s="26">
        <f t="shared" si="15"/>
        <v>0</v>
      </c>
      <c r="AD51" s="26">
        <f>SUM(AD41:AD50)</f>
        <v>0</v>
      </c>
      <c r="AE51" s="26">
        <f t="shared" si="1"/>
        <v>6256</v>
      </c>
      <c r="AF51" s="24">
        <f t="shared" si="2"/>
        <v>17708</v>
      </c>
    </row>
    <row r="52" spans="1:32" s="26" customFormat="1" ht="12.75">
      <c r="A52" s="198">
        <v>48</v>
      </c>
      <c r="B52" s="26" t="s">
        <v>673</v>
      </c>
      <c r="C52" s="26">
        <v>48814</v>
      </c>
      <c r="J52" s="26">
        <f t="shared" si="0"/>
        <v>48814</v>
      </c>
      <c r="K52" s="26">
        <v>847</v>
      </c>
      <c r="V52" s="26">
        <v>15489</v>
      </c>
      <c r="AE52" s="26">
        <f t="shared" si="1"/>
        <v>15489</v>
      </c>
      <c r="AF52" s="24">
        <f t="shared" si="2"/>
        <v>65150</v>
      </c>
    </row>
    <row r="53" spans="1:32" ht="12.75">
      <c r="A53" s="198">
        <v>49</v>
      </c>
      <c r="B53" s="24" t="s">
        <v>534</v>
      </c>
      <c r="C53" s="24">
        <f>'[2]841112'!$G$19</f>
        <v>3039</v>
      </c>
      <c r="J53" s="26">
        <f t="shared" si="0"/>
        <v>3039</v>
      </c>
      <c r="AE53" s="26">
        <f t="shared" si="1"/>
        <v>0</v>
      </c>
      <c r="AF53" s="24">
        <f t="shared" si="2"/>
        <v>3039</v>
      </c>
    </row>
    <row r="54" spans="1:32" ht="12.75">
      <c r="A54" s="249">
        <v>50</v>
      </c>
      <c r="B54" s="24" t="s">
        <v>674</v>
      </c>
      <c r="E54" s="24">
        <f>'1a.össz.bevétel'!K28</f>
        <v>152141</v>
      </c>
      <c r="J54" s="26">
        <f t="shared" si="0"/>
        <v>152141</v>
      </c>
      <c r="AE54" s="26">
        <f t="shared" si="1"/>
        <v>0</v>
      </c>
      <c r="AF54" s="24">
        <f t="shared" si="2"/>
        <v>152141</v>
      </c>
    </row>
    <row r="55" spans="1:32" ht="12.75">
      <c r="A55" s="198">
        <v>51</v>
      </c>
      <c r="B55" s="24" t="s">
        <v>675</v>
      </c>
      <c r="E55" s="24">
        <v>4259</v>
      </c>
      <c r="J55" s="26">
        <f t="shared" si="0"/>
        <v>4259</v>
      </c>
      <c r="AE55" s="26">
        <f t="shared" si="1"/>
        <v>0</v>
      </c>
      <c r="AF55" s="24">
        <f t="shared" si="2"/>
        <v>4259</v>
      </c>
    </row>
    <row r="56" spans="1:32" ht="12.75">
      <c r="A56" s="198">
        <v>52</v>
      </c>
      <c r="B56" s="24" t="s">
        <v>676</v>
      </c>
      <c r="E56" s="24">
        <v>108</v>
      </c>
      <c r="J56" s="26">
        <f t="shared" si="0"/>
        <v>108</v>
      </c>
      <c r="AE56" s="26">
        <f t="shared" si="1"/>
        <v>0</v>
      </c>
      <c r="AF56" s="24">
        <f t="shared" si="2"/>
        <v>108</v>
      </c>
    </row>
    <row r="57" spans="1:32" s="26" customFormat="1" ht="12.75">
      <c r="A57" s="198">
        <v>53</v>
      </c>
      <c r="B57" s="26" t="s">
        <v>677</v>
      </c>
      <c r="C57" s="26">
        <f aca="true" t="shared" si="16" ref="C57:I57">SUM(C54:C56)</f>
        <v>0</v>
      </c>
      <c r="E57" s="26">
        <f t="shared" si="16"/>
        <v>156508</v>
      </c>
      <c r="F57" s="26">
        <f t="shared" si="16"/>
        <v>0</v>
      </c>
      <c r="G57" s="26">
        <f t="shared" si="16"/>
        <v>0</v>
      </c>
      <c r="H57" s="26">
        <f t="shared" si="16"/>
        <v>0</v>
      </c>
      <c r="I57" s="26">
        <f t="shared" si="16"/>
        <v>0</v>
      </c>
      <c r="J57" s="26">
        <f t="shared" si="0"/>
        <v>156508</v>
      </c>
      <c r="L57" s="26">
        <f aca="true" t="shared" si="17" ref="L57:AD57">SUM(L54:L56)</f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6">
        <f t="shared" si="17"/>
        <v>0</v>
      </c>
      <c r="Q57" s="26">
        <f t="shared" si="17"/>
        <v>0</v>
      </c>
      <c r="R57" s="26">
        <f t="shared" si="17"/>
        <v>0</v>
      </c>
      <c r="S57" s="26">
        <f t="shared" si="17"/>
        <v>0</v>
      </c>
      <c r="T57" s="26">
        <f t="shared" si="17"/>
        <v>0</v>
      </c>
      <c r="U57" s="26">
        <f t="shared" si="17"/>
        <v>0</v>
      </c>
      <c r="V57" s="26">
        <f t="shared" si="17"/>
        <v>0</v>
      </c>
      <c r="W57" s="26">
        <f t="shared" si="17"/>
        <v>0</v>
      </c>
      <c r="X57" s="26">
        <f t="shared" si="17"/>
        <v>0</v>
      </c>
      <c r="Y57" s="26">
        <f t="shared" si="17"/>
        <v>0</v>
      </c>
      <c r="Z57" s="26">
        <f t="shared" si="17"/>
        <v>0</v>
      </c>
      <c r="AA57" s="26">
        <f t="shared" si="17"/>
        <v>0</v>
      </c>
      <c r="AB57" s="26">
        <f t="shared" si="17"/>
        <v>0</v>
      </c>
      <c r="AC57" s="26">
        <f t="shared" si="17"/>
        <v>0</v>
      </c>
      <c r="AD57" s="26">
        <f t="shared" si="17"/>
        <v>0</v>
      </c>
      <c r="AE57" s="26">
        <f t="shared" si="1"/>
        <v>0</v>
      </c>
      <c r="AF57" s="24">
        <f t="shared" si="2"/>
        <v>156508</v>
      </c>
    </row>
    <row r="58" spans="1:32" ht="12.75">
      <c r="A58" s="249">
        <v>54</v>
      </c>
      <c r="J58" s="26">
        <f t="shared" si="0"/>
        <v>0</v>
      </c>
      <c r="AE58" s="26">
        <f t="shared" si="1"/>
        <v>0</v>
      </c>
      <c r="AF58" s="24">
        <f t="shared" si="2"/>
        <v>0</v>
      </c>
    </row>
    <row r="59" spans="1:32" ht="12.75">
      <c r="A59" s="198">
        <v>55</v>
      </c>
      <c r="B59" s="24" t="s">
        <v>678</v>
      </c>
      <c r="G59" s="24">
        <v>22605</v>
      </c>
      <c r="J59" s="26">
        <f t="shared" si="0"/>
        <v>22605</v>
      </c>
      <c r="AE59" s="26">
        <f t="shared" si="1"/>
        <v>0</v>
      </c>
      <c r="AF59" s="24">
        <f t="shared" si="2"/>
        <v>22605</v>
      </c>
    </row>
    <row r="60" spans="1:32" ht="12.75">
      <c r="A60" s="198">
        <v>56</v>
      </c>
      <c r="B60" s="24" t="s">
        <v>679</v>
      </c>
      <c r="G60" s="24">
        <v>24111</v>
      </c>
      <c r="J60" s="26">
        <f t="shared" si="0"/>
        <v>24111</v>
      </c>
      <c r="AE60" s="26">
        <f t="shared" si="1"/>
        <v>0</v>
      </c>
      <c r="AF60" s="24">
        <f t="shared" si="2"/>
        <v>24111</v>
      </c>
    </row>
    <row r="61" spans="1:32" ht="12.75">
      <c r="A61" s="198">
        <v>57</v>
      </c>
      <c r="B61" s="24" t="s">
        <v>1289</v>
      </c>
      <c r="G61" s="24">
        <v>6144</v>
      </c>
      <c r="J61" s="26">
        <f t="shared" si="0"/>
        <v>6144</v>
      </c>
      <c r="AE61" s="26">
        <f t="shared" si="1"/>
        <v>0</v>
      </c>
      <c r="AF61" s="24">
        <f t="shared" si="2"/>
        <v>6144</v>
      </c>
    </row>
    <row r="62" spans="1:32" ht="12.75">
      <c r="A62" s="249">
        <v>58</v>
      </c>
      <c r="B62" s="24" t="s">
        <v>680</v>
      </c>
      <c r="G62" s="24">
        <v>16971</v>
      </c>
      <c r="J62" s="26">
        <f t="shared" si="0"/>
        <v>16971</v>
      </c>
      <c r="AE62" s="26">
        <f t="shared" si="1"/>
        <v>0</v>
      </c>
      <c r="AF62" s="24">
        <f t="shared" si="2"/>
        <v>16971</v>
      </c>
    </row>
    <row r="63" spans="1:32" ht="12.75">
      <c r="A63" s="198">
        <v>59</v>
      </c>
      <c r="B63" s="24" t="s">
        <v>681</v>
      </c>
      <c r="G63" s="24">
        <v>1604</v>
      </c>
      <c r="J63" s="26">
        <f t="shared" si="0"/>
        <v>1604</v>
      </c>
      <c r="AE63" s="26">
        <f t="shared" si="1"/>
        <v>0</v>
      </c>
      <c r="AF63" s="24">
        <f t="shared" si="2"/>
        <v>1604</v>
      </c>
    </row>
    <row r="64" spans="1:32" ht="12.75">
      <c r="A64" s="198">
        <v>60</v>
      </c>
      <c r="B64" s="24" t="s">
        <v>682</v>
      </c>
      <c r="G64" s="24">
        <v>1330</v>
      </c>
      <c r="J64" s="26">
        <f t="shared" si="0"/>
        <v>1330</v>
      </c>
      <c r="AE64" s="26">
        <f t="shared" si="1"/>
        <v>0</v>
      </c>
      <c r="AF64" s="24">
        <f t="shared" si="2"/>
        <v>1330</v>
      </c>
    </row>
    <row r="65" spans="1:32" ht="12.75">
      <c r="A65" s="198">
        <v>61</v>
      </c>
      <c r="B65" s="24" t="s">
        <v>683</v>
      </c>
      <c r="G65" s="24">
        <f>41244-55</f>
        <v>41189</v>
      </c>
      <c r="J65" s="26">
        <f t="shared" si="0"/>
        <v>41189</v>
      </c>
      <c r="AE65" s="26">
        <f t="shared" si="1"/>
        <v>0</v>
      </c>
      <c r="AF65" s="24">
        <f t="shared" si="2"/>
        <v>41189</v>
      </c>
    </row>
    <row r="66" spans="2:32" ht="12.75">
      <c r="B66" s="24" t="s">
        <v>1461</v>
      </c>
      <c r="G66" s="24">
        <v>3562</v>
      </c>
      <c r="J66" s="26">
        <f t="shared" si="0"/>
        <v>3562</v>
      </c>
      <c r="AF66" s="24">
        <f t="shared" si="2"/>
        <v>3562</v>
      </c>
    </row>
    <row r="67" spans="1:32" s="26" customFormat="1" ht="12.75">
      <c r="A67" s="249">
        <v>62</v>
      </c>
      <c r="B67" s="26" t="s">
        <v>684</v>
      </c>
      <c r="C67" s="26">
        <f aca="true" t="shared" si="18" ref="C67:I67">SUM(C59:C65)</f>
        <v>0</v>
      </c>
      <c r="D67" s="26">
        <f t="shared" si="18"/>
        <v>0</v>
      </c>
      <c r="E67" s="26">
        <f t="shared" si="18"/>
        <v>0</v>
      </c>
      <c r="F67" s="26">
        <f t="shared" si="18"/>
        <v>0</v>
      </c>
      <c r="G67" s="26">
        <f>SUM(G59:G66)</f>
        <v>117516</v>
      </c>
      <c r="H67" s="26">
        <f t="shared" si="18"/>
        <v>0</v>
      </c>
      <c r="I67" s="26">
        <f t="shared" si="18"/>
        <v>0</v>
      </c>
      <c r="J67" s="26">
        <f t="shared" si="0"/>
        <v>117516</v>
      </c>
      <c r="L67" s="26">
        <f aca="true" t="shared" si="19" ref="L67:AD67">SUM(L59:L65)</f>
        <v>0</v>
      </c>
      <c r="M67" s="26">
        <f t="shared" si="19"/>
        <v>0</v>
      </c>
      <c r="N67" s="26">
        <f t="shared" si="19"/>
        <v>0</v>
      </c>
      <c r="O67" s="26">
        <f t="shared" si="19"/>
        <v>0</v>
      </c>
      <c r="P67" s="26">
        <f t="shared" si="19"/>
        <v>0</v>
      </c>
      <c r="Q67" s="26">
        <f t="shared" si="19"/>
        <v>0</v>
      </c>
      <c r="R67" s="26">
        <f t="shared" si="19"/>
        <v>0</v>
      </c>
      <c r="S67" s="26">
        <f t="shared" si="19"/>
        <v>0</v>
      </c>
      <c r="T67" s="26">
        <f t="shared" si="19"/>
        <v>0</v>
      </c>
      <c r="U67" s="26">
        <f t="shared" si="19"/>
        <v>0</v>
      </c>
      <c r="V67" s="26">
        <f t="shared" si="19"/>
        <v>0</v>
      </c>
      <c r="W67" s="26">
        <f t="shared" si="19"/>
        <v>0</v>
      </c>
      <c r="X67" s="26">
        <f t="shared" si="19"/>
        <v>0</v>
      </c>
      <c r="Y67" s="26">
        <f t="shared" si="19"/>
        <v>0</v>
      </c>
      <c r="Z67" s="26">
        <f t="shared" si="19"/>
        <v>0</v>
      </c>
      <c r="AA67" s="26">
        <f t="shared" si="19"/>
        <v>0</v>
      </c>
      <c r="AB67" s="26">
        <f t="shared" si="19"/>
        <v>0</v>
      </c>
      <c r="AC67" s="26">
        <f t="shared" si="19"/>
        <v>0</v>
      </c>
      <c r="AD67" s="26">
        <f t="shared" si="19"/>
        <v>0</v>
      </c>
      <c r="AE67" s="26">
        <f t="shared" si="1"/>
        <v>0</v>
      </c>
      <c r="AF67" s="24">
        <f t="shared" si="2"/>
        <v>117516</v>
      </c>
    </row>
    <row r="68" spans="1:32" s="26" customFormat="1" ht="12.75">
      <c r="A68" s="198">
        <v>63</v>
      </c>
      <c r="J68" s="26">
        <f t="shared" si="0"/>
        <v>0</v>
      </c>
      <c r="AE68" s="26">
        <f t="shared" si="1"/>
        <v>0</v>
      </c>
      <c r="AF68" s="24">
        <f t="shared" si="2"/>
        <v>0</v>
      </c>
    </row>
    <row r="69" spans="1:32" s="26" customFormat="1" ht="12.75">
      <c r="A69" s="198">
        <v>64</v>
      </c>
      <c r="B69" s="26" t="s">
        <v>1290</v>
      </c>
      <c r="C69" s="26">
        <v>299000</v>
      </c>
      <c r="J69" s="26">
        <f t="shared" si="0"/>
        <v>299000</v>
      </c>
      <c r="AE69" s="26">
        <f t="shared" si="1"/>
        <v>0</v>
      </c>
      <c r="AF69" s="24">
        <f t="shared" si="2"/>
        <v>299000</v>
      </c>
    </row>
    <row r="70" spans="1:32" ht="12.75">
      <c r="A70" s="198">
        <v>65</v>
      </c>
      <c r="J70" s="26">
        <f t="shared" si="0"/>
        <v>0</v>
      </c>
      <c r="AE70" s="26">
        <f t="shared" si="1"/>
        <v>0</v>
      </c>
      <c r="AF70" s="24">
        <f t="shared" si="2"/>
        <v>0</v>
      </c>
    </row>
    <row r="71" spans="1:32" s="26" customFormat="1" ht="12.75">
      <c r="A71" s="249">
        <v>66</v>
      </c>
      <c r="B71" s="26" t="s">
        <v>685</v>
      </c>
      <c r="C71" s="26">
        <f>SUM(C10,C13,C18,C23,C26,C32,C36,C39,C51,C52,C57,C67,C69+C53)</f>
        <v>390925</v>
      </c>
      <c r="D71" s="26">
        <f>SUM(D10,D13,D18,D23,D26,D32,D36,D39,D51,D52,D57,D67,D69+D53)</f>
        <v>428</v>
      </c>
      <c r="E71" s="26">
        <f>SUM(E10,E13,E18,E23,E26,E32,E36,E39,E51,E52,E57,E67,E69)</f>
        <v>156508</v>
      </c>
      <c r="F71" s="26">
        <f>SUM(F10,F13,F18,F23,F26,F32,F36,F39,F51,F52,F57,F67,F69)</f>
        <v>2720</v>
      </c>
      <c r="G71" s="26">
        <f>SUM(G10,G13,G18,G23,G26,G32,G36,G39,G51,G52,G57,G67,G69)</f>
        <v>126657</v>
      </c>
      <c r="H71" s="26">
        <f>SUM(H10,H13,H18,H23,H26,H32,H36,H39,H51,H52,H57,H67,H69)</f>
        <v>537</v>
      </c>
      <c r="I71" s="26">
        <f>SUM(I10,I13,I18,I23,I26,I32,I36,I39,I51,I52,I57,I67,I69)</f>
        <v>2299</v>
      </c>
      <c r="J71" s="26">
        <f t="shared" si="0"/>
        <v>680074</v>
      </c>
      <c r="K71" s="26">
        <f>SUM(K10,K13,K18,K23,K26,K32,K36,K39,K51,K52,K57,K67,K69)</f>
        <v>849</v>
      </c>
      <c r="L71" s="26">
        <f>SUM(L10,L13,L18,L23,L26,L32,L36,L39,L51,L52,L57,L67,L69)</f>
        <v>10718</v>
      </c>
      <c r="M71" s="26">
        <f>SUM(M10,M13,M18,M23,M26,M32,M36,M39,M51,M57,M52,M67)</f>
        <v>3940</v>
      </c>
      <c r="N71" s="26">
        <f>SUM(N10,N13,N18,N23,N26,N32,N36,N39,N51,N57,N52,N67)</f>
        <v>2195</v>
      </c>
      <c r="O71" s="26">
        <f>SUM(O10,O13,O18,O23,O26,O32,O36,O39,O51,O57,O52,O67)</f>
        <v>5620</v>
      </c>
      <c r="P71" s="26">
        <f>SUM(P10,P13,P18,P23,P26,P32,P36,P39,P51,P57,P52,P67)</f>
        <v>4577</v>
      </c>
      <c r="Q71" s="26">
        <f>SUM(Q10,Q13,Q18,Q23,Q26,Q32,Q36,Q39,Q51,Q57,Q52,Q67)</f>
        <v>5750</v>
      </c>
      <c r="R71" s="26">
        <f aca="true" t="shared" si="20" ref="R71:AC71">SUM(R10,R13,R18,R23,R26,R32,R36,R39,R51,R52,R57,R67,R69)</f>
        <v>2963</v>
      </c>
      <c r="S71" s="26">
        <f t="shared" si="20"/>
        <v>14794</v>
      </c>
      <c r="T71" s="26">
        <f t="shared" si="20"/>
        <v>280</v>
      </c>
      <c r="U71" s="26">
        <f t="shared" si="20"/>
        <v>2110</v>
      </c>
      <c r="V71" s="26">
        <f t="shared" si="20"/>
        <v>16917</v>
      </c>
      <c r="W71" s="26">
        <f t="shared" si="20"/>
        <v>50</v>
      </c>
      <c r="X71" s="26">
        <f t="shared" si="20"/>
        <v>51</v>
      </c>
      <c r="Y71" s="26">
        <f t="shared" si="20"/>
        <v>2233</v>
      </c>
      <c r="Z71" s="26">
        <f t="shared" si="20"/>
        <v>4501</v>
      </c>
      <c r="AA71" s="26">
        <f t="shared" si="20"/>
        <v>1755</v>
      </c>
      <c r="AB71" s="26">
        <f t="shared" si="20"/>
        <v>683</v>
      </c>
      <c r="AC71" s="26">
        <f t="shared" si="20"/>
        <v>370</v>
      </c>
      <c r="AD71" s="26">
        <f>SUM(AD10,AD13,AD18,AD23,AD26,AD32,AD36,AD39,AD51,AD57,AD52,AD67)</f>
        <v>195</v>
      </c>
      <c r="AE71" s="26">
        <f t="shared" si="1"/>
        <v>79702</v>
      </c>
      <c r="AF71" s="24">
        <f t="shared" si="2"/>
        <v>760625</v>
      </c>
    </row>
    <row r="72" ht="12.75">
      <c r="J72" s="26">
        <f>SUM(C71:I71)</f>
        <v>680074</v>
      </c>
    </row>
    <row r="73" ht="12.75"/>
    <row r="74" ht="15" customHeight="1">
      <c r="AE74" s="26">
        <v>79702</v>
      </c>
    </row>
    <row r="80" spans="2:31" ht="12.75">
      <c r="B80" s="26"/>
      <c r="C80" s="26"/>
      <c r="D80" s="26"/>
      <c r="E80" s="26"/>
      <c r="F80" s="26"/>
      <c r="G80" s="26"/>
      <c r="H80" s="26"/>
      <c r="I80" s="26"/>
      <c r="L80" s="26"/>
      <c r="M80" s="26"/>
      <c r="N80" s="26"/>
      <c r="O80" s="26"/>
      <c r="P80" s="26"/>
      <c r="Q80" s="26"/>
      <c r="R80" s="26"/>
      <c r="S80" s="26"/>
      <c r="T80" s="26"/>
      <c r="AE80" s="24"/>
    </row>
    <row r="81" spans="2:20" ht="12.75">
      <c r="B81" s="26"/>
      <c r="C81" s="26"/>
      <c r="D81" s="26"/>
      <c r="E81" s="26"/>
      <c r="F81" s="26"/>
      <c r="G81" s="26"/>
      <c r="H81" s="26"/>
      <c r="I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2:20" ht="12.75">
      <c r="B82" s="26"/>
      <c r="C82" s="26"/>
      <c r="D82" s="26"/>
      <c r="E82" s="26"/>
      <c r="F82" s="26"/>
      <c r="G82" s="26"/>
      <c r="H82" s="26"/>
      <c r="I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2:20" ht="12.75">
      <c r="B83" s="26"/>
      <c r="C83" s="26"/>
      <c r="D83" s="26"/>
      <c r="E83" s="26"/>
      <c r="F83" s="26"/>
      <c r="G83" s="26"/>
      <c r="H83" s="26"/>
      <c r="I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2:20" ht="12.75">
      <c r="B84" s="26"/>
      <c r="C84" s="26"/>
      <c r="D84" s="26"/>
      <c r="E84" s="26"/>
      <c r="F84" s="26"/>
      <c r="G84" s="26"/>
      <c r="H84" s="26"/>
      <c r="I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2:20" ht="12.75">
      <c r="B85" s="26"/>
      <c r="C85" s="26"/>
      <c r="D85" s="26"/>
      <c r="E85" s="26"/>
      <c r="F85" s="26"/>
      <c r="G85" s="26"/>
      <c r="H85" s="26"/>
      <c r="I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2:20" ht="12.75">
      <c r="B86" s="26"/>
      <c r="C86" s="26"/>
      <c r="D86" s="26"/>
      <c r="E86" s="26"/>
      <c r="F86" s="26"/>
      <c r="G86" s="26"/>
      <c r="H86" s="26"/>
      <c r="I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2:20" ht="12.75">
      <c r="B87" s="26"/>
      <c r="C87" s="26"/>
      <c r="D87" s="26"/>
      <c r="E87" s="26"/>
      <c r="F87" s="26"/>
      <c r="G87" s="26"/>
      <c r="H87" s="26"/>
      <c r="I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2:20" ht="12.75">
      <c r="B88" s="26"/>
      <c r="C88" s="26"/>
      <c r="D88" s="26"/>
      <c r="E88" s="26"/>
      <c r="F88" s="26"/>
      <c r="G88" s="26"/>
      <c r="H88" s="26"/>
      <c r="I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12.75">
      <c r="B89" s="26"/>
      <c r="C89" s="26"/>
      <c r="D89" s="26"/>
      <c r="E89" s="26"/>
      <c r="F89" s="26"/>
      <c r="G89" s="26"/>
      <c r="H89" s="26"/>
      <c r="I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2:20" ht="12.75">
      <c r="B90" s="26"/>
      <c r="C90" s="26"/>
      <c r="D90" s="26"/>
      <c r="E90" s="26"/>
      <c r="F90" s="26"/>
      <c r="G90" s="26"/>
      <c r="H90" s="26"/>
      <c r="I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2:20" ht="12.75">
      <c r="B91" s="26"/>
      <c r="C91" s="26"/>
      <c r="D91" s="26"/>
      <c r="E91" s="26"/>
      <c r="F91" s="26"/>
      <c r="G91" s="26"/>
      <c r="H91" s="26"/>
      <c r="I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2:20" ht="12.75">
      <c r="B92" s="26"/>
      <c r="C92" s="26"/>
      <c r="D92" s="26"/>
      <c r="E92" s="26"/>
      <c r="F92" s="26"/>
      <c r="G92" s="26"/>
      <c r="H92" s="26"/>
      <c r="I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2:20" ht="12.75">
      <c r="B93" s="26"/>
      <c r="C93" s="26"/>
      <c r="D93" s="26"/>
      <c r="E93" s="26"/>
      <c r="F93" s="26"/>
      <c r="G93" s="26"/>
      <c r="H93" s="26"/>
      <c r="I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2:20" ht="12.75">
      <c r="B94" s="26"/>
      <c r="C94" s="26"/>
      <c r="D94" s="26"/>
      <c r="E94" s="26"/>
      <c r="F94" s="26"/>
      <c r="G94" s="26"/>
      <c r="H94" s="26"/>
      <c r="I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2:20" ht="12.75">
      <c r="B95" s="26"/>
      <c r="C95" s="26"/>
      <c r="D95" s="26"/>
      <c r="E95" s="26"/>
      <c r="F95" s="26"/>
      <c r="G95" s="26"/>
      <c r="H95" s="26"/>
      <c r="I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2:20" ht="12.75">
      <c r="B96" s="26"/>
      <c r="C96" s="26"/>
      <c r="D96" s="26"/>
      <c r="E96" s="26"/>
      <c r="F96" s="26"/>
      <c r="G96" s="26"/>
      <c r="H96" s="26"/>
      <c r="I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2:20" ht="12.75">
      <c r="B97" s="26"/>
      <c r="C97" s="26"/>
      <c r="D97" s="26"/>
      <c r="E97" s="26"/>
      <c r="F97" s="26"/>
      <c r="G97" s="26"/>
      <c r="H97" s="26"/>
      <c r="I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2:20" ht="12.75">
      <c r="B98" s="26"/>
      <c r="C98" s="26"/>
      <c r="D98" s="26"/>
      <c r="E98" s="26"/>
      <c r="F98" s="26"/>
      <c r="G98" s="26"/>
      <c r="H98" s="26"/>
      <c r="I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2:20" ht="12.75">
      <c r="B99" s="26"/>
      <c r="C99" s="26"/>
      <c r="D99" s="26"/>
      <c r="E99" s="26"/>
      <c r="F99" s="26"/>
      <c r="G99" s="26"/>
      <c r="H99" s="26"/>
      <c r="I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2:20" ht="12.75">
      <c r="B100" s="26"/>
      <c r="C100" s="26"/>
      <c r="D100" s="26"/>
      <c r="E100" s="26"/>
      <c r="F100" s="26"/>
      <c r="G100" s="26"/>
      <c r="H100" s="26"/>
      <c r="I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2:20" ht="12.75">
      <c r="B101" s="26"/>
      <c r="C101" s="26"/>
      <c r="D101" s="26"/>
      <c r="E101" s="26"/>
      <c r="F101" s="26"/>
      <c r="G101" s="26"/>
      <c r="H101" s="26"/>
      <c r="I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2:20" ht="12.75">
      <c r="B102" s="26"/>
      <c r="C102" s="26"/>
      <c r="D102" s="26"/>
      <c r="E102" s="26"/>
      <c r="F102" s="26"/>
      <c r="G102" s="26"/>
      <c r="H102" s="26"/>
      <c r="I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2:20" ht="12.75">
      <c r="B103" s="26"/>
      <c r="C103" s="26"/>
      <c r="D103" s="26"/>
      <c r="E103" s="26"/>
      <c r="F103" s="26"/>
      <c r="G103" s="26"/>
      <c r="H103" s="26"/>
      <c r="I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2:20" ht="12.75">
      <c r="B104" s="26"/>
      <c r="C104" s="26"/>
      <c r="D104" s="26"/>
      <c r="E104" s="26"/>
      <c r="F104" s="26"/>
      <c r="G104" s="26"/>
      <c r="H104" s="26"/>
      <c r="I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2:20" ht="12.75">
      <c r="B105" s="26"/>
      <c r="C105" s="26"/>
      <c r="D105" s="26"/>
      <c r="E105" s="26"/>
      <c r="F105" s="26"/>
      <c r="G105" s="26"/>
      <c r="H105" s="26"/>
      <c r="I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2:20" ht="12.75">
      <c r="B106" s="26"/>
      <c r="C106" s="26"/>
      <c r="D106" s="26"/>
      <c r="E106" s="26"/>
      <c r="F106" s="26"/>
      <c r="G106" s="26"/>
      <c r="H106" s="26"/>
      <c r="I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2:20" ht="12.75">
      <c r="B107" s="26"/>
      <c r="C107" s="26"/>
      <c r="D107" s="26"/>
      <c r="E107" s="26"/>
      <c r="F107" s="26"/>
      <c r="G107" s="26"/>
      <c r="H107" s="26"/>
      <c r="I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2:20" ht="12.75">
      <c r="B108" s="26"/>
      <c r="C108" s="26"/>
      <c r="D108" s="26"/>
      <c r="E108" s="26"/>
      <c r="F108" s="26"/>
      <c r="G108" s="26"/>
      <c r="H108" s="26"/>
      <c r="I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2:20" ht="12.75">
      <c r="B109" s="26"/>
      <c r="C109" s="26"/>
      <c r="D109" s="26"/>
      <c r="E109" s="26"/>
      <c r="F109" s="26"/>
      <c r="G109" s="26"/>
      <c r="H109" s="26"/>
      <c r="I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2:20" ht="12.75">
      <c r="B110" s="26"/>
      <c r="C110" s="26"/>
      <c r="D110" s="26"/>
      <c r="E110" s="26"/>
      <c r="F110" s="26"/>
      <c r="G110" s="26"/>
      <c r="H110" s="26"/>
      <c r="I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2:20" ht="12.75">
      <c r="B111" s="26"/>
      <c r="C111" s="26"/>
      <c r="D111" s="26"/>
      <c r="E111" s="26"/>
      <c r="F111" s="26"/>
      <c r="G111" s="26"/>
      <c r="H111" s="26"/>
      <c r="I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2:20" ht="12.75">
      <c r="B112" s="26"/>
      <c r="C112" s="26"/>
      <c r="D112" s="26"/>
      <c r="E112" s="26"/>
      <c r="F112" s="26"/>
      <c r="G112" s="26"/>
      <c r="H112" s="26"/>
      <c r="I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2:20" ht="12.75">
      <c r="B113" s="26"/>
      <c r="C113" s="26"/>
      <c r="D113" s="26"/>
      <c r="E113" s="26"/>
      <c r="F113" s="26"/>
      <c r="G113" s="26"/>
      <c r="H113" s="26"/>
      <c r="I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2:20" ht="12.75">
      <c r="B114" s="26"/>
      <c r="C114" s="26"/>
      <c r="D114" s="26"/>
      <c r="E114" s="26"/>
      <c r="F114" s="26"/>
      <c r="G114" s="26"/>
      <c r="H114" s="26"/>
      <c r="I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2:20" ht="12.75">
      <c r="B115" s="26"/>
      <c r="C115" s="26"/>
      <c r="D115" s="26"/>
      <c r="E115" s="26"/>
      <c r="F115" s="26"/>
      <c r="G115" s="26"/>
      <c r="H115" s="26"/>
      <c r="I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2:20" ht="12.75">
      <c r="B116" s="26"/>
      <c r="C116" s="26"/>
      <c r="D116" s="26"/>
      <c r="E116" s="26"/>
      <c r="F116" s="26"/>
      <c r="G116" s="26"/>
      <c r="H116" s="26"/>
      <c r="I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2:20" ht="12.75">
      <c r="B117" s="26"/>
      <c r="C117" s="26"/>
      <c r="D117" s="26"/>
      <c r="E117" s="26"/>
      <c r="F117" s="26"/>
      <c r="G117" s="26"/>
      <c r="H117" s="26"/>
      <c r="I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2:20" ht="12.75">
      <c r="B118" s="26"/>
      <c r="C118" s="26"/>
      <c r="D118" s="26"/>
      <c r="E118" s="26"/>
      <c r="F118" s="26"/>
      <c r="G118" s="26"/>
      <c r="H118" s="26"/>
      <c r="I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2:20" ht="12.75">
      <c r="B119" s="26"/>
      <c r="C119" s="26"/>
      <c r="D119" s="26"/>
      <c r="E119" s="26"/>
      <c r="F119" s="26"/>
      <c r="G119" s="26"/>
      <c r="H119" s="26"/>
      <c r="I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2:20" ht="12.75">
      <c r="B120" s="26"/>
      <c r="C120" s="26"/>
      <c r="D120" s="26"/>
      <c r="E120" s="26"/>
      <c r="F120" s="26"/>
      <c r="G120" s="26"/>
      <c r="H120" s="26"/>
      <c r="I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2:20" ht="12.75">
      <c r="B121" s="26"/>
      <c r="C121" s="26"/>
      <c r="D121" s="26"/>
      <c r="E121" s="26"/>
      <c r="F121" s="26"/>
      <c r="G121" s="26"/>
      <c r="H121" s="26"/>
      <c r="I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2:20" ht="12.75">
      <c r="B122" s="26"/>
      <c r="C122" s="26"/>
      <c r="D122" s="26"/>
      <c r="E122" s="26"/>
      <c r="F122" s="26"/>
      <c r="G122" s="26"/>
      <c r="H122" s="26"/>
      <c r="I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2:20" ht="12.75">
      <c r="B123" s="26"/>
      <c r="C123" s="26"/>
      <c r="D123" s="26"/>
      <c r="E123" s="26"/>
      <c r="F123" s="26"/>
      <c r="G123" s="26"/>
      <c r="H123" s="26"/>
      <c r="I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2:20" ht="12.75">
      <c r="B124" s="26"/>
      <c r="C124" s="26"/>
      <c r="D124" s="26"/>
      <c r="E124" s="26"/>
      <c r="F124" s="26"/>
      <c r="G124" s="26"/>
      <c r="H124" s="26"/>
      <c r="I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2:20" ht="12.75">
      <c r="B125" s="26"/>
      <c r="C125" s="26"/>
      <c r="D125" s="26"/>
      <c r="E125" s="26"/>
      <c r="F125" s="26"/>
      <c r="G125" s="26"/>
      <c r="H125" s="26"/>
      <c r="I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2:20" ht="12.75">
      <c r="B126" s="26"/>
      <c r="C126" s="26"/>
      <c r="D126" s="26"/>
      <c r="E126" s="26"/>
      <c r="F126" s="26"/>
      <c r="G126" s="26"/>
      <c r="H126" s="26"/>
      <c r="I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2:20" ht="12.75">
      <c r="B127" s="26"/>
      <c r="C127" s="26"/>
      <c r="D127" s="26"/>
      <c r="E127" s="26"/>
      <c r="F127" s="26"/>
      <c r="G127" s="26"/>
      <c r="H127" s="26"/>
      <c r="I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2:20" ht="12.75">
      <c r="B128" s="26"/>
      <c r="C128" s="26"/>
      <c r="D128" s="26"/>
      <c r="E128" s="26"/>
      <c r="F128" s="26"/>
      <c r="G128" s="26"/>
      <c r="H128" s="26"/>
      <c r="I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2:20" ht="12.75">
      <c r="B129" s="26"/>
      <c r="C129" s="26"/>
      <c r="D129" s="26"/>
      <c r="E129" s="26"/>
      <c r="F129" s="26"/>
      <c r="G129" s="26"/>
      <c r="H129" s="26"/>
      <c r="I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2:20" ht="12.75">
      <c r="B130" s="26"/>
      <c r="C130" s="26"/>
      <c r="D130" s="26"/>
      <c r="E130" s="26"/>
      <c r="F130" s="26"/>
      <c r="G130" s="26"/>
      <c r="H130" s="26"/>
      <c r="I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2:20" ht="12.75">
      <c r="B131" s="26"/>
      <c r="C131" s="26"/>
      <c r="D131" s="26"/>
      <c r="E131" s="26"/>
      <c r="F131" s="26"/>
      <c r="G131" s="26"/>
      <c r="H131" s="26"/>
      <c r="I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2:20" ht="12.75">
      <c r="B132" s="26"/>
      <c r="C132" s="26"/>
      <c r="D132" s="26"/>
      <c r="E132" s="26"/>
      <c r="F132" s="26"/>
      <c r="G132" s="26"/>
      <c r="H132" s="26"/>
      <c r="I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2:20" ht="12.75">
      <c r="B133" s="26"/>
      <c r="C133" s="26"/>
      <c r="D133" s="26"/>
      <c r="E133" s="26"/>
      <c r="F133" s="26"/>
      <c r="G133" s="26"/>
      <c r="H133" s="26"/>
      <c r="I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2:20" ht="12.75">
      <c r="B134" s="26"/>
      <c r="C134" s="26"/>
      <c r="D134" s="26"/>
      <c r="E134" s="26"/>
      <c r="F134" s="26"/>
      <c r="G134" s="26"/>
      <c r="H134" s="26"/>
      <c r="I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2:20" ht="12.75">
      <c r="B135" s="26"/>
      <c r="C135" s="26"/>
      <c r="D135" s="26"/>
      <c r="E135" s="26"/>
      <c r="F135" s="26"/>
      <c r="G135" s="26"/>
      <c r="H135" s="26"/>
      <c r="I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2:20" ht="12.75">
      <c r="B136" s="26"/>
      <c r="C136" s="26"/>
      <c r="D136" s="26"/>
      <c r="E136" s="26"/>
      <c r="F136" s="26"/>
      <c r="G136" s="26"/>
      <c r="H136" s="26"/>
      <c r="I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2:20" ht="12.75">
      <c r="B137" s="26"/>
      <c r="C137" s="26"/>
      <c r="D137" s="26"/>
      <c r="E137" s="26"/>
      <c r="F137" s="26"/>
      <c r="G137" s="26"/>
      <c r="H137" s="26"/>
      <c r="I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2:20" ht="12.75">
      <c r="B138" s="26"/>
      <c r="C138" s="26"/>
      <c r="D138" s="26"/>
      <c r="E138" s="26"/>
      <c r="F138" s="26"/>
      <c r="G138" s="26"/>
      <c r="H138" s="26"/>
      <c r="I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2:20" ht="12.75">
      <c r="B139" s="26"/>
      <c r="C139" s="26"/>
      <c r="D139" s="26"/>
      <c r="E139" s="26"/>
      <c r="F139" s="26"/>
      <c r="G139" s="26"/>
      <c r="H139" s="26"/>
      <c r="I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2:20" ht="12.75">
      <c r="B140" s="26"/>
      <c r="C140" s="26"/>
      <c r="D140" s="26"/>
      <c r="E140" s="26"/>
      <c r="F140" s="26"/>
      <c r="G140" s="26"/>
      <c r="H140" s="26"/>
      <c r="I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2:20" ht="12.75">
      <c r="B141" s="26"/>
      <c r="C141" s="26"/>
      <c r="D141" s="26"/>
      <c r="E141" s="26"/>
      <c r="F141" s="26"/>
      <c r="G141" s="26"/>
      <c r="H141" s="26"/>
      <c r="I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2:20" ht="12.75">
      <c r="B142" s="26"/>
      <c r="C142" s="26"/>
      <c r="D142" s="26"/>
      <c r="E142" s="26"/>
      <c r="F142" s="26"/>
      <c r="G142" s="26"/>
      <c r="H142" s="26"/>
      <c r="I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2:20" ht="12.75">
      <c r="B143" s="26"/>
      <c r="C143" s="26"/>
      <c r="D143" s="26"/>
      <c r="E143" s="26"/>
      <c r="F143" s="26"/>
      <c r="G143" s="26"/>
      <c r="H143" s="26"/>
      <c r="I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2:20" ht="12.75">
      <c r="B144" s="26"/>
      <c r="C144" s="26"/>
      <c r="D144" s="26"/>
      <c r="E144" s="26"/>
      <c r="F144" s="26"/>
      <c r="G144" s="26"/>
      <c r="H144" s="26"/>
      <c r="I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2:20" ht="12.75">
      <c r="B145" s="26"/>
      <c r="C145" s="26"/>
      <c r="D145" s="26"/>
      <c r="E145" s="26"/>
      <c r="F145" s="26"/>
      <c r="G145" s="26"/>
      <c r="H145" s="26"/>
      <c r="I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2:20" ht="12.75">
      <c r="B146" s="26"/>
      <c r="C146" s="26"/>
      <c r="D146" s="26"/>
      <c r="E146" s="26"/>
      <c r="F146" s="26"/>
      <c r="G146" s="26"/>
      <c r="H146" s="26"/>
      <c r="I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2:20" ht="12.75">
      <c r="B147" s="26"/>
      <c r="C147" s="26"/>
      <c r="D147" s="26"/>
      <c r="E147" s="26"/>
      <c r="F147" s="26"/>
      <c r="G147" s="26"/>
      <c r="H147" s="26"/>
      <c r="I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2:20" ht="12.75">
      <c r="B148" s="26"/>
      <c r="C148" s="26"/>
      <c r="D148" s="26"/>
      <c r="E148" s="26"/>
      <c r="F148" s="26"/>
      <c r="G148" s="26"/>
      <c r="H148" s="26"/>
      <c r="I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2:20" ht="12.75">
      <c r="B149" s="26"/>
      <c r="C149" s="26"/>
      <c r="D149" s="26"/>
      <c r="E149" s="26"/>
      <c r="F149" s="26"/>
      <c r="G149" s="26"/>
      <c r="H149" s="26"/>
      <c r="I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2:20" ht="12.75">
      <c r="B150" s="26"/>
      <c r="C150" s="26"/>
      <c r="D150" s="26"/>
      <c r="E150" s="26"/>
      <c r="F150" s="26"/>
      <c r="G150" s="26"/>
      <c r="H150" s="26"/>
      <c r="I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2:20" ht="12.75">
      <c r="B151" s="26"/>
      <c r="C151" s="26"/>
      <c r="D151" s="26"/>
      <c r="E151" s="26"/>
      <c r="F151" s="26"/>
      <c r="G151" s="26"/>
      <c r="H151" s="26"/>
      <c r="I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2:20" ht="12.75">
      <c r="B152" s="26"/>
      <c r="C152" s="26"/>
      <c r="D152" s="26"/>
      <c r="E152" s="26"/>
      <c r="F152" s="26"/>
      <c r="G152" s="26"/>
      <c r="H152" s="26"/>
      <c r="I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2:20" ht="12.75">
      <c r="B153" s="26"/>
      <c r="C153" s="26"/>
      <c r="D153" s="26"/>
      <c r="E153" s="26"/>
      <c r="F153" s="26"/>
      <c r="G153" s="26"/>
      <c r="H153" s="26"/>
      <c r="I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2:20" ht="12.75">
      <c r="B154" s="26"/>
      <c r="C154" s="26"/>
      <c r="D154" s="26"/>
      <c r="E154" s="26"/>
      <c r="F154" s="26"/>
      <c r="G154" s="26"/>
      <c r="H154" s="26"/>
      <c r="I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2:20" ht="12.75">
      <c r="B155" s="26"/>
      <c r="C155" s="26"/>
      <c r="D155" s="26"/>
      <c r="E155" s="26"/>
      <c r="F155" s="26"/>
      <c r="G155" s="26"/>
      <c r="H155" s="26"/>
      <c r="I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2:20" ht="12.75">
      <c r="B156" s="26"/>
      <c r="C156" s="26"/>
      <c r="D156" s="26"/>
      <c r="E156" s="26"/>
      <c r="F156" s="26"/>
      <c r="G156" s="26"/>
      <c r="H156" s="26"/>
      <c r="I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2:20" ht="12.75">
      <c r="B157" s="26"/>
      <c r="C157" s="26"/>
      <c r="D157" s="26"/>
      <c r="E157" s="26"/>
      <c r="F157" s="26"/>
      <c r="G157" s="26"/>
      <c r="H157" s="26"/>
      <c r="I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2:20" ht="12.75">
      <c r="B158" s="26"/>
      <c r="C158" s="26"/>
      <c r="D158" s="26"/>
      <c r="E158" s="26"/>
      <c r="F158" s="26"/>
      <c r="G158" s="26"/>
      <c r="H158" s="26"/>
      <c r="I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spans="2:20" ht="12.75">
      <c r="B159" s="26"/>
      <c r="C159" s="26"/>
      <c r="D159" s="26"/>
      <c r="E159" s="26"/>
      <c r="F159" s="26"/>
      <c r="G159" s="26"/>
      <c r="H159" s="26"/>
      <c r="I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2:20" ht="12.75">
      <c r="B160" s="26"/>
      <c r="C160" s="26"/>
      <c r="D160" s="26"/>
      <c r="E160" s="26"/>
      <c r="F160" s="26"/>
      <c r="G160" s="26"/>
      <c r="H160" s="26"/>
      <c r="I160" s="26"/>
      <c r="L160" s="26"/>
      <c r="M160" s="26"/>
      <c r="N160" s="26"/>
      <c r="O160" s="26"/>
      <c r="P160" s="26"/>
      <c r="Q160" s="26"/>
      <c r="R160" s="26"/>
      <c r="S160" s="26"/>
      <c r="T160" s="26"/>
    </row>
    <row r="161" spans="2:20" ht="12.75">
      <c r="B161" s="26"/>
      <c r="C161" s="26"/>
      <c r="D161" s="26"/>
      <c r="E161" s="26"/>
      <c r="F161" s="26"/>
      <c r="G161" s="26"/>
      <c r="H161" s="26"/>
      <c r="I161" s="26"/>
      <c r="L161" s="26"/>
      <c r="M161" s="26"/>
      <c r="N161" s="26"/>
      <c r="O161" s="26"/>
      <c r="P161" s="26"/>
      <c r="Q161" s="26"/>
      <c r="R161" s="26"/>
      <c r="S161" s="26"/>
      <c r="T161" s="26"/>
    </row>
    <row r="162" spans="2:20" ht="12.75">
      <c r="B162" s="26"/>
      <c r="C162" s="26"/>
      <c r="D162" s="26"/>
      <c r="E162" s="26"/>
      <c r="F162" s="26"/>
      <c r="G162" s="26"/>
      <c r="H162" s="26"/>
      <c r="I162" s="26"/>
      <c r="L162" s="26"/>
      <c r="M162" s="26"/>
      <c r="N162" s="26"/>
      <c r="O162" s="26"/>
      <c r="P162" s="26"/>
      <c r="Q162" s="26"/>
      <c r="R162" s="26"/>
      <c r="S162" s="26"/>
      <c r="T162" s="26"/>
    </row>
    <row r="163" spans="2:20" ht="12.75">
      <c r="B163" s="26"/>
      <c r="C163" s="26"/>
      <c r="D163" s="26"/>
      <c r="E163" s="26"/>
      <c r="F163" s="26"/>
      <c r="G163" s="26"/>
      <c r="H163" s="26"/>
      <c r="I163" s="26"/>
      <c r="L163" s="26"/>
      <c r="M163" s="26"/>
      <c r="N163" s="26"/>
      <c r="O163" s="26"/>
      <c r="P163" s="26"/>
      <c r="Q163" s="26"/>
      <c r="R163" s="26"/>
      <c r="S163" s="26"/>
      <c r="T163" s="26"/>
    </row>
    <row r="164" spans="2:20" ht="12.75">
      <c r="B164" s="26"/>
      <c r="C164" s="26"/>
      <c r="D164" s="26"/>
      <c r="E164" s="26"/>
      <c r="F164" s="26"/>
      <c r="G164" s="26"/>
      <c r="H164" s="26"/>
      <c r="I164" s="26"/>
      <c r="L164" s="26"/>
      <c r="M164" s="26"/>
      <c r="N164" s="26"/>
      <c r="O164" s="26"/>
      <c r="P164" s="26"/>
      <c r="Q164" s="26"/>
      <c r="R164" s="26"/>
      <c r="S164" s="26"/>
      <c r="T164" s="26"/>
    </row>
    <row r="165" spans="2:20" ht="12.75">
      <c r="B165" s="26"/>
      <c r="C165" s="26"/>
      <c r="D165" s="26"/>
      <c r="E165" s="26"/>
      <c r="F165" s="26"/>
      <c r="G165" s="26"/>
      <c r="H165" s="26"/>
      <c r="I165" s="26"/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2:20" ht="12.75">
      <c r="B166" s="26"/>
      <c r="C166" s="26"/>
      <c r="D166" s="26"/>
      <c r="E166" s="26"/>
      <c r="F166" s="26"/>
      <c r="G166" s="26"/>
      <c r="H166" s="26"/>
      <c r="I166" s="26"/>
      <c r="L166" s="26"/>
      <c r="M166" s="26"/>
      <c r="N166" s="26"/>
      <c r="O166" s="26"/>
      <c r="P166" s="26"/>
      <c r="Q166" s="26"/>
      <c r="R166" s="26"/>
      <c r="S166" s="26"/>
      <c r="T166" s="26"/>
    </row>
    <row r="167" spans="2:20" ht="12.75">
      <c r="B167" s="26"/>
      <c r="C167" s="26"/>
      <c r="D167" s="26"/>
      <c r="E167" s="26"/>
      <c r="F167" s="26"/>
      <c r="G167" s="26"/>
      <c r="H167" s="26"/>
      <c r="I167" s="26"/>
      <c r="L167" s="26"/>
      <c r="M167" s="26"/>
      <c r="N167" s="26"/>
      <c r="O167" s="26"/>
      <c r="P167" s="26"/>
      <c r="Q167" s="26"/>
      <c r="R167" s="26"/>
      <c r="S167" s="26"/>
      <c r="T167" s="26"/>
    </row>
    <row r="168" spans="2:20" ht="12.75">
      <c r="B168" s="26"/>
      <c r="C168" s="26"/>
      <c r="D168" s="26"/>
      <c r="E168" s="26"/>
      <c r="F168" s="26"/>
      <c r="G168" s="26"/>
      <c r="H168" s="26"/>
      <c r="I168" s="26"/>
      <c r="L168" s="26"/>
      <c r="M168" s="26"/>
      <c r="N168" s="26"/>
      <c r="O168" s="26"/>
      <c r="P168" s="26"/>
      <c r="Q168" s="26"/>
      <c r="R168" s="26"/>
      <c r="S168" s="26"/>
      <c r="T168" s="26"/>
    </row>
    <row r="169" spans="2:20" ht="12.75">
      <c r="B169" s="26"/>
      <c r="C169" s="26"/>
      <c r="D169" s="26"/>
      <c r="E169" s="26"/>
      <c r="F169" s="26"/>
      <c r="G169" s="26"/>
      <c r="H169" s="26"/>
      <c r="I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2:20" ht="12.75">
      <c r="B170" s="26"/>
      <c r="C170" s="26"/>
      <c r="D170" s="26"/>
      <c r="E170" s="26"/>
      <c r="F170" s="26"/>
      <c r="G170" s="26"/>
      <c r="H170" s="26"/>
      <c r="I170" s="26"/>
      <c r="L170" s="26"/>
      <c r="M170" s="26"/>
      <c r="N170" s="26"/>
      <c r="O170" s="26"/>
      <c r="P170" s="26"/>
      <c r="Q170" s="26"/>
      <c r="R170" s="26"/>
      <c r="S170" s="26"/>
      <c r="T170" s="26"/>
    </row>
    <row r="171" spans="2:20" ht="12.75">
      <c r="B171" s="26"/>
      <c r="C171" s="26"/>
      <c r="D171" s="26"/>
      <c r="E171" s="26"/>
      <c r="F171" s="26"/>
      <c r="G171" s="26"/>
      <c r="H171" s="26"/>
      <c r="I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2:20" ht="12.75">
      <c r="B172" s="26"/>
      <c r="C172" s="26"/>
      <c r="D172" s="26"/>
      <c r="E172" s="26"/>
      <c r="F172" s="26"/>
      <c r="G172" s="26"/>
      <c r="H172" s="26"/>
      <c r="I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2:20" ht="12.75">
      <c r="B173" s="26"/>
      <c r="C173" s="26"/>
      <c r="D173" s="26"/>
      <c r="E173" s="26"/>
      <c r="F173" s="26"/>
      <c r="G173" s="26"/>
      <c r="H173" s="26"/>
      <c r="I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2:20" ht="12.75">
      <c r="B174" s="26"/>
      <c r="C174" s="26"/>
      <c r="D174" s="26"/>
      <c r="E174" s="26"/>
      <c r="F174" s="26"/>
      <c r="G174" s="26"/>
      <c r="H174" s="26"/>
      <c r="I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2:20" ht="12.75">
      <c r="B175" s="26"/>
      <c r="C175" s="26"/>
      <c r="D175" s="26"/>
      <c r="E175" s="26"/>
      <c r="F175" s="26"/>
      <c r="G175" s="26"/>
      <c r="H175" s="26"/>
      <c r="I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2:20" ht="12.75">
      <c r="B176" s="26"/>
      <c r="C176" s="26"/>
      <c r="D176" s="26"/>
      <c r="E176" s="26"/>
      <c r="F176" s="26"/>
      <c r="G176" s="26"/>
      <c r="H176" s="26"/>
      <c r="I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2:20" ht="12.75">
      <c r="B177" s="26"/>
      <c r="C177" s="26"/>
      <c r="D177" s="26"/>
      <c r="E177" s="26"/>
      <c r="F177" s="26"/>
      <c r="G177" s="26"/>
      <c r="H177" s="26"/>
      <c r="I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2:20" ht="12.75">
      <c r="B178" s="26"/>
      <c r="C178" s="26"/>
      <c r="D178" s="26"/>
      <c r="E178" s="26"/>
      <c r="F178" s="26"/>
      <c r="G178" s="26"/>
      <c r="H178" s="26"/>
      <c r="I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2:20" ht="12.75">
      <c r="B179" s="26"/>
      <c r="C179" s="26"/>
      <c r="D179" s="26"/>
      <c r="E179" s="26"/>
      <c r="F179" s="26"/>
      <c r="G179" s="26"/>
      <c r="H179" s="26"/>
      <c r="I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2:20" ht="12.75">
      <c r="B180" s="26"/>
      <c r="C180" s="26"/>
      <c r="D180" s="26"/>
      <c r="E180" s="26"/>
      <c r="F180" s="26"/>
      <c r="G180" s="26"/>
      <c r="H180" s="26"/>
      <c r="I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2:20" ht="12.75">
      <c r="B181" s="26"/>
      <c r="C181" s="26"/>
      <c r="D181" s="26"/>
      <c r="E181" s="26"/>
      <c r="F181" s="26"/>
      <c r="G181" s="26"/>
      <c r="H181" s="26"/>
      <c r="I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2:20" ht="12.75">
      <c r="B182" s="26"/>
      <c r="C182" s="26"/>
      <c r="D182" s="26"/>
      <c r="E182" s="26"/>
      <c r="F182" s="26"/>
      <c r="G182" s="26"/>
      <c r="H182" s="26"/>
      <c r="I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2:20" ht="12.75">
      <c r="B183" s="26"/>
      <c r="C183" s="26"/>
      <c r="D183" s="26"/>
      <c r="E183" s="26"/>
      <c r="F183" s="26"/>
      <c r="G183" s="26"/>
      <c r="H183" s="26"/>
      <c r="I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2:20" ht="12.75">
      <c r="B184" s="26"/>
      <c r="C184" s="26"/>
      <c r="D184" s="26"/>
      <c r="E184" s="26"/>
      <c r="F184" s="26"/>
      <c r="G184" s="26"/>
      <c r="H184" s="26"/>
      <c r="I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2:20" ht="12.75">
      <c r="B185" s="26"/>
      <c r="C185" s="26"/>
      <c r="D185" s="26"/>
      <c r="E185" s="26"/>
      <c r="F185" s="26"/>
      <c r="G185" s="26"/>
      <c r="H185" s="26"/>
      <c r="I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2:20" ht="12.75">
      <c r="B186" s="26"/>
      <c r="C186" s="26"/>
      <c r="D186" s="26"/>
      <c r="E186" s="26"/>
      <c r="F186" s="26"/>
      <c r="G186" s="26"/>
      <c r="H186" s="26"/>
      <c r="I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2:20" ht="12.75">
      <c r="B187" s="26"/>
      <c r="C187" s="26"/>
      <c r="D187" s="26"/>
      <c r="E187" s="26"/>
      <c r="F187" s="26"/>
      <c r="G187" s="26"/>
      <c r="H187" s="26"/>
      <c r="I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2:20" ht="12.75">
      <c r="B188" s="26"/>
      <c r="C188" s="26"/>
      <c r="D188" s="26"/>
      <c r="E188" s="26"/>
      <c r="F188" s="26"/>
      <c r="G188" s="26"/>
      <c r="H188" s="26"/>
      <c r="I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2:20" ht="12.75">
      <c r="B189" s="26"/>
      <c r="C189" s="26"/>
      <c r="D189" s="26"/>
      <c r="E189" s="26"/>
      <c r="F189" s="26"/>
      <c r="G189" s="26"/>
      <c r="H189" s="26"/>
      <c r="I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2:20" ht="12.75">
      <c r="B190" s="26"/>
      <c r="C190" s="26"/>
      <c r="D190" s="26"/>
      <c r="E190" s="26"/>
      <c r="F190" s="26"/>
      <c r="G190" s="26"/>
      <c r="H190" s="26"/>
      <c r="I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2:20" ht="12.75">
      <c r="B191" s="26"/>
      <c r="C191" s="26"/>
      <c r="D191" s="26"/>
      <c r="E191" s="26"/>
      <c r="F191" s="26"/>
      <c r="G191" s="26"/>
      <c r="H191" s="26"/>
      <c r="I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2:20" ht="12.75">
      <c r="B192" s="26"/>
      <c r="C192" s="26"/>
      <c r="D192" s="26"/>
      <c r="E192" s="26"/>
      <c r="F192" s="26"/>
      <c r="G192" s="26"/>
      <c r="H192" s="26"/>
      <c r="I192" s="26"/>
      <c r="L192" s="26"/>
      <c r="M192" s="26"/>
      <c r="N192" s="26"/>
      <c r="O192" s="26"/>
      <c r="P192" s="26"/>
      <c r="Q192" s="26"/>
      <c r="R192" s="26"/>
      <c r="S192" s="26"/>
      <c r="T192" s="26"/>
    </row>
  </sheetData>
  <sheetProtection/>
  <mergeCells count="6">
    <mergeCell ref="C5:J5"/>
    <mergeCell ref="L5:AE5"/>
    <mergeCell ref="A2:B2"/>
    <mergeCell ref="A1:C1"/>
    <mergeCell ref="E1:G1"/>
    <mergeCell ref="H1:J1"/>
  </mergeCells>
  <printOptions/>
  <pageMargins left="0.7" right="0.7" top="0.75" bottom="0.75" header="0.3" footer="0.3"/>
  <pageSetup horizontalDpi="200" verticalDpi="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="60" zoomScalePageLayoutView="0" workbookViewId="0" topLeftCell="A1">
      <selection activeCell="A2" sqref="A2:C2"/>
    </sheetView>
  </sheetViews>
  <sheetFormatPr defaultColWidth="9.140625" defaultRowHeight="15"/>
  <cols>
    <col min="1" max="1" width="12.28125" style="53" customWidth="1"/>
    <col min="2" max="2" width="45.57421875" style="53" customWidth="1"/>
    <col min="3" max="3" width="14.421875" style="53" bestFit="1" customWidth="1"/>
    <col min="4" max="4" width="13.421875" style="53" customWidth="1"/>
    <col min="5" max="5" width="14.8515625" style="53" customWidth="1"/>
    <col min="6" max="6" width="16.140625" style="53" customWidth="1"/>
    <col min="7" max="7" width="18.140625" style="53" customWidth="1"/>
    <col min="8" max="8" width="11.00390625" style="53" customWidth="1"/>
    <col min="9" max="9" width="14.421875" style="53" customWidth="1"/>
    <col min="10" max="10" width="14.57421875" style="53" customWidth="1"/>
    <col min="11" max="11" width="15.421875" style="53" customWidth="1"/>
    <col min="12" max="12" width="12.57421875" style="53" bestFit="1" customWidth="1"/>
    <col min="13" max="16384" width="9.140625" style="53" customWidth="1"/>
  </cols>
  <sheetData>
    <row r="1" spans="1:8" ht="18.75">
      <c r="A1" s="50"/>
      <c r="B1" s="50"/>
      <c r="C1" s="50"/>
      <c r="D1" s="50"/>
      <c r="E1" s="51"/>
      <c r="F1" s="52"/>
      <c r="G1" s="52"/>
      <c r="H1" s="52"/>
    </row>
    <row r="2" spans="1:8" ht="18.75">
      <c r="A2" s="746" t="s">
        <v>441</v>
      </c>
      <c r="B2" s="752"/>
      <c r="C2" s="752"/>
      <c r="D2" s="50"/>
      <c r="E2" s="50"/>
      <c r="F2" s="52"/>
      <c r="G2" s="52"/>
      <c r="H2" s="52"/>
    </row>
    <row r="3" spans="1:8" ht="18.75">
      <c r="A3" s="753" t="s">
        <v>916</v>
      </c>
      <c r="B3" s="754"/>
      <c r="C3" s="754"/>
      <c r="D3" s="754"/>
      <c r="E3" s="754"/>
      <c r="F3" s="52"/>
      <c r="G3" s="52"/>
      <c r="H3" s="52"/>
    </row>
    <row r="4" spans="1:11" s="196" customFormat="1" ht="18.75">
      <c r="A4" s="195"/>
      <c r="B4" s="195" t="s">
        <v>564</v>
      </c>
      <c r="C4" s="195" t="s">
        <v>565</v>
      </c>
      <c r="D4" s="195" t="s">
        <v>566</v>
      </c>
      <c r="E4" s="195" t="s">
        <v>567</v>
      </c>
      <c r="F4" s="191" t="s">
        <v>568</v>
      </c>
      <c r="G4" s="191" t="s">
        <v>689</v>
      </c>
      <c r="H4" s="191" t="s">
        <v>599</v>
      </c>
      <c r="I4" s="196" t="s">
        <v>600</v>
      </c>
      <c r="J4" s="196" t="s">
        <v>601</v>
      </c>
      <c r="K4" s="196" t="s">
        <v>602</v>
      </c>
    </row>
    <row r="5" spans="1:11" ht="37.5">
      <c r="A5" s="54">
        <v>1</v>
      </c>
      <c r="B5" s="55" t="s">
        <v>617</v>
      </c>
      <c r="C5" s="55" t="s">
        <v>917</v>
      </c>
      <c r="D5" s="55" t="s">
        <v>918</v>
      </c>
      <c r="E5" s="55" t="s">
        <v>573</v>
      </c>
      <c r="F5" s="199" t="s">
        <v>1291</v>
      </c>
      <c r="G5" s="199" t="s">
        <v>1379</v>
      </c>
      <c r="H5" s="199" t="s">
        <v>1441</v>
      </c>
      <c r="I5" s="200" t="s">
        <v>1292</v>
      </c>
      <c r="J5" s="200" t="s">
        <v>1380</v>
      </c>
      <c r="K5" s="200" t="s">
        <v>1442</v>
      </c>
    </row>
    <row r="6" spans="1:11" ht="18.75">
      <c r="A6" s="56">
        <v>2</v>
      </c>
      <c r="B6" s="57" t="s">
        <v>919</v>
      </c>
      <c r="C6" s="55"/>
      <c r="D6" s="55"/>
      <c r="E6" s="55"/>
      <c r="F6" s="201"/>
      <c r="G6" s="201"/>
      <c r="H6" s="201"/>
      <c r="I6" s="62"/>
      <c r="J6" s="62"/>
      <c r="K6" s="62"/>
    </row>
    <row r="7" spans="1:11" ht="15.75">
      <c r="A7" s="58">
        <v>3</v>
      </c>
      <c r="B7" s="54" t="s">
        <v>920</v>
      </c>
      <c r="C7" s="54"/>
      <c r="D7" s="54"/>
      <c r="E7" s="54">
        <v>3810959</v>
      </c>
      <c r="F7" s="54">
        <v>3810959</v>
      </c>
      <c r="G7" s="54">
        <v>3810959</v>
      </c>
      <c r="H7" s="54"/>
      <c r="I7" s="62"/>
      <c r="J7" s="62"/>
      <c r="K7" s="62">
        <v>3810959</v>
      </c>
    </row>
    <row r="8" spans="1:11" ht="15.75">
      <c r="A8" s="54">
        <v>4</v>
      </c>
      <c r="B8" s="54" t="s">
        <v>921</v>
      </c>
      <c r="C8" s="54"/>
      <c r="D8" s="54"/>
      <c r="E8" s="54">
        <v>10421760</v>
      </c>
      <c r="F8" s="54">
        <v>10421760</v>
      </c>
      <c r="G8" s="54">
        <v>10421760</v>
      </c>
      <c r="H8" s="54"/>
      <c r="I8" s="62"/>
      <c r="J8" s="62"/>
      <c r="K8" s="62">
        <v>10421760</v>
      </c>
    </row>
    <row r="9" spans="1:11" ht="15.75">
      <c r="A9" s="56">
        <v>5</v>
      </c>
      <c r="B9" s="54" t="s">
        <v>922</v>
      </c>
      <c r="C9" s="54"/>
      <c r="D9" s="54"/>
      <c r="E9" s="54">
        <v>100000</v>
      </c>
      <c r="F9" s="54">
        <v>100000</v>
      </c>
      <c r="G9" s="54">
        <v>100000</v>
      </c>
      <c r="H9" s="54"/>
      <c r="I9" s="62"/>
      <c r="J9" s="62"/>
      <c r="K9" s="62">
        <v>100000</v>
      </c>
    </row>
    <row r="10" spans="1:11" ht="15.75">
      <c r="A10" s="58">
        <v>6</v>
      </c>
      <c r="B10" s="54" t="s">
        <v>923</v>
      </c>
      <c r="C10" s="54"/>
      <c r="D10" s="54"/>
      <c r="E10" s="54">
        <v>5101598</v>
      </c>
      <c r="F10" s="54">
        <v>5101598</v>
      </c>
      <c r="G10" s="54">
        <v>5101598</v>
      </c>
      <c r="H10" s="54"/>
      <c r="I10" s="62"/>
      <c r="J10" s="62"/>
      <c r="K10" s="62">
        <v>5101598</v>
      </c>
    </row>
    <row r="11" spans="1:11" ht="15.75">
      <c r="A11" s="54">
        <v>7</v>
      </c>
      <c r="B11" s="54" t="s">
        <v>924</v>
      </c>
      <c r="C11" s="54"/>
      <c r="D11" s="54"/>
      <c r="E11" s="54">
        <f>SUM(E7:E10)</f>
        <v>19434317</v>
      </c>
      <c r="F11" s="54">
        <f>SUM(F7:F10)</f>
        <v>19434317</v>
      </c>
      <c r="G11" s="54">
        <f>SUM(G7:G10)</f>
        <v>19434317</v>
      </c>
      <c r="H11" s="54"/>
      <c r="I11" s="62"/>
      <c r="J11" s="62"/>
      <c r="K11" s="62">
        <f>SUM(K7:K10)</f>
        <v>19434317</v>
      </c>
    </row>
    <row r="12" spans="1:11" s="59" customFormat="1" ht="15.75">
      <c r="A12" s="56">
        <v>8</v>
      </c>
      <c r="B12" s="56" t="s">
        <v>925</v>
      </c>
      <c r="C12" s="56"/>
      <c r="D12" s="56"/>
      <c r="E12" s="56">
        <f>SUM(E11:E11)</f>
        <v>19434317</v>
      </c>
      <c r="F12" s="56">
        <f>SUM(F11:F11)</f>
        <v>19434317</v>
      </c>
      <c r="G12" s="56">
        <f>SUM(G11:G11)</f>
        <v>19434317</v>
      </c>
      <c r="H12" s="56"/>
      <c r="I12" s="202"/>
      <c r="J12" s="202"/>
      <c r="K12" s="202">
        <v>19434317</v>
      </c>
    </row>
    <row r="13" spans="1:11" ht="15.75">
      <c r="A13" s="54">
        <v>9</v>
      </c>
      <c r="B13" s="54" t="s">
        <v>926</v>
      </c>
      <c r="C13" s="54"/>
      <c r="D13" s="54"/>
      <c r="E13" s="54">
        <v>2000000</v>
      </c>
      <c r="F13" s="54">
        <v>2000000</v>
      </c>
      <c r="G13" s="54">
        <f>2000000+1171207</f>
        <v>3171207</v>
      </c>
      <c r="H13" s="54"/>
      <c r="I13" s="62"/>
      <c r="J13" s="62"/>
      <c r="K13" s="62">
        <v>3170207</v>
      </c>
    </row>
    <row r="14" spans="1:11" s="59" customFormat="1" ht="15.75">
      <c r="A14" s="56">
        <v>10</v>
      </c>
      <c r="B14" s="56" t="s">
        <v>919</v>
      </c>
      <c r="C14" s="56"/>
      <c r="D14" s="56"/>
      <c r="E14" s="56">
        <f>SUM(E12:E13)</f>
        <v>21434317</v>
      </c>
      <c r="F14" s="56">
        <f>SUM(F12:F13)</f>
        <v>21434317</v>
      </c>
      <c r="G14" s="56">
        <f>SUM(G12:G13)</f>
        <v>22605524</v>
      </c>
      <c r="H14" s="56">
        <v>22605</v>
      </c>
      <c r="I14" s="202">
        <v>11754353</v>
      </c>
      <c r="J14" s="202">
        <v>17179439</v>
      </c>
      <c r="K14" s="202">
        <f>SUM(K12:K13)</f>
        <v>22604524</v>
      </c>
    </row>
    <row r="15" spans="1:11" ht="15.75">
      <c r="A15" s="58">
        <v>11</v>
      </c>
      <c r="B15" s="54"/>
      <c r="C15" s="54"/>
      <c r="D15" s="60"/>
      <c r="E15" s="54">
        <f>C15*D15</f>
        <v>0</v>
      </c>
      <c r="F15" s="54">
        <f>D15*E15</f>
        <v>0</v>
      </c>
      <c r="G15" s="54">
        <f>E15*F15</f>
        <v>0</v>
      </c>
      <c r="H15" s="54"/>
      <c r="I15" s="62"/>
      <c r="J15" s="62"/>
      <c r="K15" s="62"/>
    </row>
    <row r="16" spans="1:11" ht="15.75">
      <c r="A16" s="54">
        <v>12</v>
      </c>
      <c r="B16" s="54" t="s">
        <v>927</v>
      </c>
      <c r="C16" s="54"/>
      <c r="D16" s="54"/>
      <c r="E16" s="54"/>
      <c r="F16" s="54"/>
      <c r="G16" s="54"/>
      <c r="H16" s="54"/>
      <c r="I16" s="62"/>
      <c r="J16" s="62"/>
      <c r="K16" s="62"/>
    </row>
    <row r="17" spans="1:11" ht="15.75">
      <c r="A17" s="56">
        <v>13</v>
      </c>
      <c r="B17" s="54" t="s">
        <v>1293</v>
      </c>
      <c r="C17" s="54"/>
      <c r="D17" s="61"/>
      <c r="E17" s="54">
        <v>14833600</v>
      </c>
      <c r="F17" s="54">
        <v>14833600</v>
      </c>
      <c r="G17" s="54">
        <v>14833600</v>
      </c>
      <c r="H17" s="54"/>
      <c r="I17" s="62">
        <v>11273536</v>
      </c>
      <c r="J17" s="62">
        <v>16520633</v>
      </c>
      <c r="K17" s="62">
        <v>16520633</v>
      </c>
    </row>
    <row r="18" spans="1:11" ht="15.75">
      <c r="A18" s="58">
        <v>14</v>
      </c>
      <c r="B18" s="54" t="s">
        <v>1294</v>
      </c>
      <c r="C18" s="54"/>
      <c r="D18" s="61"/>
      <c r="E18" s="54">
        <v>6875413</v>
      </c>
      <c r="F18" s="54">
        <v>6875413</v>
      </c>
      <c r="G18" s="54">
        <v>6875413</v>
      </c>
      <c r="H18" s="54"/>
      <c r="I18" s="62"/>
      <c r="J18" s="62"/>
      <c r="K18" s="62">
        <v>5462727</v>
      </c>
    </row>
    <row r="19" spans="1:11" ht="15.75">
      <c r="A19" s="54">
        <v>15</v>
      </c>
      <c r="B19" s="63" t="s">
        <v>930</v>
      </c>
      <c r="C19" s="54"/>
      <c r="D19" s="54"/>
      <c r="E19" s="54">
        <v>1456000</v>
      </c>
      <c r="F19" s="54">
        <v>1456000</v>
      </c>
      <c r="G19" s="54">
        <v>1456000</v>
      </c>
      <c r="H19" s="54"/>
      <c r="I19" s="62">
        <v>1106560</v>
      </c>
      <c r="J19" s="62">
        <v>1610000</v>
      </c>
      <c r="K19" s="62">
        <v>1610000</v>
      </c>
    </row>
    <row r="20" spans="1:11" ht="15.75">
      <c r="A20" s="56">
        <v>16</v>
      </c>
      <c r="B20" s="63" t="s">
        <v>931</v>
      </c>
      <c r="C20" s="54"/>
      <c r="D20" s="54"/>
      <c r="E20" s="54">
        <v>616000</v>
      </c>
      <c r="F20" s="54">
        <v>616000</v>
      </c>
      <c r="G20" s="54">
        <v>616000</v>
      </c>
      <c r="H20" s="54"/>
      <c r="I20" s="62"/>
      <c r="J20" s="62"/>
      <c r="K20" s="62">
        <v>518000</v>
      </c>
    </row>
    <row r="21" spans="1:12" ht="27" customHeight="1">
      <c r="A21" s="54">
        <v>17</v>
      </c>
      <c r="B21" s="56" t="s">
        <v>932</v>
      </c>
      <c r="C21" s="56"/>
      <c r="D21" s="56"/>
      <c r="E21" s="56">
        <f>SUM(E17:E20)</f>
        <v>23781013</v>
      </c>
      <c r="F21" s="56">
        <f>SUM(F17:F20)</f>
        <v>23781013</v>
      </c>
      <c r="G21" s="56">
        <f>SUM(G17:G20)</f>
        <v>23781013</v>
      </c>
      <c r="H21" s="56">
        <v>24111</v>
      </c>
      <c r="I21" s="56">
        <f>SUM(I17:I20)</f>
        <v>12380096</v>
      </c>
      <c r="J21" s="56">
        <f>SUM(J17:J20)</f>
        <v>18130633</v>
      </c>
      <c r="K21" s="56">
        <f>SUM(K17:K20)</f>
        <v>24111360</v>
      </c>
      <c r="L21" s="53">
        <v>24111360</v>
      </c>
    </row>
    <row r="22" spans="1:11" ht="15.75" customHeight="1">
      <c r="A22" s="56">
        <v>18</v>
      </c>
      <c r="B22" s="54"/>
      <c r="C22" s="54"/>
      <c r="D22" s="54"/>
      <c r="E22" s="54"/>
      <c r="F22" s="201"/>
      <c r="G22" s="201"/>
      <c r="H22" s="201"/>
      <c r="I22" s="62"/>
      <c r="J22" s="62"/>
      <c r="K22" s="62"/>
    </row>
    <row r="23" spans="1:11" ht="35.25" customHeight="1">
      <c r="A23" s="58">
        <v>19</v>
      </c>
      <c r="B23" s="64" t="s">
        <v>1295</v>
      </c>
      <c r="C23" s="54"/>
      <c r="D23" s="54"/>
      <c r="E23" s="54"/>
      <c r="F23" s="201"/>
      <c r="G23" s="201"/>
      <c r="H23" s="201"/>
      <c r="I23" s="62"/>
      <c r="J23" s="62"/>
      <c r="K23" s="62"/>
    </row>
    <row r="24" spans="1:11" ht="15.75">
      <c r="A24" s="54">
        <v>20</v>
      </c>
      <c r="B24" s="56"/>
      <c r="C24" s="56"/>
      <c r="D24" s="56"/>
      <c r="E24" s="56"/>
      <c r="F24" s="56"/>
      <c r="G24" s="56"/>
      <c r="H24" s="56"/>
      <c r="I24" s="62"/>
      <c r="J24" s="62"/>
      <c r="K24" s="62"/>
    </row>
    <row r="25" spans="1:11" ht="15.75">
      <c r="A25" s="56">
        <v>21</v>
      </c>
      <c r="B25" s="56" t="s">
        <v>933</v>
      </c>
      <c r="C25" s="56"/>
      <c r="D25" s="56"/>
      <c r="E25" s="54">
        <v>1170207</v>
      </c>
      <c r="F25" s="54">
        <v>1170207</v>
      </c>
      <c r="G25" s="54">
        <v>1170207</v>
      </c>
      <c r="H25" s="54"/>
      <c r="I25" s="62">
        <v>731640</v>
      </c>
      <c r="J25" s="62">
        <v>1069320</v>
      </c>
      <c r="K25" s="62">
        <v>1407000</v>
      </c>
    </row>
    <row r="26" spans="1:11" ht="18.75">
      <c r="A26" s="58">
        <v>22</v>
      </c>
      <c r="B26" s="56" t="s">
        <v>935</v>
      </c>
      <c r="C26" s="54"/>
      <c r="D26" s="54"/>
      <c r="E26" s="54"/>
      <c r="F26" s="201"/>
      <c r="G26" s="201"/>
      <c r="H26" s="201"/>
      <c r="I26" s="62"/>
      <c r="J26" s="62"/>
      <c r="K26" s="62"/>
    </row>
    <row r="27" spans="1:11" ht="18.75">
      <c r="A27" s="54">
        <v>23</v>
      </c>
      <c r="B27" s="54" t="s">
        <v>559</v>
      </c>
      <c r="C27" s="54">
        <v>16</v>
      </c>
      <c r="D27" s="54">
        <v>55360</v>
      </c>
      <c r="E27" s="54">
        <f>C27*D27</f>
        <v>885760</v>
      </c>
      <c r="F27" s="201">
        <v>885760</v>
      </c>
      <c r="G27" s="201">
        <v>885760</v>
      </c>
      <c r="H27" s="201"/>
      <c r="I27" s="62">
        <v>460596</v>
      </c>
      <c r="J27" s="62">
        <v>589028</v>
      </c>
      <c r="K27" s="62">
        <v>664320</v>
      </c>
    </row>
    <row r="28" spans="1:11" ht="18.75">
      <c r="A28" s="56">
        <v>24</v>
      </c>
      <c r="B28" s="54" t="s">
        <v>936</v>
      </c>
      <c r="C28" s="54">
        <v>1</v>
      </c>
      <c r="D28" s="54">
        <v>2500000</v>
      </c>
      <c r="E28" s="54">
        <f>C28*D28</f>
        <v>2500000</v>
      </c>
      <c r="F28" s="201">
        <v>2500000</v>
      </c>
      <c r="G28" s="201">
        <v>2500000</v>
      </c>
      <c r="H28" s="201"/>
      <c r="I28" s="62">
        <v>1300000</v>
      </c>
      <c r="J28" s="62">
        <v>1900000</v>
      </c>
      <c r="K28" s="62">
        <v>2500000</v>
      </c>
    </row>
    <row r="29" spans="1:11" ht="18.75">
      <c r="A29" s="54">
        <v>25</v>
      </c>
      <c r="B29" s="54" t="s">
        <v>937</v>
      </c>
      <c r="C29" s="54"/>
      <c r="D29" s="54"/>
      <c r="E29" s="54">
        <v>1407000</v>
      </c>
      <c r="F29" s="201">
        <v>1407000</v>
      </c>
      <c r="G29" s="201">
        <v>1407000</v>
      </c>
      <c r="H29" s="201"/>
      <c r="I29" s="62"/>
      <c r="J29" s="62"/>
      <c r="K29" s="62"/>
    </row>
    <row r="30" spans="1:11" ht="18.75">
      <c r="A30" s="56">
        <v>26</v>
      </c>
      <c r="B30" s="54" t="s">
        <v>1296</v>
      </c>
      <c r="C30" s="54"/>
      <c r="D30" s="54"/>
      <c r="E30" s="54"/>
      <c r="F30" s="201">
        <v>136000</v>
      </c>
      <c r="G30" s="201">
        <v>180848</v>
      </c>
      <c r="H30" s="201"/>
      <c r="I30" s="62">
        <v>135636</v>
      </c>
      <c r="J30" s="62">
        <v>180848</v>
      </c>
      <c r="K30" s="62">
        <v>248666</v>
      </c>
    </row>
    <row r="31" spans="1:11" ht="18.75">
      <c r="A31" s="58">
        <v>27</v>
      </c>
      <c r="B31" s="56" t="s">
        <v>535</v>
      </c>
      <c r="C31" s="56"/>
      <c r="D31" s="56"/>
      <c r="E31" s="56">
        <f>SUM(E27:E30)</f>
        <v>4792760</v>
      </c>
      <c r="F31" s="201">
        <f>SUM(F27:F30)</f>
        <v>4928760</v>
      </c>
      <c r="G31" s="201">
        <f>SUM(G27:G30)</f>
        <v>4973608</v>
      </c>
      <c r="H31" s="201"/>
      <c r="I31" s="201">
        <f>SUM(I27:I30)</f>
        <v>1896232</v>
      </c>
      <c r="J31" s="201">
        <f>SUM(J27:J30)</f>
        <v>2669876</v>
      </c>
      <c r="K31" s="201">
        <f>SUM(K27:K30)</f>
        <v>3412986</v>
      </c>
    </row>
    <row r="32" spans="1:11" ht="18.75">
      <c r="A32" s="54">
        <v>28</v>
      </c>
      <c r="B32" s="56"/>
      <c r="C32" s="56"/>
      <c r="D32" s="56"/>
      <c r="E32" s="56"/>
      <c r="F32" s="201"/>
      <c r="G32" s="201"/>
      <c r="H32" s="201"/>
      <c r="I32" s="62"/>
      <c r="J32" s="62"/>
      <c r="K32" s="62"/>
    </row>
    <row r="33" spans="1:11" ht="19.5" customHeight="1">
      <c r="A33" s="56">
        <v>29</v>
      </c>
      <c r="B33" s="56" t="s">
        <v>938</v>
      </c>
      <c r="C33" s="56"/>
      <c r="D33" s="56"/>
      <c r="E33" s="56">
        <f>SUM(E25:E29)</f>
        <v>5962967</v>
      </c>
      <c r="F33" s="203">
        <f>F25+F31</f>
        <v>6098967</v>
      </c>
      <c r="G33" s="203">
        <f>G25+G31</f>
        <v>6143815</v>
      </c>
      <c r="H33" s="203"/>
      <c r="I33" s="203">
        <f>I25+I31</f>
        <v>2627872</v>
      </c>
      <c r="J33" s="203">
        <f>J25+J31</f>
        <v>3739196</v>
      </c>
      <c r="K33" s="203">
        <f>K25+K31</f>
        <v>4819986</v>
      </c>
    </row>
    <row r="34" spans="1:11" ht="19.5" customHeight="1">
      <c r="A34" s="58">
        <v>30</v>
      </c>
      <c r="B34" s="56" t="s">
        <v>940</v>
      </c>
      <c r="C34" s="56"/>
      <c r="D34" s="56"/>
      <c r="E34" s="56"/>
      <c r="F34" s="201"/>
      <c r="G34" s="201"/>
      <c r="H34" s="201"/>
      <c r="I34" s="62"/>
      <c r="J34" s="62"/>
      <c r="K34" s="62"/>
    </row>
    <row r="35" spans="1:11" ht="19.5" customHeight="1">
      <c r="A35" s="54">
        <v>31</v>
      </c>
      <c r="B35" s="54" t="s">
        <v>1297</v>
      </c>
      <c r="C35" s="56"/>
      <c r="D35" s="56"/>
      <c r="E35" s="56">
        <v>5809920</v>
      </c>
      <c r="F35" s="201">
        <v>5809920</v>
      </c>
      <c r="G35" s="201">
        <v>5809920</v>
      </c>
      <c r="H35" s="201"/>
      <c r="I35" s="62">
        <v>3021161</v>
      </c>
      <c r="J35" s="62">
        <v>4415543</v>
      </c>
      <c r="K35" s="62">
        <v>5728320</v>
      </c>
    </row>
    <row r="36" spans="1:11" ht="18.75">
      <c r="A36" s="56">
        <v>32</v>
      </c>
      <c r="B36" s="54" t="s">
        <v>1298</v>
      </c>
      <c r="C36" s="56"/>
      <c r="D36" s="56"/>
      <c r="E36" s="56">
        <v>10996034</v>
      </c>
      <c r="F36" s="201">
        <v>10996034</v>
      </c>
      <c r="G36" s="201">
        <v>11161034</v>
      </c>
      <c r="H36" s="201"/>
      <c r="I36" s="62">
        <v>5717939</v>
      </c>
      <c r="J36" s="62">
        <v>8796829</v>
      </c>
      <c r="K36" s="62">
        <v>11574773</v>
      </c>
    </row>
    <row r="37" spans="1:11" ht="15.75">
      <c r="A37" s="54">
        <v>33</v>
      </c>
      <c r="B37" s="56" t="s">
        <v>1299</v>
      </c>
      <c r="C37" s="56"/>
      <c r="D37" s="56"/>
      <c r="E37" s="56">
        <f>SUM(E35:E36)</f>
        <v>16805954</v>
      </c>
      <c r="F37" s="56">
        <f>SUM(F35:F36)</f>
        <v>16805954</v>
      </c>
      <c r="G37" s="56">
        <f>SUM(G35:G36)</f>
        <v>16970954</v>
      </c>
      <c r="H37" s="56">
        <v>24445</v>
      </c>
      <c r="I37" s="56">
        <f>SUM(I35:I36)</f>
        <v>8739100</v>
      </c>
      <c r="J37" s="56">
        <f>SUM(J35:J36)</f>
        <v>13212372</v>
      </c>
      <c r="K37" s="56">
        <f>SUM(K35:K36)</f>
        <v>17303093</v>
      </c>
    </row>
    <row r="38" spans="1:11" ht="18.75">
      <c r="A38" s="56">
        <v>34</v>
      </c>
      <c r="B38" s="56"/>
      <c r="C38" s="56"/>
      <c r="D38" s="56"/>
      <c r="E38" s="56"/>
      <c r="F38" s="201"/>
      <c r="G38" s="201"/>
      <c r="H38" s="201"/>
      <c r="I38" s="62"/>
      <c r="J38" s="62"/>
      <c r="K38" s="62"/>
    </row>
    <row r="39" spans="1:11" s="59" customFormat="1" ht="15.75">
      <c r="A39" s="58">
        <v>35</v>
      </c>
      <c r="B39" s="56" t="s">
        <v>1300</v>
      </c>
      <c r="C39" s="56"/>
      <c r="D39" s="56"/>
      <c r="E39" s="56">
        <f aca="true" t="shared" si="0" ref="E39:K39">SUM(E37+E33+E21+E14)</f>
        <v>67984251</v>
      </c>
      <c r="F39" s="56">
        <f t="shared" si="0"/>
        <v>68120251</v>
      </c>
      <c r="G39" s="56">
        <f t="shared" si="0"/>
        <v>69501306</v>
      </c>
      <c r="H39" s="56">
        <f t="shared" si="0"/>
        <v>71161</v>
      </c>
      <c r="I39" s="56">
        <f t="shared" si="0"/>
        <v>35501421</v>
      </c>
      <c r="J39" s="56">
        <f t="shared" si="0"/>
        <v>52261640</v>
      </c>
      <c r="K39" s="56">
        <f t="shared" si="0"/>
        <v>68838963</v>
      </c>
    </row>
    <row r="40" spans="1:11" ht="18.75">
      <c r="A40" s="54">
        <v>36</v>
      </c>
      <c r="B40" s="54"/>
      <c r="C40" s="54"/>
      <c r="D40" s="54"/>
      <c r="E40" s="56"/>
      <c r="F40" s="201"/>
      <c r="G40" s="201"/>
      <c r="H40" s="201"/>
      <c r="I40" s="62"/>
      <c r="J40" s="62"/>
      <c r="K40" s="62"/>
    </row>
    <row r="41" spans="1:11" ht="18.75">
      <c r="A41" s="56">
        <v>37</v>
      </c>
      <c r="B41" s="62" t="s">
        <v>681</v>
      </c>
      <c r="C41" s="62"/>
      <c r="D41" s="62"/>
      <c r="E41" s="62">
        <v>1603975</v>
      </c>
      <c r="F41" s="201">
        <v>1603975</v>
      </c>
      <c r="G41" s="201">
        <v>1603975</v>
      </c>
      <c r="H41" s="201">
        <v>1604</v>
      </c>
      <c r="I41" s="62">
        <v>834067</v>
      </c>
      <c r="J41" s="62">
        <v>1219021</v>
      </c>
      <c r="K41" s="62">
        <v>1603980</v>
      </c>
    </row>
    <row r="42" spans="1:11" ht="18.75">
      <c r="A42" s="58">
        <v>38</v>
      </c>
      <c r="B42" s="62"/>
      <c r="C42" s="62"/>
      <c r="D42" s="62"/>
      <c r="E42" s="62"/>
      <c r="F42" s="201"/>
      <c r="G42" s="201"/>
      <c r="H42" s="201"/>
      <c r="I42" s="62"/>
      <c r="J42" s="62"/>
      <c r="K42" s="62"/>
    </row>
    <row r="43" spans="1:11" ht="18.75">
      <c r="A43" s="54">
        <v>39</v>
      </c>
      <c r="B43" s="54" t="s">
        <v>941</v>
      </c>
      <c r="C43" s="54">
        <v>15441919</v>
      </c>
      <c r="D43" s="60">
        <v>1.5</v>
      </c>
      <c r="E43" s="54">
        <f>C43*D43</f>
        <v>23162878.5</v>
      </c>
      <c r="F43" s="201">
        <v>23162879</v>
      </c>
      <c r="G43" s="201">
        <v>23162879</v>
      </c>
      <c r="H43" s="201"/>
      <c r="I43" s="62">
        <v>12035621</v>
      </c>
      <c r="J43" s="62">
        <v>17590523</v>
      </c>
      <c r="K43" s="62">
        <v>23145422</v>
      </c>
    </row>
    <row r="44" spans="1:11" ht="18.75">
      <c r="A44" s="56">
        <v>40</v>
      </c>
      <c r="B44" s="54" t="s">
        <v>942</v>
      </c>
      <c r="C44" s="54">
        <v>93183</v>
      </c>
      <c r="D44" s="54">
        <v>4</v>
      </c>
      <c r="E44" s="54">
        <v>372732</v>
      </c>
      <c r="F44" s="201">
        <v>372732</v>
      </c>
      <c r="G44" s="201">
        <v>372732</v>
      </c>
      <c r="H44" s="201"/>
      <c r="I44" s="62">
        <v>186366</v>
      </c>
      <c r="J44" s="62">
        <v>279549</v>
      </c>
      <c r="K44" s="62">
        <v>372731</v>
      </c>
    </row>
    <row r="45" spans="1:11" ht="18.75">
      <c r="A45" s="54">
        <v>41</v>
      </c>
      <c r="B45" s="54" t="s">
        <v>1301</v>
      </c>
      <c r="C45" s="54"/>
      <c r="D45" s="54"/>
      <c r="E45" s="54"/>
      <c r="F45" s="201">
        <v>2024000</v>
      </c>
      <c r="G45" s="201">
        <v>2024000</v>
      </c>
      <c r="H45" s="201"/>
      <c r="I45" s="62">
        <f>1733620+290449</f>
        <v>2024069</v>
      </c>
      <c r="J45" s="62">
        <v>2892622</v>
      </c>
      <c r="K45" s="62">
        <v>3555492</v>
      </c>
    </row>
    <row r="46" spans="1:11" ht="18.75">
      <c r="A46" s="56">
        <v>42</v>
      </c>
      <c r="B46" s="54" t="s">
        <v>1302</v>
      </c>
      <c r="C46" s="54"/>
      <c r="D46" s="54"/>
      <c r="E46" s="54"/>
      <c r="F46" s="201">
        <v>158000</v>
      </c>
      <c r="G46" s="201">
        <v>158000</v>
      </c>
      <c r="H46" s="201"/>
      <c r="I46" s="62">
        <v>158400</v>
      </c>
      <c r="J46" s="62">
        <v>158400</v>
      </c>
      <c r="K46" s="62">
        <f>158400+99000</f>
        <v>257400</v>
      </c>
    </row>
    <row r="47" spans="1:11" ht="18.75">
      <c r="A47" s="58">
        <v>43</v>
      </c>
      <c r="B47" s="54" t="s">
        <v>1303</v>
      </c>
      <c r="C47" s="54"/>
      <c r="D47" s="54"/>
      <c r="E47" s="54"/>
      <c r="F47" s="201">
        <v>12734000</v>
      </c>
      <c r="G47" s="201">
        <v>12734000</v>
      </c>
      <c r="H47" s="201"/>
      <c r="I47" s="62">
        <v>12734200</v>
      </c>
      <c r="J47" s="62">
        <v>12734200</v>
      </c>
      <c r="K47" s="62">
        <v>12734200</v>
      </c>
    </row>
    <row r="48" spans="1:11" ht="18.75">
      <c r="A48" s="54">
        <v>44</v>
      </c>
      <c r="B48" s="54" t="s">
        <v>1381</v>
      </c>
      <c r="C48" s="54"/>
      <c r="D48" s="54"/>
      <c r="E48" s="54"/>
      <c r="F48" s="201"/>
      <c r="G48" s="201">
        <v>325000</v>
      </c>
      <c r="H48" s="201"/>
      <c r="I48" s="62"/>
      <c r="J48" s="62">
        <v>325000</v>
      </c>
      <c r="K48" s="62">
        <v>325000</v>
      </c>
    </row>
    <row r="49" spans="1:11" ht="18.75">
      <c r="A49" s="56">
        <v>45</v>
      </c>
      <c r="B49" s="54" t="s">
        <v>1382</v>
      </c>
      <c r="C49" s="54"/>
      <c r="D49" s="54"/>
      <c r="E49" s="54"/>
      <c r="F49" s="201"/>
      <c r="G49" s="201">
        <v>17000</v>
      </c>
      <c r="H49" s="201"/>
      <c r="I49" s="62"/>
      <c r="J49" s="62">
        <v>17000</v>
      </c>
      <c r="K49" s="62">
        <v>17000</v>
      </c>
    </row>
    <row r="50" spans="1:11" ht="18.75">
      <c r="A50" s="58">
        <v>46</v>
      </c>
      <c r="B50" s="54" t="s">
        <v>1304</v>
      </c>
      <c r="C50" s="54"/>
      <c r="D50" s="54"/>
      <c r="E50" s="54"/>
      <c r="F50" s="201">
        <v>55000</v>
      </c>
      <c r="G50" s="201">
        <v>55000</v>
      </c>
      <c r="H50" s="201"/>
      <c r="I50" s="62">
        <v>55360</v>
      </c>
      <c r="J50" s="62">
        <v>55360</v>
      </c>
      <c r="K50" s="62">
        <v>55360</v>
      </c>
    </row>
    <row r="51" spans="1:11" ht="15.75">
      <c r="A51" s="54">
        <v>47</v>
      </c>
      <c r="B51" s="54" t="s">
        <v>943</v>
      </c>
      <c r="C51" s="54"/>
      <c r="D51" s="54"/>
      <c r="E51" s="54">
        <f>SUM(E43:E50)</f>
        <v>23535610.5</v>
      </c>
      <c r="F51" s="54">
        <f>SUM(F43:F50)</f>
        <v>38506611</v>
      </c>
      <c r="G51" s="54">
        <f>SUM(G43:G50)</f>
        <v>38848611</v>
      </c>
      <c r="H51" s="54">
        <v>41244</v>
      </c>
      <c r="I51" s="54">
        <f>SUM(I43:I50)</f>
        <v>27194016</v>
      </c>
      <c r="J51" s="54">
        <f>SUM(J43:J50)</f>
        <v>34052654</v>
      </c>
      <c r="K51" s="54">
        <f>SUM(K43:K50)</f>
        <v>40462605</v>
      </c>
    </row>
    <row r="52" spans="1:11" ht="36.75" customHeight="1">
      <c r="A52" s="56">
        <v>48</v>
      </c>
      <c r="B52" s="56"/>
      <c r="C52" s="56"/>
      <c r="D52" s="56"/>
      <c r="E52" s="56"/>
      <c r="F52" s="201"/>
      <c r="G52" s="201"/>
      <c r="H52" s="201"/>
      <c r="I52" s="62"/>
      <c r="J52" s="62"/>
      <c r="K52" s="62"/>
    </row>
    <row r="53" spans="1:11" ht="18.75">
      <c r="A53" s="54">
        <v>49</v>
      </c>
      <c r="B53" s="56"/>
      <c r="C53" s="56"/>
      <c r="D53" s="56"/>
      <c r="E53" s="56"/>
      <c r="F53" s="201"/>
      <c r="G53" s="201"/>
      <c r="H53" s="201"/>
      <c r="I53" s="62"/>
      <c r="J53" s="62"/>
      <c r="K53" s="62"/>
    </row>
    <row r="54" spans="1:11" ht="24" customHeight="1">
      <c r="A54" s="56">
        <v>50</v>
      </c>
      <c r="B54" s="64" t="s">
        <v>1305</v>
      </c>
      <c r="C54" s="54"/>
      <c r="D54" s="54"/>
      <c r="E54" s="54"/>
      <c r="F54" s="62"/>
      <c r="G54" s="62"/>
      <c r="H54" s="62"/>
      <c r="I54" s="62"/>
      <c r="J54" s="62"/>
      <c r="K54" s="62"/>
    </row>
    <row r="55" spans="1:11" ht="24.75" customHeight="1">
      <c r="A55" s="58">
        <v>51</v>
      </c>
      <c r="B55" s="54" t="s">
        <v>944</v>
      </c>
      <c r="C55" s="54"/>
      <c r="D55" s="54"/>
      <c r="E55" s="54">
        <v>486</v>
      </c>
      <c r="F55" s="62">
        <v>486000</v>
      </c>
      <c r="G55" s="62">
        <v>486000</v>
      </c>
      <c r="H55" s="62"/>
      <c r="I55" s="62">
        <v>314388</v>
      </c>
      <c r="J55" s="62">
        <v>428679</v>
      </c>
      <c r="K55" s="62">
        <v>504873</v>
      </c>
    </row>
    <row r="56" spans="1:11" ht="21.75" customHeight="1">
      <c r="A56" s="54">
        <v>52</v>
      </c>
      <c r="B56" s="54" t="s">
        <v>945</v>
      </c>
      <c r="C56" s="54"/>
      <c r="D56" s="54"/>
      <c r="E56" s="54">
        <v>1512</v>
      </c>
      <c r="F56" s="62">
        <v>1512000</v>
      </c>
      <c r="G56" s="62">
        <v>1512000</v>
      </c>
      <c r="H56" s="62"/>
      <c r="I56" s="62">
        <v>954560</v>
      </c>
      <c r="J56" s="62">
        <v>1129056</v>
      </c>
      <c r="K56" s="62">
        <v>1330912</v>
      </c>
    </row>
    <row r="57" spans="1:11" ht="24.75" customHeight="1">
      <c r="A57" s="56">
        <v>53</v>
      </c>
      <c r="B57" s="54" t="s">
        <v>1113</v>
      </c>
      <c r="C57" s="54"/>
      <c r="D57" s="54"/>
      <c r="E57" s="54">
        <v>1134</v>
      </c>
      <c r="F57" s="62">
        <v>1134000</v>
      </c>
      <c r="G57" s="62">
        <v>1134000</v>
      </c>
      <c r="H57" s="62"/>
      <c r="I57" s="62">
        <v>449010</v>
      </c>
      <c r="J57" s="62">
        <v>605070</v>
      </c>
      <c r="K57" s="62">
        <v>735030</v>
      </c>
    </row>
    <row r="58" spans="1:11" ht="15.75">
      <c r="A58" s="58">
        <v>54</v>
      </c>
      <c r="B58" s="56" t="s">
        <v>535</v>
      </c>
      <c r="C58" s="56"/>
      <c r="D58" s="56">
        <f>SUM(D55:D57)</f>
        <v>0</v>
      </c>
      <c r="E58" s="56">
        <v>3132</v>
      </c>
      <c r="F58" s="56">
        <f>SUM(F55:F57)</f>
        <v>3132000</v>
      </c>
      <c r="G58" s="56">
        <f>SUM(G55:G57)</f>
        <v>3132000</v>
      </c>
      <c r="H58" s="56"/>
      <c r="I58" s="56">
        <f>SUM(I55:I57)</f>
        <v>1717958</v>
      </c>
      <c r="J58" s="56">
        <f>SUM(J55:J57)</f>
        <v>2162805</v>
      </c>
      <c r="K58" s="56">
        <f>SUM(K55:K57)</f>
        <v>2570815</v>
      </c>
    </row>
    <row r="59" spans="1:11" ht="15.75">
      <c r="A59" s="54">
        <v>55</v>
      </c>
      <c r="B59" s="62" t="s">
        <v>1443</v>
      </c>
      <c r="C59" s="62"/>
      <c r="D59" s="62"/>
      <c r="E59" s="62"/>
      <c r="F59" s="62"/>
      <c r="G59" s="62"/>
      <c r="H59" s="62"/>
      <c r="I59" s="62"/>
      <c r="J59" s="62"/>
      <c r="K59" s="62">
        <v>533400</v>
      </c>
    </row>
    <row r="60" spans="1:11" ht="15.75">
      <c r="A60" s="56">
        <v>56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.75">
      <c r="A61" s="54">
        <v>57</v>
      </c>
      <c r="B61" s="54" t="s">
        <v>1114</v>
      </c>
      <c r="C61" s="54"/>
      <c r="D61" s="60"/>
      <c r="E61" s="56">
        <f aca="true" t="shared" si="1" ref="E61:J61">(E39+E41+E51)+E58</f>
        <v>93126968.5</v>
      </c>
      <c r="F61" s="56">
        <f t="shared" si="1"/>
        <v>111362837</v>
      </c>
      <c r="G61" s="56">
        <f t="shared" si="1"/>
        <v>113085892</v>
      </c>
      <c r="H61" s="56">
        <f t="shared" si="1"/>
        <v>114009</v>
      </c>
      <c r="I61" s="56">
        <f t="shared" si="1"/>
        <v>65247462</v>
      </c>
      <c r="J61" s="56">
        <f t="shared" si="1"/>
        <v>89696120</v>
      </c>
      <c r="K61" s="56">
        <f>(K39+K41+K51)+K58+K53+K59</f>
        <v>114009763</v>
      </c>
    </row>
  </sheetData>
  <sheetProtection/>
  <mergeCells count="2">
    <mergeCell ref="A3:E3"/>
    <mergeCell ref="A2:C2"/>
  </mergeCells>
  <printOptions/>
  <pageMargins left="0.7" right="0.7" top="0.75" bottom="0.75" header="0.3" footer="0.3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T64"/>
  <sheetViews>
    <sheetView view="pageBreakPreview" zoomScale="60" zoomScalePageLayoutView="0" workbookViewId="0" topLeftCell="A1">
      <pane xSplit="3" ySplit="7" topLeftCell="AR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59" sqref="AI59"/>
    </sheetView>
  </sheetViews>
  <sheetFormatPr defaultColWidth="9.140625" defaultRowHeight="15"/>
  <cols>
    <col min="1" max="2" width="9.140625" style="204" customWidth="1"/>
    <col min="3" max="3" width="42.00390625" style="204" customWidth="1"/>
    <col min="4" max="9" width="10.00390625" style="204" customWidth="1"/>
    <col min="10" max="10" width="8.57421875" style="204" customWidth="1"/>
    <col min="11" max="17" width="9.57421875" style="204" customWidth="1"/>
    <col min="18" max="19" width="12.8515625" style="204" customWidth="1"/>
    <col min="20" max="21" width="9.7109375" style="204" customWidth="1"/>
    <col min="22" max="22" width="9.8515625" style="204" customWidth="1"/>
    <col min="23" max="24" width="9.140625" style="204" customWidth="1"/>
    <col min="25" max="31" width="9.57421875" style="204" customWidth="1"/>
    <col min="32" max="33" width="12.140625" style="204" customWidth="1"/>
    <col min="34" max="35" width="11.57421875" style="204" customWidth="1"/>
    <col min="36" max="36" width="10.140625" style="204" customWidth="1"/>
    <col min="37" max="38" width="10.28125" style="204" customWidth="1"/>
    <col min="39" max="39" width="8.28125" style="204" customWidth="1"/>
    <col min="40" max="40" width="10.140625" style="204" customWidth="1"/>
    <col min="41" max="42" width="9.7109375" style="204" customWidth="1"/>
    <col min="43" max="43" width="10.28125" style="204" customWidth="1"/>
    <col min="44" max="52" width="10.140625" style="204" customWidth="1"/>
    <col min="53" max="59" width="8.00390625" style="204" customWidth="1"/>
    <col min="60" max="60" width="10.7109375" style="204" customWidth="1"/>
    <col min="61" max="67" width="9.140625" style="204" customWidth="1"/>
    <col min="68" max="68" width="13.421875" style="204" customWidth="1"/>
    <col min="69" max="16384" width="9.140625" style="204" customWidth="1"/>
  </cols>
  <sheetData>
    <row r="1" spans="1:3" ht="15">
      <c r="A1" s="746" t="s">
        <v>442</v>
      </c>
      <c r="B1" s="746"/>
      <c r="C1" s="746"/>
    </row>
    <row r="2" spans="3:10" ht="18">
      <c r="C2" s="27" t="s">
        <v>688</v>
      </c>
      <c r="D2" s="205"/>
      <c r="E2" s="205"/>
      <c r="F2" s="205"/>
      <c r="G2" s="205"/>
      <c r="H2" s="205"/>
      <c r="I2" s="205"/>
      <c r="J2" s="205"/>
    </row>
    <row r="3" spans="3:10" ht="18">
      <c r="C3" s="27"/>
      <c r="D3" s="205"/>
      <c r="E3" s="205"/>
      <c r="F3" s="205"/>
      <c r="G3" s="205"/>
      <c r="H3" s="205"/>
      <c r="I3" s="205"/>
      <c r="J3" s="205"/>
    </row>
    <row r="4" spans="3:10" ht="18">
      <c r="C4" s="27"/>
      <c r="D4" s="205"/>
      <c r="E4" s="205"/>
      <c r="F4" s="205"/>
      <c r="G4" s="205"/>
      <c r="H4" s="205"/>
      <c r="I4" s="205"/>
      <c r="J4" s="205"/>
    </row>
    <row r="5" spans="1:67" s="207" customFormat="1" ht="15">
      <c r="A5" s="206"/>
      <c r="B5" s="206" t="s">
        <v>564</v>
      </c>
      <c r="C5" s="206" t="s">
        <v>565</v>
      </c>
      <c r="D5" s="206" t="s">
        <v>566</v>
      </c>
      <c r="E5" s="206" t="s">
        <v>567</v>
      </c>
      <c r="F5" s="206" t="s">
        <v>568</v>
      </c>
      <c r="G5" s="206" t="s">
        <v>689</v>
      </c>
      <c r="H5" s="206" t="s">
        <v>599</v>
      </c>
      <c r="I5" s="206" t="s">
        <v>600</v>
      </c>
      <c r="J5" s="206" t="s">
        <v>601</v>
      </c>
      <c r="K5" s="206" t="s">
        <v>1406</v>
      </c>
      <c r="L5" s="206" t="s">
        <v>603</v>
      </c>
      <c r="M5" s="206" t="s">
        <v>604</v>
      </c>
      <c r="N5" s="206" t="s">
        <v>1407</v>
      </c>
      <c r="O5" s="206" t="s">
        <v>606</v>
      </c>
      <c r="P5" s="206" t="s">
        <v>730</v>
      </c>
      <c r="Q5" s="206" t="s">
        <v>607</v>
      </c>
      <c r="R5" s="206" t="s">
        <v>731</v>
      </c>
      <c r="S5" s="206" t="s">
        <v>608</v>
      </c>
      <c r="T5" s="206" t="s">
        <v>609</v>
      </c>
      <c r="U5" s="206" t="s">
        <v>610</v>
      </c>
      <c r="V5" s="206" t="s">
        <v>611</v>
      </c>
      <c r="W5" s="206" t="s">
        <v>612</v>
      </c>
      <c r="X5" s="206" t="s">
        <v>613</v>
      </c>
      <c r="Y5" s="206" t="s">
        <v>614</v>
      </c>
      <c r="Z5" s="206" t="s">
        <v>615</v>
      </c>
      <c r="AA5" s="206" t="s">
        <v>616</v>
      </c>
      <c r="AB5" s="206" t="s">
        <v>1250</v>
      </c>
      <c r="AC5" s="206" t="s">
        <v>770</v>
      </c>
      <c r="AD5" s="206" t="s">
        <v>771</v>
      </c>
      <c r="AE5" s="206" t="s">
        <v>772</v>
      </c>
      <c r="AF5" s="206" t="s">
        <v>773</v>
      </c>
      <c r="AG5" s="206" t="s">
        <v>774</v>
      </c>
      <c r="AH5" s="206" t="s">
        <v>1251</v>
      </c>
      <c r="AI5" s="206" t="s">
        <v>1252</v>
      </c>
      <c r="AJ5" s="206" t="s">
        <v>1253</v>
      </c>
      <c r="AK5" s="209" t="s">
        <v>1254</v>
      </c>
      <c r="AL5" s="209" t="s">
        <v>1255</v>
      </c>
      <c r="AM5" s="209" t="s">
        <v>1256</v>
      </c>
      <c r="AN5" s="209" t="s">
        <v>1257</v>
      </c>
      <c r="AO5" s="206" t="s">
        <v>1258</v>
      </c>
      <c r="AP5" s="206" t="s">
        <v>1259</v>
      </c>
      <c r="AQ5" s="206" t="s">
        <v>775</v>
      </c>
      <c r="AR5" s="206" t="s">
        <v>776</v>
      </c>
      <c r="AS5" s="206" t="s">
        <v>777</v>
      </c>
      <c r="AT5" s="206" t="s">
        <v>1260</v>
      </c>
      <c r="AU5" s="206" t="s">
        <v>778</v>
      </c>
      <c r="AV5" s="206" t="s">
        <v>779</v>
      </c>
      <c r="AW5" s="206" t="s">
        <v>780</v>
      </c>
      <c r="AX5" s="206" t="s">
        <v>781</v>
      </c>
      <c r="AY5" s="206" t="s">
        <v>1408</v>
      </c>
      <c r="AZ5" s="206" t="s">
        <v>782</v>
      </c>
      <c r="BA5" s="206" t="s">
        <v>782</v>
      </c>
      <c r="BB5" s="206" t="s">
        <v>783</v>
      </c>
      <c r="BC5" s="206" t="s">
        <v>784</v>
      </c>
      <c r="BD5" s="206" t="s">
        <v>1409</v>
      </c>
      <c r="BE5" s="206" t="s">
        <v>1410</v>
      </c>
      <c r="BF5" s="206" t="s">
        <v>1411</v>
      </c>
      <c r="BG5" s="206" t="s">
        <v>1412</v>
      </c>
      <c r="BH5" s="206" t="s">
        <v>1413</v>
      </c>
      <c r="BI5" s="206" t="s">
        <v>1414</v>
      </c>
      <c r="BJ5" s="206" t="s">
        <v>1415</v>
      </c>
      <c r="BK5" s="206" t="s">
        <v>1416</v>
      </c>
      <c r="BL5" s="206" t="s">
        <v>1417</v>
      </c>
      <c r="BM5" s="206" t="s">
        <v>1418</v>
      </c>
      <c r="BN5" s="206" t="s">
        <v>1419</v>
      </c>
      <c r="BO5" s="206" t="s">
        <v>1420</v>
      </c>
    </row>
    <row r="6" spans="1:67" ht="72" customHeight="1">
      <c r="A6" s="208">
        <v>1</v>
      </c>
      <c r="B6" s="208"/>
      <c r="C6" s="28" t="s">
        <v>617</v>
      </c>
      <c r="D6" s="758" t="s">
        <v>690</v>
      </c>
      <c r="E6" s="759"/>
      <c r="F6" s="759"/>
      <c r="G6" s="759"/>
      <c r="H6" s="759"/>
      <c r="I6" s="759"/>
      <c r="J6" s="760"/>
      <c r="K6" s="755" t="s">
        <v>691</v>
      </c>
      <c r="L6" s="756"/>
      <c r="M6" s="756"/>
      <c r="N6" s="756"/>
      <c r="O6" s="756"/>
      <c r="P6" s="756"/>
      <c r="Q6" s="757"/>
      <c r="R6" s="758" t="s">
        <v>692</v>
      </c>
      <c r="S6" s="759"/>
      <c r="T6" s="759"/>
      <c r="U6" s="759"/>
      <c r="V6" s="759"/>
      <c r="W6" s="759"/>
      <c r="X6" s="760"/>
      <c r="Y6" s="758" t="s">
        <v>693</v>
      </c>
      <c r="Z6" s="759"/>
      <c r="AA6" s="759"/>
      <c r="AB6" s="759"/>
      <c r="AC6" s="759"/>
      <c r="AD6" s="759"/>
      <c r="AE6" s="760"/>
      <c r="AF6" s="758" t="s">
        <v>694</v>
      </c>
      <c r="AG6" s="759"/>
      <c r="AH6" s="759"/>
      <c r="AI6" s="759"/>
      <c r="AJ6" s="759"/>
      <c r="AK6" s="759"/>
      <c r="AL6" s="760"/>
      <c r="AM6" s="758" t="s">
        <v>695</v>
      </c>
      <c r="AN6" s="759"/>
      <c r="AO6" s="759"/>
      <c r="AP6" s="759"/>
      <c r="AQ6" s="759"/>
      <c r="AR6" s="759"/>
      <c r="AS6" s="760"/>
      <c r="AT6" s="755" t="s">
        <v>696</v>
      </c>
      <c r="AU6" s="756"/>
      <c r="AV6" s="756"/>
      <c r="AW6" s="756"/>
      <c r="AX6" s="756"/>
      <c r="AY6" s="756"/>
      <c r="AZ6" s="757"/>
      <c r="BA6" s="758" t="s">
        <v>697</v>
      </c>
      <c r="BB6" s="759"/>
      <c r="BC6" s="759"/>
      <c r="BD6" s="759"/>
      <c r="BE6" s="759"/>
      <c r="BF6" s="759"/>
      <c r="BG6" s="760"/>
      <c r="BH6" s="761" t="s">
        <v>698</v>
      </c>
      <c r="BI6" s="762"/>
      <c r="BJ6" s="762"/>
      <c r="BK6" s="762"/>
      <c r="BL6" s="762"/>
      <c r="BM6" s="762"/>
      <c r="BN6" s="762"/>
      <c r="BO6" s="763"/>
    </row>
    <row r="7" spans="1:67" ht="25.5">
      <c r="A7" s="208">
        <v>2</v>
      </c>
      <c r="B7" s="208"/>
      <c r="C7" s="28"/>
      <c r="D7" s="209" t="s">
        <v>1306</v>
      </c>
      <c r="E7" s="209" t="s">
        <v>1307</v>
      </c>
      <c r="F7" s="209" t="s">
        <v>1383</v>
      </c>
      <c r="G7" s="209" t="s">
        <v>1421</v>
      </c>
      <c r="H7" s="209" t="s">
        <v>1308</v>
      </c>
      <c r="I7" s="209" t="s">
        <v>1369</v>
      </c>
      <c r="J7" s="209" t="s">
        <v>1422</v>
      </c>
      <c r="K7" s="209" t="s">
        <v>1306</v>
      </c>
      <c r="L7" s="209" t="s">
        <v>1307</v>
      </c>
      <c r="M7" s="209" t="s">
        <v>1383</v>
      </c>
      <c r="N7" s="209" t="s">
        <v>1421</v>
      </c>
      <c r="O7" s="209" t="s">
        <v>1308</v>
      </c>
      <c r="P7" s="209" t="s">
        <v>1369</v>
      </c>
      <c r="Q7" s="209" t="s">
        <v>1422</v>
      </c>
      <c r="R7" s="209" t="s">
        <v>1306</v>
      </c>
      <c r="S7" s="209" t="s">
        <v>1307</v>
      </c>
      <c r="T7" s="209" t="s">
        <v>1383</v>
      </c>
      <c r="U7" s="209" t="s">
        <v>1421</v>
      </c>
      <c r="V7" s="209" t="s">
        <v>1308</v>
      </c>
      <c r="W7" s="209" t="s">
        <v>1369</v>
      </c>
      <c r="X7" s="209" t="s">
        <v>1422</v>
      </c>
      <c r="Y7" s="209" t="s">
        <v>1306</v>
      </c>
      <c r="Z7" s="209" t="s">
        <v>1307</v>
      </c>
      <c r="AA7" s="209" t="s">
        <v>1383</v>
      </c>
      <c r="AB7" s="209" t="s">
        <v>1421</v>
      </c>
      <c r="AC7" s="209" t="s">
        <v>1308</v>
      </c>
      <c r="AD7" s="209" t="s">
        <v>1369</v>
      </c>
      <c r="AE7" s="209" t="s">
        <v>1422</v>
      </c>
      <c r="AF7" s="209" t="s">
        <v>1306</v>
      </c>
      <c r="AG7" s="209" t="s">
        <v>1307</v>
      </c>
      <c r="AH7" s="209" t="s">
        <v>1383</v>
      </c>
      <c r="AI7" s="209" t="s">
        <v>1421</v>
      </c>
      <c r="AJ7" s="209" t="s">
        <v>1308</v>
      </c>
      <c r="AK7" s="209" t="s">
        <v>1369</v>
      </c>
      <c r="AL7" s="209" t="s">
        <v>1422</v>
      </c>
      <c r="AM7" s="209" t="s">
        <v>1306</v>
      </c>
      <c r="AN7" s="209" t="s">
        <v>1307</v>
      </c>
      <c r="AO7" s="209" t="s">
        <v>1383</v>
      </c>
      <c r="AP7" s="209" t="s">
        <v>1421</v>
      </c>
      <c r="AQ7" s="209" t="s">
        <v>1308</v>
      </c>
      <c r="AR7" s="209" t="s">
        <v>1369</v>
      </c>
      <c r="AS7" s="209" t="s">
        <v>1422</v>
      </c>
      <c r="AT7" s="209" t="s">
        <v>1306</v>
      </c>
      <c r="AU7" s="209" t="s">
        <v>1307</v>
      </c>
      <c r="AV7" s="209" t="s">
        <v>1383</v>
      </c>
      <c r="AW7" s="209" t="s">
        <v>1421</v>
      </c>
      <c r="AX7" s="209" t="s">
        <v>1308</v>
      </c>
      <c r="AY7" s="209" t="s">
        <v>1369</v>
      </c>
      <c r="AZ7" s="209" t="s">
        <v>1422</v>
      </c>
      <c r="BA7" s="209" t="s">
        <v>1306</v>
      </c>
      <c r="BB7" s="209" t="s">
        <v>1307</v>
      </c>
      <c r="BC7" s="209" t="s">
        <v>1383</v>
      </c>
      <c r="BD7" s="209" t="s">
        <v>1421</v>
      </c>
      <c r="BE7" s="209" t="s">
        <v>1308</v>
      </c>
      <c r="BF7" s="209" t="s">
        <v>1369</v>
      </c>
      <c r="BG7" s="209" t="s">
        <v>1422</v>
      </c>
      <c r="BH7" s="209" t="s">
        <v>1306</v>
      </c>
      <c r="BI7" s="209" t="s">
        <v>1307</v>
      </c>
      <c r="BJ7" s="209" t="s">
        <v>1383</v>
      </c>
      <c r="BK7" s="209" t="s">
        <v>1421</v>
      </c>
      <c r="BL7" s="209" t="s">
        <v>1308</v>
      </c>
      <c r="BM7" s="209" t="s">
        <v>1369</v>
      </c>
      <c r="BN7" s="209" t="s">
        <v>1422</v>
      </c>
      <c r="BO7" s="209" t="s">
        <v>1309</v>
      </c>
    </row>
    <row r="8" spans="1:72" ht="15">
      <c r="A8" s="208">
        <v>3</v>
      </c>
      <c r="B8" s="31">
        <v>841112</v>
      </c>
      <c r="C8" s="28" t="s">
        <v>574</v>
      </c>
      <c r="D8" s="32">
        <v>5915</v>
      </c>
      <c r="E8" s="32">
        <v>5915</v>
      </c>
      <c r="F8" s="32">
        <v>5467</v>
      </c>
      <c r="G8" s="32">
        <f>'[7]7.K.részletező'!C52</f>
        <v>5433</v>
      </c>
      <c r="H8" s="32">
        <f>2744+267</f>
        <v>3011</v>
      </c>
      <c r="I8" s="32">
        <v>4121</v>
      </c>
      <c r="J8" s="32">
        <v>5312</v>
      </c>
      <c r="K8" s="33">
        <v>1597</v>
      </c>
      <c r="L8" s="33">
        <v>1597</v>
      </c>
      <c r="M8" s="33">
        <v>1597</v>
      </c>
      <c r="N8" s="33">
        <f>'[7]7.K.részletező'!C58</f>
        <v>1480</v>
      </c>
      <c r="O8" s="33">
        <v>699</v>
      </c>
      <c r="P8" s="33">
        <v>1048</v>
      </c>
      <c r="Q8" s="33">
        <v>1351</v>
      </c>
      <c r="R8" s="32">
        <v>2834</v>
      </c>
      <c r="S8" s="32">
        <f>2834+200+137-120-200</f>
        <v>2851</v>
      </c>
      <c r="T8" s="32">
        <v>3051</v>
      </c>
      <c r="U8" s="32">
        <f>'[7]7.K.részletező'!C107</f>
        <v>3665</v>
      </c>
      <c r="V8" s="32">
        <f>137+1672-79+79</f>
        <v>1809</v>
      </c>
      <c r="W8" s="32">
        <v>2228</v>
      </c>
      <c r="X8" s="32">
        <v>3014</v>
      </c>
      <c r="Y8" s="32">
        <v>574</v>
      </c>
      <c r="Z8" s="32">
        <f>21695+12734+158-12081-9040-12734-158</f>
        <v>574</v>
      </c>
      <c r="AA8" s="32">
        <v>574</v>
      </c>
      <c r="AB8" s="32">
        <f>'[7]7.K.részletező'!C111</f>
        <v>574</v>
      </c>
      <c r="AC8" s="210"/>
      <c r="AD8" s="210"/>
      <c r="AE8" s="210"/>
      <c r="AF8" s="32">
        <f aca="true" t="shared" si="0" ref="AF8:AL15">Y8+R8+K8+D8</f>
        <v>10920</v>
      </c>
      <c r="AG8" s="32">
        <f t="shared" si="0"/>
        <v>10937</v>
      </c>
      <c r="AH8" s="32">
        <f t="shared" si="0"/>
        <v>10689</v>
      </c>
      <c r="AI8" s="32">
        <f t="shared" si="0"/>
        <v>11152</v>
      </c>
      <c r="AJ8" s="32">
        <f t="shared" si="0"/>
        <v>5519</v>
      </c>
      <c r="AK8" s="32">
        <f t="shared" si="0"/>
        <v>7397</v>
      </c>
      <c r="AL8" s="32">
        <f t="shared" si="0"/>
        <v>9677</v>
      </c>
      <c r="AM8" s="32">
        <v>7765</v>
      </c>
      <c r="AN8" s="32">
        <f>7765-7165-600</f>
        <v>0</v>
      </c>
      <c r="AO8" s="32"/>
      <c r="AP8" s="32"/>
      <c r="AQ8" s="32"/>
      <c r="AR8" s="32"/>
      <c r="AS8" s="32"/>
      <c r="AT8" s="30"/>
      <c r="AU8" s="30">
        <f>3875+6350+2170+89+900-13384</f>
        <v>0</v>
      </c>
      <c r="AV8" s="30"/>
      <c r="AW8" s="30"/>
      <c r="AX8" s="30"/>
      <c r="AY8" s="30"/>
      <c r="AZ8" s="30"/>
      <c r="BA8" s="30">
        <f>AT8+AM8</f>
        <v>7765</v>
      </c>
      <c r="BB8" s="30">
        <f aca="true" t="shared" si="1" ref="BB8:BD14">AN8+AU8</f>
        <v>0</v>
      </c>
      <c r="BC8" s="30">
        <f t="shared" si="1"/>
        <v>0</v>
      </c>
      <c r="BD8" s="30"/>
      <c r="BE8" s="30">
        <f aca="true" t="shared" si="2" ref="BE8:BG14">AQ8+AX8</f>
        <v>0</v>
      </c>
      <c r="BF8" s="30">
        <f t="shared" si="2"/>
        <v>0</v>
      </c>
      <c r="BG8" s="30">
        <f t="shared" si="2"/>
        <v>0</v>
      </c>
      <c r="BH8" s="29">
        <f>AF8+BA8</f>
        <v>18685</v>
      </c>
      <c r="BI8" s="211">
        <f>BB8+AG8</f>
        <v>10937</v>
      </c>
      <c r="BJ8" s="211">
        <f>BC8+AH8</f>
        <v>10689</v>
      </c>
      <c r="BK8" s="211">
        <f>BD8+AI8</f>
        <v>11152</v>
      </c>
      <c r="BL8" s="211">
        <f aca="true" t="shared" si="3" ref="BL8:BN14">BE8+AJ8</f>
        <v>5519</v>
      </c>
      <c r="BM8" s="211">
        <f t="shared" si="3"/>
        <v>7397</v>
      </c>
      <c r="BN8" s="211">
        <f t="shared" si="3"/>
        <v>9677</v>
      </c>
      <c r="BO8" s="211">
        <f aca="true" t="shared" si="4" ref="BO8:BO15">BN8/BK8*100</f>
        <v>86.77367288378765</v>
      </c>
      <c r="BP8" s="240"/>
      <c r="BQ8" s="240" t="s">
        <v>1444</v>
      </c>
      <c r="BR8" s="240" t="s">
        <v>1445</v>
      </c>
      <c r="BS8" s="204">
        <v>150</v>
      </c>
      <c r="BT8" s="254"/>
    </row>
    <row r="9" spans="1:72" ht="15">
      <c r="A9" s="208">
        <v>4</v>
      </c>
      <c r="B9" s="208"/>
      <c r="C9" s="28" t="s">
        <v>699</v>
      </c>
      <c r="D9" s="32"/>
      <c r="E9" s="32"/>
      <c r="F9" s="32"/>
      <c r="G9" s="32"/>
      <c r="H9" s="32"/>
      <c r="I9" s="32"/>
      <c r="J9" s="32"/>
      <c r="K9" s="33"/>
      <c r="L9" s="33"/>
      <c r="M9" s="33"/>
      <c r="N9" s="33"/>
      <c r="O9" s="33"/>
      <c r="P9" s="33"/>
      <c r="Q9" s="33"/>
      <c r="R9" s="32"/>
      <c r="S9" s="32"/>
      <c r="T9" s="32"/>
      <c r="U9" s="32"/>
      <c r="V9" s="32"/>
      <c r="W9" s="32"/>
      <c r="X9" s="32"/>
      <c r="Y9" s="32">
        <v>21944</v>
      </c>
      <c r="Z9" s="32">
        <v>21944</v>
      </c>
      <c r="AA9" s="32">
        <v>23245</v>
      </c>
      <c r="AB9" s="32">
        <f>'[7]7.K.részletező'!C110</f>
        <v>23353</v>
      </c>
      <c r="AC9" s="32">
        <v>10972</v>
      </c>
      <c r="AD9" s="32">
        <v>15930</v>
      </c>
      <c r="AE9" s="32">
        <v>23433</v>
      </c>
      <c r="AF9" s="32">
        <f t="shared" si="0"/>
        <v>21944</v>
      </c>
      <c r="AG9" s="32">
        <f t="shared" si="0"/>
        <v>21944</v>
      </c>
      <c r="AH9" s="32">
        <f t="shared" si="0"/>
        <v>23245</v>
      </c>
      <c r="AI9" s="32">
        <f t="shared" si="0"/>
        <v>23353</v>
      </c>
      <c r="AJ9" s="32">
        <f t="shared" si="0"/>
        <v>10972</v>
      </c>
      <c r="AK9" s="32">
        <f t="shared" si="0"/>
        <v>15930</v>
      </c>
      <c r="AL9" s="32">
        <f t="shared" si="0"/>
        <v>23433</v>
      </c>
      <c r="AM9" s="32"/>
      <c r="AN9" s="32"/>
      <c r="AO9" s="32"/>
      <c r="AP9" s="32"/>
      <c r="AQ9" s="32"/>
      <c r="AR9" s="32"/>
      <c r="AS9" s="32"/>
      <c r="AT9" s="30"/>
      <c r="AU9" s="30"/>
      <c r="AV9" s="30"/>
      <c r="AW9" s="30"/>
      <c r="AX9" s="30"/>
      <c r="AY9" s="30"/>
      <c r="AZ9" s="30"/>
      <c r="BA9" s="30">
        <f>SUM(AM9:AT9)</f>
        <v>0</v>
      </c>
      <c r="BB9" s="30">
        <f t="shared" si="1"/>
        <v>0</v>
      </c>
      <c r="BC9" s="30">
        <f t="shared" si="1"/>
        <v>0</v>
      </c>
      <c r="BD9" s="30"/>
      <c r="BE9" s="30">
        <f t="shared" si="2"/>
        <v>0</v>
      </c>
      <c r="BF9" s="30">
        <f t="shared" si="2"/>
        <v>0</v>
      </c>
      <c r="BG9" s="30">
        <f t="shared" si="2"/>
        <v>0</v>
      </c>
      <c r="BH9" s="29">
        <f>AF9+BA9</f>
        <v>21944</v>
      </c>
      <c r="BI9" s="211">
        <f aca="true" t="shared" si="5" ref="BI9:BK15">BB9+AG9</f>
        <v>21944</v>
      </c>
      <c r="BJ9" s="211">
        <f t="shared" si="5"/>
        <v>23245</v>
      </c>
      <c r="BK9" s="211">
        <f t="shared" si="5"/>
        <v>23353</v>
      </c>
      <c r="BL9" s="211">
        <f t="shared" si="3"/>
        <v>10972</v>
      </c>
      <c r="BM9" s="211">
        <f t="shared" si="3"/>
        <v>15930</v>
      </c>
      <c r="BN9" s="211">
        <f t="shared" si="3"/>
        <v>23433</v>
      </c>
      <c r="BO9" s="211">
        <f t="shared" si="4"/>
        <v>100.3425684066287</v>
      </c>
      <c r="BR9" s="204" t="s">
        <v>1446</v>
      </c>
      <c r="BS9" s="204">
        <v>1680</v>
      </c>
      <c r="BT9" s="254"/>
    </row>
    <row r="10" spans="1:72" ht="15">
      <c r="A10" s="208">
        <v>5</v>
      </c>
      <c r="B10" s="208">
        <v>680001</v>
      </c>
      <c r="C10" s="28" t="s">
        <v>1310</v>
      </c>
      <c r="D10" s="32"/>
      <c r="E10" s="32"/>
      <c r="F10" s="32"/>
      <c r="G10" s="32"/>
      <c r="H10" s="32"/>
      <c r="I10" s="32"/>
      <c r="J10" s="32"/>
      <c r="K10" s="33"/>
      <c r="L10" s="33"/>
      <c r="M10" s="33"/>
      <c r="N10" s="33"/>
      <c r="O10" s="33"/>
      <c r="P10" s="33"/>
      <c r="Q10" s="33"/>
      <c r="R10" s="32"/>
      <c r="S10" s="32">
        <v>120</v>
      </c>
      <c r="T10" s="32">
        <v>120</v>
      </c>
      <c r="U10" s="32">
        <f>'[7]7.K.részletező'!D107</f>
        <v>120</v>
      </c>
      <c r="V10" s="32">
        <v>60</v>
      </c>
      <c r="W10" s="32">
        <v>90</v>
      </c>
      <c r="X10" s="32">
        <v>120</v>
      </c>
      <c r="Y10" s="32"/>
      <c r="Z10" s="32"/>
      <c r="AA10" s="32"/>
      <c r="AB10" s="32"/>
      <c r="AC10" s="210"/>
      <c r="AD10" s="210"/>
      <c r="AE10" s="210"/>
      <c r="AF10" s="32"/>
      <c r="AG10" s="32">
        <f t="shared" si="0"/>
        <v>120</v>
      </c>
      <c r="AH10" s="32">
        <f t="shared" si="0"/>
        <v>120</v>
      </c>
      <c r="AI10" s="32">
        <f t="shared" si="0"/>
        <v>120</v>
      </c>
      <c r="AJ10" s="32">
        <f t="shared" si="0"/>
        <v>60</v>
      </c>
      <c r="AK10" s="32">
        <f t="shared" si="0"/>
        <v>90</v>
      </c>
      <c r="AL10" s="32">
        <f t="shared" si="0"/>
        <v>120</v>
      </c>
      <c r="AM10" s="32"/>
      <c r="AN10" s="32"/>
      <c r="AO10" s="32"/>
      <c r="AP10" s="32"/>
      <c r="AQ10" s="32"/>
      <c r="AR10" s="32"/>
      <c r="AS10" s="32"/>
      <c r="AT10" s="30"/>
      <c r="AU10" s="30"/>
      <c r="AV10" s="30"/>
      <c r="AW10" s="30">
        <f>'[7]7.K.részletező'!D132</f>
        <v>412</v>
      </c>
      <c r="AX10" s="30"/>
      <c r="AY10" s="30"/>
      <c r="AZ10" s="30"/>
      <c r="BA10" s="30"/>
      <c r="BB10" s="30">
        <f t="shared" si="1"/>
        <v>0</v>
      </c>
      <c r="BC10" s="30">
        <f t="shared" si="1"/>
        <v>0</v>
      </c>
      <c r="BD10" s="30">
        <f t="shared" si="1"/>
        <v>412</v>
      </c>
      <c r="BE10" s="30">
        <f t="shared" si="2"/>
        <v>0</v>
      </c>
      <c r="BF10" s="30">
        <f t="shared" si="2"/>
        <v>0</v>
      </c>
      <c r="BG10" s="30">
        <f t="shared" si="2"/>
        <v>0</v>
      </c>
      <c r="BH10" s="29"/>
      <c r="BI10" s="211">
        <f t="shared" si="5"/>
        <v>120</v>
      </c>
      <c r="BJ10" s="211">
        <f t="shared" si="5"/>
        <v>120</v>
      </c>
      <c r="BK10" s="211">
        <f t="shared" si="5"/>
        <v>532</v>
      </c>
      <c r="BL10" s="211">
        <f t="shared" si="3"/>
        <v>60</v>
      </c>
      <c r="BM10" s="211">
        <f t="shared" si="3"/>
        <v>90</v>
      </c>
      <c r="BN10" s="211">
        <f t="shared" si="3"/>
        <v>120</v>
      </c>
      <c r="BO10" s="211">
        <f t="shared" si="4"/>
        <v>22.55639097744361</v>
      </c>
      <c r="BR10" s="204" t="s">
        <v>1447</v>
      </c>
      <c r="BS10" s="204">
        <v>561</v>
      </c>
      <c r="BT10" s="254"/>
    </row>
    <row r="11" spans="1:72" ht="15">
      <c r="A11" s="208">
        <v>6</v>
      </c>
      <c r="B11" s="208">
        <v>841403</v>
      </c>
      <c r="C11" s="28" t="s">
        <v>708</v>
      </c>
      <c r="D11" s="32"/>
      <c r="E11" s="32"/>
      <c r="F11" s="32">
        <v>80</v>
      </c>
      <c r="G11" s="32">
        <f>'[7]7.K.részletező'!E52</f>
        <v>80</v>
      </c>
      <c r="H11" s="32"/>
      <c r="I11" s="32"/>
      <c r="J11" s="32"/>
      <c r="K11" s="33"/>
      <c r="L11" s="33"/>
      <c r="M11" s="33">
        <v>22</v>
      </c>
      <c r="N11" s="33">
        <f>'[7]7.K.részletező'!E58</f>
        <v>22</v>
      </c>
      <c r="O11" s="33"/>
      <c r="P11" s="33"/>
      <c r="Q11" s="33"/>
      <c r="R11" s="32"/>
      <c r="S11" s="32">
        <v>200</v>
      </c>
      <c r="T11" s="32">
        <f>340+1050</f>
        <v>1390</v>
      </c>
      <c r="U11" s="32">
        <f>'[7]7.K.részletező'!E107</f>
        <v>2107</v>
      </c>
      <c r="V11" s="32">
        <v>561</v>
      </c>
      <c r="W11" s="32">
        <f>256+455</f>
        <v>711</v>
      </c>
      <c r="X11" s="32">
        <v>1638</v>
      </c>
      <c r="Y11" s="32">
        <v>12081</v>
      </c>
      <c r="Z11" s="32">
        <f>12081+12734</f>
        <v>24815</v>
      </c>
      <c r="AA11" s="32">
        <v>24815</v>
      </c>
      <c r="AB11" s="32">
        <f>'[7]7.K.részletező'!E112</f>
        <v>24815</v>
      </c>
      <c r="AC11" s="32">
        <v>15576</v>
      </c>
      <c r="AD11" s="32">
        <v>22757</v>
      </c>
      <c r="AE11" s="32">
        <v>24030</v>
      </c>
      <c r="AF11" s="32"/>
      <c r="AG11" s="32">
        <f t="shared" si="0"/>
        <v>25015</v>
      </c>
      <c r="AH11" s="32">
        <f t="shared" si="0"/>
        <v>26307</v>
      </c>
      <c r="AI11" s="32">
        <f t="shared" si="0"/>
        <v>27024</v>
      </c>
      <c r="AJ11" s="32">
        <f t="shared" si="0"/>
        <v>16137</v>
      </c>
      <c r="AK11" s="32">
        <f t="shared" si="0"/>
        <v>23468</v>
      </c>
      <c r="AL11" s="32">
        <f t="shared" si="0"/>
        <v>25668</v>
      </c>
      <c r="AM11" s="32"/>
      <c r="AN11" s="32">
        <v>7165</v>
      </c>
      <c r="AO11" s="32">
        <v>7165</v>
      </c>
      <c r="AP11" s="32">
        <f>7165-7165</f>
        <v>0</v>
      </c>
      <c r="AQ11" s="32"/>
      <c r="AR11" s="32">
        <v>0</v>
      </c>
      <c r="AS11" s="32"/>
      <c r="AT11" s="30"/>
      <c r="AU11" s="30">
        <f>3875+6350+89+900+2170</f>
        <v>13384</v>
      </c>
      <c r="AV11" s="30">
        <v>14010</v>
      </c>
      <c r="AW11" s="30">
        <f>'[7]7.K.részletező'!E132</f>
        <v>26842</v>
      </c>
      <c r="AX11" s="30">
        <v>3875</v>
      </c>
      <c r="AY11" s="30">
        <v>13957</v>
      </c>
      <c r="AZ11" s="30">
        <v>20113</v>
      </c>
      <c r="BA11" s="30"/>
      <c r="BB11" s="30">
        <f t="shared" si="1"/>
        <v>20549</v>
      </c>
      <c r="BC11" s="30">
        <f t="shared" si="1"/>
        <v>21175</v>
      </c>
      <c r="BD11" s="30">
        <f t="shared" si="1"/>
        <v>26842</v>
      </c>
      <c r="BE11" s="30">
        <f t="shared" si="2"/>
        <v>3875</v>
      </c>
      <c r="BF11" s="30">
        <f t="shared" si="2"/>
        <v>13957</v>
      </c>
      <c r="BG11" s="30">
        <f t="shared" si="2"/>
        <v>20113</v>
      </c>
      <c r="BH11" s="29"/>
      <c r="BI11" s="211">
        <f t="shared" si="5"/>
        <v>45564</v>
      </c>
      <c r="BJ11" s="211">
        <f t="shared" si="5"/>
        <v>47482</v>
      </c>
      <c r="BK11" s="211">
        <f t="shared" si="5"/>
        <v>53866</v>
      </c>
      <c r="BL11" s="211">
        <f t="shared" si="3"/>
        <v>20012</v>
      </c>
      <c r="BM11" s="211">
        <f t="shared" si="3"/>
        <v>37425</v>
      </c>
      <c r="BN11" s="211">
        <f t="shared" si="3"/>
        <v>45781</v>
      </c>
      <c r="BO11" s="211">
        <f t="shared" si="4"/>
        <v>84.99053206104035</v>
      </c>
      <c r="BR11" s="204" t="s">
        <v>1448</v>
      </c>
      <c r="BS11" s="204">
        <v>817</v>
      </c>
      <c r="BT11" s="254"/>
    </row>
    <row r="12" spans="1:72" ht="15">
      <c r="A12" s="208">
        <v>7</v>
      </c>
      <c r="B12" s="208"/>
      <c r="C12" s="28" t="s">
        <v>1311</v>
      </c>
      <c r="D12" s="32"/>
      <c r="E12" s="32"/>
      <c r="F12" s="32"/>
      <c r="G12" s="32"/>
      <c r="H12" s="32"/>
      <c r="I12" s="32"/>
      <c r="J12" s="32"/>
      <c r="K12" s="33"/>
      <c r="L12" s="33"/>
      <c r="M12" s="33"/>
      <c r="N12" s="33"/>
      <c r="O12" s="33"/>
      <c r="P12" s="33"/>
      <c r="Q12" s="33"/>
      <c r="R12" s="32"/>
      <c r="S12" s="32"/>
      <c r="T12" s="32"/>
      <c r="U12" s="32"/>
      <c r="V12" s="32"/>
      <c r="W12" s="32"/>
      <c r="X12" s="32"/>
      <c r="Y12" s="32">
        <v>9040</v>
      </c>
      <c r="Z12" s="32">
        <f>9040+158</f>
        <v>9198</v>
      </c>
      <c r="AA12" s="32">
        <f>160+2220+1260+2790+1180+800+200+1450+100-5</f>
        <v>10155</v>
      </c>
      <c r="AB12" s="32">
        <f>'[7]7.K.részletező'!R109</f>
        <v>11776</v>
      </c>
      <c r="AC12" s="32">
        <f>4267+79</f>
        <v>4346</v>
      </c>
      <c r="AD12" s="32">
        <f>150+1775+632+1632+813+200+60+822+252</f>
        <v>6336</v>
      </c>
      <c r="AE12" s="32">
        <v>10501</v>
      </c>
      <c r="AF12" s="32">
        <v>9040</v>
      </c>
      <c r="AG12" s="32">
        <f t="shared" si="0"/>
        <v>9198</v>
      </c>
      <c r="AH12" s="32">
        <f t="shared" si="0"/>
        <v>10155</v>
      </c>
      <c r="AI12" s="32">
        <f t="shared" si="0"/>
        <v>11776</v>
      </c>
      <c r="AJ12" s="32">
        <f t="shared" si="0"/>
        <v>4346</v>
      </c>
      <c r="AK12" s="32">
        <f t="shared" si="0"/>
        <v>6336</v>
      </c>
      <c r="AL12" s="32">
        <f t="shared" si="0"/>
        <v>10501</v>
      </c>
      <c r="AM12" s="32"/>
      <c r="AN12" s="32"/>
      <c r="AO12" s="32"/>
      <c r="AP12" s="32"/>
      <c r="AQ12" s="32"/>
      <c r="AR12" s="32"/>
      <c r="AS12" s="32"/>
      <c r="AT12" s="30"/>
      <c r="AU12" s="30"/>
      <c r="AV12" s="30"/>
      <c r="AW12" s="30"/>
      <c r="AX12" s="30"/>
      <c r="AY12" s="30"/>
      <c r="AZ12" s="30"/>
      <c r="BA12" s="30"/>
      <c r="BB12" s="30">
        <f t="shared" si="1"/>
        <v>0</v>
      </c>
      <c r="BC12" s="30">
        <f t="shared" si="1"/>
        <v>0</v>
      </c>
      <c r="BD12" s="30"/>
      <c r="BE12" s="30">
        <f t="shared" si="2"/>
        <v>0</v>
      </c>
      <c r="BF12" s="30">
        <f t="shared" si="2"/>
        <v>0</v>
      </c>
      <c r="BG12" s="30">
        <f t="shared" si="2"/>
        <v>0</v>
      </c>
      <c r="BH12" s="29"/>
      <c r="BI12" s="211">
        <f t="shared" si="5"/>
        <v>9198</v>
      </c>
      <c r="BJ12" s="211">
        <f t="shared" si="5"/>
        <v>10155</v>
      </c>
      <c r="BK12" s="211">
        <f t="shared" si="5"/>
        <v>11776</v>
      </c>
      <c r="BL12" s="211">
        <f t="shared" si="3"/>
        <v>4346</v>
      </c>
      <c r="BM12" s="211">
        <f t="shared" si="3"/>
        <v>6336</v>
      </c>
      <c r="BN12" s="211">
        <f t="shared" si="3"/>
        <v>10501</v>
      </c>
      <c r="BO12" s="211">
        <f t="shared" si="4"/>
        <v>89.17289402173914</v>
      </c>
      <c r="BP12" s="241">
        <f>SUM(BN8:BN12)</f>
        <v>89512</v>
      </c>
      <c r="BR12" s="204" t="s">
        <v>1449</v>
      </c>
      <c r="BS12" s="204">
        <v>324</v>
      </c>
      <c r="BT12" s="254"/>
    </row>
    <row r="13" spans="1:72" ht="15">
      <c r="A13" s="208">
        <v>8</v>
      </c>
      <c r="B13" s="208"/>
      <c r="C13" s="28" t="s">
        <v>1423</v>
      </c>
      <c r="D13" s="32"/>
      <c r="E13" s="32"/>
      <c r="F13" s="32"/>
      <c r="G13" s="32"/>
      <c r="H13" s="32"/>
      <c r="I13" s="32"/>
      <c r="J13" s="32"/>
      <c r="K13" s="33"/>
      <c r="L13" s="33"/>
      <c r="M13" s="33"/>
      <c r="N13" s="33"/>
      <c r="O13" s="33"/>
      <c r="P13" s="33"/>
      <c r="Q13" s="33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>
        <f>'[7]7.K.részletező'!Q135</f>
        <v>334000</v>
      </c>
      <c r="AC13" s="32"/>
      <c r="AD13" s="32"/>
      <c r="AE13" s="32">
        <v>334000</v>
      </c>
      <c r="AF13" s="32"/>
      <c r="AG13" s="32"/>
      <c r="AH13" s="32"/>
      <c r="AI13" s="32">
        <f t="shared" si="0"/>
        <v>334000</v>
      </c>
      <c r="AJ13" s="32"/>
      <c r="AK13" s="32"/>
      <c r="AL13" s="32">
        <f t="shared" si="0"/>
        <v>334000</v>
      </c>
      <c r="AM13" s="32"/>
      <c r="AN13" s="32"/>
      <c r="AO13" s="32"/>
      <c r="AP13" s="32"/>
      <c r="AQ13" s="32"/>
      <c r="AR13" s="32"/>
      <c r="AS13" s="32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>
        <f t="shared" si="2"/>
        <v>0</v>
      </c>
      <c r="BH13" s="29"/>
      <c r="BI13" s="211"/>
      <c r="BJ13" s="211"/>
      <c r="BK13" s="211">
        <f t="shared" si="5"/>
        <v>334000</v>
      </c>
      <c r="BL13" s="211"/>
      <c r="BM13" s="211"/>
      <c r="BN13" s="211">
        <f t="shared" si="3"/>
        <v>334000</v>
      </c>
      <c r="BO13" s="211">
        <f t="shared" si="4"/>
        <v>100</v>
      </c>
      <c r="BR13" s="204" t="s">
        <v>1450</v>
      </c>
      <c r="BS13" s="204">
        <v>2417</v>
      </c>
      <c r="BT13" s="254"/>
    </row>
    <row r="14" spans="1:72" ht="15">
      <c r="A14" s="208">
        <v>9</v>
      </c>
      <c r="B14" s="208">
        <v>889942</v>
      </c>
      <c r="C14" s="28" t="s">
        <v>1440</v>
      </c>
      <c r="D14" s="32"/>
      <c r="E14" s="32"/>
      <c r="F14" s="32"/>
      <c r="G14" s="32"/>
      <c r="H14" s="32"/>
      <c r="I14" s="32"/>
      <c r="J14" s="32"/>
      <c r="K14" s="33"/>
      <c r="L14" s="33"/>
      <c r="M14" s="33"/>
      <c r="N14" s="33"/>
      <c r="O14" s="33"/>
      <c r="P14" s="33"/>
      <c r="Q14" s="3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f>'[7]7.K.részletező'!O112</f>
        <v>80</v>
      </c>
      <c r="AC14" s="210"/>
      <c r="AD14" s="210"/>
      <c r="AE14" s="210"/>
      <c r="AF14" s="32"/>
      <c r="AG14" s="32">
        <f t="shared" si="0"/>
        <v>0</v>
      </c>
      <c r="AH14" s="32">
        <f t="shared" si="0"/>
        <v>0</v>
      </c>
      <c r="AI14" s="32">
        <f t="shared" si="0"/>
        <v>80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/>
      <c r="AN14" s="32">
        <v>600</v>
      </c>
      <c r="AO14" s="32">
        <v>600</v>
      </c>
      <c r="AP14" s="32">
        <v>600</v>
      </c>
      <c r="AQ14" s="32"/>
      <c r="AR14" s="32">
        <v>0</v>
      </c>
      <c r="AS14" s="32">
        <v>0</v>
      </c>
      <c r="AT14" s="30"/>
      <c r="AU14" s="30"/>
      <c r="AV14" s="30"/>
      <c r="AW14" s="30"/>
      <c r="AX14" s="30"/>
      <c r="AY14" s="30"/>
      <c r="AZ14" s="30"/>
      <c r="BA14" s="30"/>
      <c r="BB14" s="30">
        <f t="shared" si="1"/>
        <v>600</v>
      </c>
      <c r="BC14" s="30">
        <f t="shared" si="1"/>
        <v>600</v>
      </c>
      <c r="BD14" s="30">
        <f t="shared" si="1"/>
        <v>600</v>
      </c>
      <c r="BE14" s="30">
        <f>AQ14+AX14</f>
        <v>0</v>
      </c>
      <c r="BF14" s="30">
        <f>AR14+AY14</f>
        <v>0</v>
      </c>
      <c r="BG14" s="30">
        <f t="shared" si="2"/>
        <v>0</v>
      </c>
      <c r="BH14" s="29"/>
      <c r="BI14" s="211">
        <f t="shared" si="5"/>
        <v>600</v>
      </c>
      <c r="BJ14" s="211">
        <f t="shared" si="5"/>
        <v>600</v>
      </c>
      <c r="BK14" s="211">
        <f t="shared" si="5"/>
        <v>680</v>
      </c>
      <c r="BL14" s="211">
        <f t="shared" si="3"/>
        <v>0</v>
      </c>
      <c r="BM14" s="211">
        <f t="shared" si="3"/>
        <v>0</v>
      </c>
      <c r="BN14" s="211">
        <f t="shared" si="3"/>
        <v>0</v>
      </c>
      <c r="BO14" s="211">
        <f t="shared" si="4"/>
        <v>0</v>
      </c>
      <c r="BR14" s="204" t="s">
        <v>1460</v>
      </c>
      <c r="BS14" s="204">
        <v>260</v>
      </c>
      <c r="BT14" s="254"/>
    </row>
    <row r="15" spans="1:72" ht="15">
      <c r="A15" s="208">
        <v>10</v>
      </c>
      <c r="B15" s="208"/>
      <c r="C15" s="28" t="s">
        <v>700</v>
      </c>
      <c r="D15" s="32">
        <f>SUM(D8:D14)</f>
        <v>5915</v>
      </c>
      <c r="E15" s="32">
        <f aca="true" t="shared" si="6" ref="E15:AE15">SUM(E8:E14)</f>
        <v>5915</v>
      </c>
      <c r="F15" s="32">
        <f t="shared" si="6"/>
        <v>5547</v>
      </c>
      <c r="G15" s="32">
        <f t="shared" si="6"/>
        <v>5513</v>
      </c>
      <c r="H15" s="32">
        <f t="shared" si="6"/>
        <v>3011</v>
      </c>
      <c r="I15" s="32">
        <f t="shared" si="6"/>
        <v>4121</v>
      </c>
      <c r="J15" s="32">
        <f t="shared" si="6"/>
        <v>5312</v>
      </c>
      <c r="K15" s="32">
        <f t="shared" si="6"/>
        <v>1597</v>
      </c>
      <c r="L15" s="32">
        <f t="shared" si="6"/>
        <v>1597</v>
      </c>
      <c r="M15" s="32">
        <f t="shared" si="6"/>
        <v>1619</v>
      </c>
      <c r="N15" s="32">
        <f t="shared" si="6"/>
        <v>1502</v>
      </c>
      <c r="O15" s="32">
        <f t="shared" si="6"/>
        <v>699</v>
      </c>
      <c r="P15" s="32">
        <f t="shared" si="6"/>
        <v>1048</v>
      </c>
      <c r="Q15" s="32">
        <f t="shared" si="6"/>
        <v>1351</v>
      </c>
      <c r="R15" s="32">
        <f t="shared" si="6"/>
        <v>2834</v>
      </c>
      <c r="S15" s="32">
        <f t="shared" si="6"/>
        <v>3171</v>
      </c>
      <c r="T15" s="32">
        <f t="shared" si="6"/>
        <v>4561</v>
      </c>
      <c r="U15" s="32">
        <f t="shared" si="6"/>
        <v>5892</v>
      </c>
      <c r="V15" s="32">
        <f>SUM(V8:V14)</f>
        <v>2430</v>
      </c>
      <c r="W15" s="32">
        <f>SUM(W8:W14)</f>
        <v>3029</v>
      </c>
      <c r="X15" s="32">
        <f>SUM(X8:X14)</f>
        <v>4772</v>
      </c>
      <c r="Y15" s="32">
        <f t="shared" si="6"/>
        <v>43639</v>
      </c>
      <c r="Z15" s="32">
        <f t="shared" si="6"/>
        <v>56531</v>
      </c>
      <c r="AA15" s="32">
        <f t="shared" si="6"/>
        <v>58789</v>
      </c>
      <c r="AB15" s="32">
        <f t="shared" si="6"/>
        <v>394598</v>
      </c>
      <c r="AC15" s="32">
        <f t="shared" si="6"/>
        <v>30894</v>
      </c>
      <c r="AD15" s="32">
        <f t="shared" si="6"/>
        <v>45023</v>
      </c>
      <c r="AE15" s="32">
        <f t="shared" si="6"/>
        <v>391964</v>
      </c>
      <c r="AF15" s="32">
        <f>Y15+R15+K15+D15</f>
        <v>53985</v>
      </c>
      <c r="AG15" s="32">
        <f t="shared" si="0"/>
        <v>67214</v>
      </c>
      <c r="AH15" s="32">
        <f t="shared" si="0"/>
        <v>70516</v>
      </c>
      <c r="AI15" s="32">
        <f t="shared" si="0"/>
        <v>407505</v>
      </c>
      <c r="AJ15" s="32">
        <f t="shared" si="0"/>
        <v>37034</v>
      </c>
      <c r="AK15" s="32">
        <f>AD15+W15+P15+I15</f>
        <v>53221</v>
      </c>
      <c r="AL15" s="32">
        <f t="shared" si="0"/>
        <v>403399</v>
      </c>
      <c r="AM15" s="32">
        <f aca="true" t="shared" si="7" ref="AM15:BH15">SUM(AM8:AM14)</f>
        <v>7765</v>
      </c>
      <c r="AN15" s="32">
        <f t="shared" si="7"/>
        <v>7765</v>
      </c>
      <c r="AO15" s="32">
        <f t="shared" si="7"/>
        <v>7765</v>
      </c>
      <c r="AP15" s="32">
        <f t="shared" si="7"/>
        <v>600</v>
      </c>
      <c r="AQ15" s="32">
        <f t="shared" si="7"/>
        <v>0</v>
      </c>
      <c r="AR15" s="32">
        <f t="shared" si="7"/>
        <v>0</v>
      </c>
      <c r="AS15" s="32">
        <f t="shared" si="7"/>
        <v>0</v>
      </c>
      <c r="AT15" s="32">
        <f t="shared" si="7"/>
        <v>0</v>
      </c>
      <c r="AU15" s="32">
        <f t="shared" si="7"/>
        <v>13384</v>
      </c>
      <c r="AV15" s="32">
        <f t="shared" si="7"/>
        <v>14010</v>
      </c>
      <c r="AW15" s="32">
        <f t="shared" si="7"/>
        <v>27254</v>
      </c>
      <c r="AX15" s="32">
        <f t="shared" si="7"/>
        <v>3875</v>
      </c>
      <c r="AY15" s="32">
        <f t="shared" si="7"/>
        <v>13957</v>
      </c>
      <c r="AZ15" s="32">
        <f t="shared" si="7"/>
        <v>20113</v>
      </c>
      <c r="BA15" s="32">
        <f t="shared" si="7"/>
        <v>7765</v>
      </c>
      <c r="BB15" s="32">
        <f t="shared" si="7"/>
        <v>21149</v>
      </c>
      <c r="BC15" s="30">
        <f>AO15+AV15</f>
        <v>21775</v>
      </c>
      <c r="BD15" s="30">
        <f>AP15+AW15</f>
        <v>27854</v>
      </c>
      <c r="BE15" s="32">
        <f t="shared" si="7"/>
        <v>3875</v>
      </c>
      <c r="BF15" s="30">
        <f>AR15+AY15</f>
        <v>13957</v>
      </c>
      <c r="BG15" s="30">
        <f>AS15+AZ15</f>
        <v>20113</v>
      </c>
      <c r="BH15" s="32">
        <f t="shared" si="7"/>
        <v>40629</v>
      </c>
      <c r="BI15" s="211">
        <f t="shared" si="5"/>
        <v>88363</v>
      </c>
      <c r="BJ15" s="211">
        <f t="shared" si="5"/>
        <v>92291</v>
      </c>
      <c r="BK15" s="211">
        <f>BD15+AI15</f>
        <v>435359</v>
      </c>
      <c r="BL15" s="32">
        <f>SUM(BL8:BL14)</f>
        <v>40909</v>
      </c>
      <c r="BM15" s="211">
        <f>BF15+AK15</f>
        <v>67178</v>
      </c>
      <c r="BN15" s="211">
        <f>BG15+AL15</f>
        <v>423512</v>
      </c>
      <c r="BO15" s="211">
        <f t="shared" si="4"/>
        <v>97.27879749815669</v>
      </c>
      <c r="BR15" s="204" t="s">
        <v>1451</v>
      </c>
      <c r="BS15" s="204">
        <v>409</v>
      </c>
      <c r="BT15" s="254"/>
    </row>
    <row r="16" spans="1:72" ht="15">
      <c r="A16" s="208">
        <v>11</v>
      </c>
      <c r="B16" s="208"/>
      <c r="C16" s="2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0"/>
      <c r="BD16" s="30"/>
      <c r="BE16" s="32"/>
      <c r="BF16" s="30"/>
      <c r="BG16" s="30"/>
      <c r="BH16" s="32"/>
      <c r="BI16" s="211"/>
      <c r="BJ16" s="211"/>
      <c r="BK16" s="211"/>
      <c r="BL16" s="32"/>
      <c r="BM16" s="211"/>
      <c r="BN16" s="211"/>
      <c r="BO16" s="211"/>
      <c r="BR16" s="204" t="s">
        <v>1452</v>
      </c>
      <c r="BS16" s="204">
        <v>1223</v>
      </c>
      <c r="BT16" s="254" t="s">
        <v>1453</v>
      </c>
    </row>
    <row r="17" spans="1:72" ht="15">
      <c r="A17" s="208">
        <v>12</v>
      </c>
      <c r="B17" s="208"/>
      <c r="C17" s="2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>
        <v>3138</v>
      </c>
      <c r="X17" s="32"/>
      <c r="Y17" s="32"/>
      <c r="Z17" s="32"/>
      <c r="AA17" s="32"/>
      <c r="AB17" s="32"/>
      <c r="AC17" s="32"/>
      <c r="AD17" s="32"/>
      <c r="AE17" s="32"/>
      <c r="AF17" s="32">
        <f>Y17+R17+K17+D17</f>
        <v>0</v>
      </c>
      <c r="AG17" s="32">
        <f>Z17+S17+L17+E17</f>
        <v>0</v>
      </c>
      <c r="AH17" s="32"/>
      <c r="AI17" s="32"/>
      <c r="AJ17" s="32">
        <f>AC17+V17+O17+H17</f>
        <v>0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0"/>
      <c r="BC17" s="30"/>
      <c r="BD17" s="30"/>
      <c r="BE17" s="30"/>
      <c r="BF17" s="30"/>
      <c r="BG17" s="30"/>
      <c r="BH17" s="32"/>
      <c r="BI17" s="211"/>
      <c r="BJ17" s="211"/>
      <c r="BK17" s="211"/>
      <c r="BL17" s="211"/>
      <c r="BM17" s="211"/>
      <c r="BN17" s="211"/>
      <c r="BO17" s="211"/>
      <c r="BR17" s="204" t="s">
        <v>1454</v>
      </c>
      <c r="BS17" s="204">
        <v>450</v>
      </c>
      <c r="BT17" s="254"/>
    </row>
    <row r="18" spans="1:72" ht="15">
      <c r="A18" s="208">
        <v>13</v>
      </c>
      <c r="B18" s="31">
        <v>851111</v>
      </c>
      <c r="C18" s="28" t="s">
        <v>1312</v>
      </c>
      <c r="D18" s="32">
        <v>19380</v>
      </c>
      <c r="E18" s="32">
        <f>19380+600+130+41</f>
        <v>20151</v>
      </c>
      <c r="F18" s="32">
        <v>20938</v>
      </c>
      <c r="G18" s="32">
        <f>'[7]6.K megosztás'!D12</f>
        <v>21424</v>
      </c>
      <c r="H18" s="32">
        <v>8604</v>
      </c>
      <c r="I18" s="32">
        <v>13721</v>
      </c>
      <c r="J18" s="32">
        <v>20411</v>
      </c>
      <c r="K18" s="33">
        <v>5085</v>
      </c>
      <c r="L18" s="33">
        <f>5085+162+35+12</f>
        <v>5294</v>
      </c>
      <c r="M18" s="33">
        <v>5667</v>
      </c>
      <c r="N18" s="33">
        <f>'[7]7.K.részletező'!S58</f>
        <v>5687</v>
      </c>
      <c r="O18" s="33">
        <v>2274</v>
      </c>
      <c r="P18" s="33">
        <v>3764</v>
      </c>
      <c r="Q18" s="33">
        <v>5589</v>
      </c>
      <c r="R18" s="32">
        <v>3000</v>
      </c>
      <c r="S18" s="32">
        <v>3000</v>
      </c>
      <c r="T18" s="32">
        <v>2840</v>
      </c>
      <c r="U18" s="32">
        <f>'[7]7.K.részletező'!S98</f>
        <v>2840.37</v>
      </c>
      <c r="V18" s="32">
        <v>1016</v>
      </c>
      <c r="W18" s="32">
        <v>1559</v>
      </c>
      <c r="X18" s="32">
        <v>2404</v>
      </c>
      <c r="Y18" s="32"/>
      <c r="Z18" s="32"/>
      <c r="AA18" s="32"/>
      <c r="AB18" s="32"/>
      <c r="AC18" s="32"/>
      <c r="AD18" s="32"/>
      <c r="AE18" s="32"/>
      <c r="AF18" s="32">
        <f>Y18+R18+K18+D18</f>
        <v>27465</v>
      </c>
      <c r="AG18" s="32">
        <f>Z18+S18+L18+E18</f>
        <v>28445</v>
      </c>
      <c r="AH18" s="32">
        <f>AA18+T18+M18+F18</f>
        <v>29445</v>
      </c>
      <c r="AI18" s="32">
        <f>AB18+U18+N18+G18</f>
        <v>29951.37</v>
      </c>
      <c r="AJ18" s="32">
        <f>AC18+V18+O18+H18</f>
        <v>11894</v>
      </c>
      <c r="AK18" s="32">
        <f>AD18+W18+P18+I18</f>
        <v>19044</v>
      </c>
      <c r="AL18" s="32">
        <f>AE18+X18+Q18+J18</f>
        <v>28404</v>
      </c>
      <c r="AM18" s="32"/>
      <c r="AN18" s="32"/>
      <c r="AO18" s="32"/>
      <c r="AP18" s="32"/>
      <c r="AQ18" s="32"/>
      <c r="AR18" s="32"/>
      <c r="AS18" s="32"/>
      <c r="AT18" s="30">
        <v>152</v>
      </c>
      <c r="AU18" s="30">
        <v>152</v>
      </c>
      <c r="AV18" s="30">
        <v>152</v>
      </c>
      <c r="AW18" s="30">
        <f>'[7]7.K.részletező'!S126</f>
        <v>152</v>
      </c>
      <c r="AX18" s="30">
        <v>150</v>
      </c>
      <c r="AY18" s="30">
        <v>150</v>
      </c>
      <c r="AZ18" s="30">
        <v>150</v>
      </c>
      <c r="BA18" s="30">
        <f aca="true" t="shared" si="8" ref="BA18:BG18">AM18+AT18</f>
        <v>152</v>
      </c>
      <c r="BB18" s="30">
        <f t="shared" si="8"/>
        <v>152</v>
      </c>
      <c r="BC18" s="30">
        <f t="shared" si="8"/>
        <v>152</v>
      </c>
      <c r="BD18" s="30">
        <f t="shared" si="8"/>
        <v>152</v>
      </c>
      <c r="BE18" s="30">
        <f t="shared" si="8"/>
        <v>150</v>
      </c>
      <c r="BF18" s="30">
        <f t="shared" si="8"/>
        <v>150</v>
      </c>
      <c r="BG18" s="30">
        <f t="shared" si="8"/>
        <v>150</v>
      </c>
      <c r="BH18" s="32">
        <f>AF18+BA18</f>
        <v>27617</v>
      </c>
      <c r="BI18" s="211">
        <f aca="true" t="shared" si="9" ref="BI18:BN18">BB18+AG18</f>
        <v>28597</v>
      </c>
      <c r="BJ18" s="211">
        <f t="shared" si="9"/>
        <v>29597</v>
      </c>
      <c r="BK18" s="211">
        <f t="shared" si="9"/>
        <v>30103.37</v>
      </c>
      <c r="BL18" s="211">
        <f t="shared" si="9"/>
        <v>12044</v>
      </c>
      <c r="BM18" s="211">
        <f t="shared" si="9"/>
        <v>19194</v>
      </c>
      <c r="BN18" s="211">
        <f t="shared" si="9"/>
        <v>28554</v>
      </c>
      <c r="BO18" s="211">
        <f>BN18/BK18*100</f>
        <v>94.85316760216548</v>
      </c>
      <c r="BP18" s="240"/>
      <c r="BR18" s="204" t="s">
        <v>1455</v>
      </c>
      <c r="BS18" s="204">
        <f>191+140</f>
        <v>331</v>
      </c>
      <c r="BT18" s="254"/>
    </row>
    <row r="19" spans="1:72" ht="15">
      <c r="A19" s="208">
        <v>14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208"/>
      <c r="AU19" s="208"/>
      <c r="AV19" s="208"/>
      <c r="AW19" s="208"/>
      <c r="AX19" s="208"/>
      <c r="AY19" s="208"/>
      <c r="AZ19" s="208"/>
      <c r="BA19" s="30"/>
      <c r="BB19" s="30"/>
      <c r="BC19" s="30"/>
      <c r="BD19" s="30"/>
      <c r="BE19" s="30"/>
      <c r="BF19" s="30"/>
      <c r="BG19" s="30"/>
      <c r="BH19" s="32"/>
      <c r="BI19" s="211"/>
      <c r="BJ19" s="211"/>
      <c r="BK19" s="211"/>
      <c r="BL19" s="211">
        <f aca="true" t="shared" si="10" ref="BL19:BN59">BE19+AJ19</f>
        <v>0</v>
      </c>
      <c r="BM19" s="211"/>
      <c r="BN19" s="211"/>
      <c r="BO19" s="211"/>
      <c r="BR19" s="204" t="s">
        <v>1456</v>
      </c>
      <c r="BS19" s="204">
        <v>500</v>
      </c>
      <c r="BT19" s="254"/>
    </row>
    <row r="20" spans="1:72" ht="15">
      <c r="A20" s="208">
        <v>15</v>
      </c>
      <c r="B20" s="208"/>
      <c r="C20" s="28" t="s">
        <v>582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32">
        <f aca="true" t="shared" si="11" ref="AF20:AI58">Y20+R20+K20+D20</f>
        <v>0</v>
      </c>
      <c r="AG20" s="32">
        <f t="shared" si="11"/>
        <v>0</v>
      </c>
      <c r="AH20" s="32"/>
      <c r="AI20" s="32"/>
      <c r="AJ20" s="32">
        <f aca="true" t="shared" si="12" ref="AJ20:AL57">AC20+V20+O20+H20</f>
        <v>0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24"/>
      <c r="AU20" s="24"/>
      <c r="AV20" s="24"/>
      <c r="AW20" s="24"/>
      <c r="AX20" s="24"/>
      <c r="AY20" s="24"/>
      <c r="AZ20" s="24"/>
      <c r="BA20" s="30"/>
      <c r="BB20" s="30"/>
      <c r="BC20" s="30"/>
      <c r="BD20" s="30"/>
      <c r="BE20" s="30"/>
      <c r="BF20" s="30"/>
      <c r="BG20" s="30"/>
      <c r="BH20" s="32">
        <f aca="true" t="shared" si="13" ref="BH20:BH58">AF20+BA20</f>
        <v>0</v>
      </c>
      <c r="BI20" s="211">
        <f aca="true" t="shared" si="14" ref="BI20:BK59">BB20+AG20</f>
        <v>0</v>
      </c>
      <c r="BJ20" s="211"/>
      <c r="BK20" s="211"/>
      <c r="BL20" s="211">
        <f t="shared" si="10"/>
        <v>0</v>
      </c>
      <c r="BM20" s="211"/>
      <c r="BN20" s="211"/>
      <c r="BO20" s="211"/>
      <c r="BR20" s="204" t="s">
        <v>1457</v>
      </c>
      <c r="BS20" s="254">
        <f>1312+12</f>
        <v>1324</v>
      </c>
      <c r="BT20" s="254"/>
    </row>
    <row r="21" spans="1:72" ht="15">
      <c r="A21" s="208">
        <v>16</v>
      </c>
      <c r="B21" s="208"/>
      <c r="C21" s="20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32">
        <f t="shared" si="11"/>
        <v>0</v>
      </c>
      <c r="AG21" s="32">
        <f t="shared" si="11"/>
        <v>0</v>
      </c>
      <c r="AH21" s="32"/>
      <c r="AI21" s="32"/>
      <c r="AJ21" s="32">
        <f t="shared" si="12"/>
        <v>0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24"/>
      <c r="AU21" s="24"/>
      <c r="AV21" s="24"/>
      <c r="AW21" s="24"/>
      <c r="AX21" s="24"/>
      <c r="AY21" s="24"/>
      <c r="AZ21" s="24"/>
      <c r="BA21" s="30"/>
      <c r="BB21" s="30"/>
      <c r="BC21" s="30"/>
      <c r="BD21" s="30"/>
      <c r="BE21" s="30"/>
      <c r="BF21" s="30"/>
      <c r="BG21" s="30"/>
      <c r="BH21" s="32">
        <f t="shared" si="13"/>
        <v>0</v>
      </c>
      <c r="BI21" s="211">
        <f t="shared" si="14"/>
        <v>0</v>
      </c>
      <c r="BJ21" s="211"/>
      <c r="BK21" s="211"/>
      <c r="BL21" s="211">
        <f t="shared" si="10"/>
        <v>0</v>
      </c>
      <c r="BM21" s="211"/>
      <c r="BN21" s="211"/>
      <c r="BO21" s="211"/>
      <c r="BR21" s="204" t="s">
        <v>1458</v>
      </c>
      <c r="BS21" s="204">
        <v>55</v>
      </c>
      <c r="BT21" s="254"/>
    </row>
    <row r="22" spans="1:72" ht="15.75">
      <c r="A22" s="208">
        <v>17</v>
      </c>
      <c r="B22" s="31">
        <v>370000</v>
      </c>
      <c r="C22" s="34" t="s">
        <v>702</v>
      </c>
      <c r="D22" s="24">
        <v>0</v>
      </c>
      <c r="E22" s="24">
        <v>0</v>
      </c>
      <c r="F22" s="24"/>
      <c r="G22" s="24"/>
      <c r="H22" s="24"/>
      <c r="I22" s="24"/>
      <c r="J22" s="24"/>
      <c r="K22" s="31">
        <v>0</v>
      </c>
      <c r="L22" s="31">
        <v>0</v>
      </c>
      <c r="M22" s="31"/>
      <c r="N22" s="31"/>
      <c r="O22" s="31"/>
      <c r="P22" s="31"/>
      <c r="Q22" s="31"/>
      <c r="R22" s="31">
        <v>5628</v>
      </c>
      <c r="S22" s="31">
        <v>5628</v>
      </c>
      <c r="T22" s="31">
        <v>8443</v>
      </c>
      <c r="U22" s="31">
        <v>8441</v>
      </c>
      <c r="V22" s="31">
        <v>5626</v>
      </c>
      <c r="W22" s="31">
        <v>7033</v>
      </c>
      <c r="X22" s="31">
        <v>8439</v>
      </c>
      <c r="Y22" s="208"/>
      <c r="Z22" s="208"/>
      <c r="AA22" s="208"/>
      <c r="AB22" s="208"/>
      <c r="AC22" s="208"/>
      <c r="AD22" s="208"/>
      <c r="AE22" s="208"/>
      <c r="AF22" s="32">
        <f t="shared" si="11"/>
        <v>5628</v>
      </c>
      <c r="AG22" s="32">
        <f t="shared" si="11"/>
        <v>5628</v>
      </c>
      <c r="AH22" s="32">
        <f>AA22+T22+M22+F22</f>
        <v>8443</v>
      </c>
      <c r="AI22" s="32">
        <f>AB22+U22+N22+G22</f>
        <v>8441</v>
      </c>
      <c r="AJ22" s="32">
        <f t="shared" si="12"/>
        <v>5626</v>
      </c>
      <c r="AK22" s="32">
        <f t="shared" si="12"/>
        <v>7033</v>
      </c>
      <c r="AL22" s="32">
        <f t="shared" si="12"/>
        <v>8439</v>
      </c>
      <c r="AM22" s="32"/>
      <c r="AN22" s="32"/>
      <c r="AO22" s="32"/>
      <c r="AP22" s="32"/>
      <c r="AQ22" s="32"/>
      <c r="AR22" s="32"/>
      <c r="AS22" s="32"/>
      <c r="AT22" s="31">
        <v>0</v>
      </c>
      <c r="AU22" s="31">
        <v>0</v>
      </c>
      <c r="AV22" s="31"/>
      <c r="AW22" s="31"/>
      <c r="AX22" s="31"/>
      <c r="AY22" s="31"/>
      <c r="AZ22" s="31"/>
      <c r="BA22" s="30">
        <f aca="true" t="shared" si="15" ref="BA22:BG58">AM22+AT22</f>
        <v>0</v>
      </c>
      <c r="BB22" s="30">
        <f t="shared" si="15"/>
        <v>0</v>
      </c>
      <c r="BC22" s="30">
        <f t="shared" si="15"/>
        <v>0</v>
      </c>
      <c r="BD22" s="30">
        <f t="shared" si="15"/>
        <v>0</v>
      </c>
      <c r="BE22" s="30">
        <f t="shared" si="15"/>
        <v>0</v>
      </c>
      <c r="BF22" s="30">
        <f t="shared" si="15"/>
        <v>0</v>
      </c>
      <c r="BG22" s="30">
        <f t="shared" si="15"/>
        <v>0</v>
      </c>
      <c r="BH22" s="32">
        <f t="shared" si="13"/>
        <v>5628</v>
      </c>
      <c r="BI22" s="211">
        <f t="shared" si="14"/>
        <v>5628</v>
      </c>
      <c r="BJ22" s="211">
        <f t="shared" si="14"/>
        <v>8443</v>
      </c>
      <c r="BK22" s="211">
        <f t="shared" si="14"/>
        <v>8441</v>
      </c>
      <c r="BL22" s="211">
        <f t="shared" si="10"/>
        <v>5626</v>
      </c>
      <c r="BM22" s="211">
        <f t="shared" si="10"/>
        <v>7033</v>
      </c>
      <c r="BN22" s="211">
        <f t="shared" si="10"/>
        <v>8439</v>
      </c>
      <c r="BO22" s="211">
        <f aca="true" t="shared" si="16" ref="BO22:BO60">BN22/BK22*100</f>
        <v>99.97630612486672</v>
      </c>
      <c r="BS22" s="254">
        <f>SUM(BS8:BS21)</f>
        <v>10501</v>
      </c>
      <c r="BT22" s="254"/>
    </row>
    <row r="23" spans="1:72" ht="15">
      <c r="A23" s="208">
        <v>18</v>
      </c>
      <c r="B23" s="31">
        <v>680001</v>
      </c>
      <c r="C23" s="31" t="s">
        <v>704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31">
        <v>762</v>
      </c>
      <c r="S23" s="31">
        <v>762</v>
      </c>
      <c r="T23" s="31">
        <v>762</v>
      </c>
      <c r="U23" s="31">
        <f>762-318</f>
        <v>444</v>
      </c>
      <c r="V23" s="31">
        <v>288</v>
      </c>
      <c r="W23" s="31">
        <v>288</v>
      </c>
      <c r="X23" s="31">
        <v>402</v>
      </c>
      <c r="Y23" s="24"/>
      <c r="Z23" s="24"/>
      <c r="AA23" s="24"/>
      <c r="AB23" s="24"/>
      <c r="AC23" s="24"/>
      <c r="AD23" s="24"/>
      <c r="AE23" s="24"/>
      <c r="AF23" s="32">
        <f t="shared" si="11"/>
        <v>762</v>
      </c>
      <c r="AG23" s="32">
        <f t="shared" si="11"/>
        <v>762</v>
      </c>
      <c r="AH23" s="32">
        <f t="shared" si="11"/>
        <v>762</v>
      </c>
      <c r="AI23" s="32">
        <f t="shared" si="11"/>
        <v>444</v>
      </c>
      <c r="AJ23" s="32">
        <f t="shared" si="12"/>
        <v>288</v>
      </c>
      <c r="AK23" s="32">
        <f t="shared" si="12"/>
        <v>288</v>
      </c>
      <c r="AL23" s="32">
        <f t="shared" si="12"/>
        <v>402</v>
      </c>
      <c r="AM23" s="32"/>
      <c r="AN23" s="32"/>
      <c r="AO23" s="32"/>
      <c r="AP23" s="32"/>
      <c r="AQ23" s="32"/>
      <c r="AR23" s="32"/>
      <c r="AS23" s="32"/>
      <c r="AT23" s="208"/>
      <c r="AU23" s="208"/>
      <c r="AV23" s="208"/>
      <c r="AW23" s="208"/>
      <c r="AX23" s="208"/>
      <c r="AY23" s="208"/>
      <c r="AZ23" s="208"/>
      <c r="BA23" s="30">
        <f t="shared" si="15"/>
        <v>0</v>
      </c>
      <c r="BB23" s="30">
        <f t="shared" si="15"/>
        <v>0</v>
      </c>
      <c r="BC23" s="30">
        <f t="shared" si="15"/>
        <v>0</v>
      </c>
      <c r="BD23" s="30">
        <f t="shared" si="15"/>
        <v>0</v>
      </c>
      <c r="BE23" s="30">
        <f t="shared" si="15"/>
        <v>0</v>
      </c>
      <c r="BF23" s="30">
        <f t="shared" si="15"/>
        <v>0</v>
      </c>
      <c r="BG23" s="30">
        <f t="shared" si="15"/>
        <v>0</v>
      </c>
      <c r="BH23" s="32">
        <f t="shared" si="13"/>
        <v>762</v>
      </c>
      <c r="BI23" s="211">
        <f t="shared" si="14"/>
        <v>762</v>
      </c>
      <c r="BJ23" s="211">
        <f t="shared" si="14"/>
        <v>762</v>
      </c>
      <c r="BK23" s="211">
        <f t="shared" si="14"/>
        <v>444</v>
      </c>
      <c r="BL23" s="211">
        <f t="shared" si="10"/>
        <v>288</v>
      </c>
      <c r="BM23" s="211">
        <f t="shared" si="10"/>
        <v>288</v>
      </c>
      <c r="BN23" s="211">
        <f t="shared" si="10"/>
        <v>402</v>
      </c>
      <c r="BO23" s="211">
        <f t="shared" si="16"/>
        <v>90.54054054054053</v>
      </c>
      <c r="BS23" s="254"/>
      <c r="BT23" s="254"/>
    </row>
    <row r="24" spans="1:67" ht="15">
      <c r="A24" s="208">
        <v>19</v>
      </c>
      <c r="B24" s="31">
        <v>680002</v>
      </c>
      <c r="C24" s="31" t="s">
        <v>705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4">
        <v>6477</v>
      </c>
      <c r="S24" s="24">
        <v>6477</v>
      </c>
      <c r="T24" s="24">
        <v>6477</v>
      </c>
      <c r="U24" s="24">
        <f>6477-1524</f>
        <v>4953</v>
      </c>
      <c r="V24" s="24">
        <f>1962+30</f>
        <v>1992</v>
      </c>
      <c r="W24" s="24">
        <v>3272</v>
      </c>
      <c r="X24" s="24">
        <v>4753</v>
      </c>
      <c r="Y24" s="24"/>
      <c r="Z24" s="24"/>
      <c r="AA24" s="24"/>
      <c r="AB24" s="24"/>
      <c r="AC24" s="24"/>
      <c r="AD24" s="24"/>
      <c r="AE24" s="24"/>
      <c r="AF24" s="32">
        <f t="shared" si="11"/>
        <v>6477</v>
      </c>
      <c r="AG24" s="32">
        <f t="shared" si="11"/>
        <v>6477</v>
      </c>
      <c r="AH24" s="32">
        <f t="shared" si="11"/>
        <v>6477</v>
      </c>
      <c r="AI24" s="32">
        <f t="shared" si="11"/>
        <v>4953</v>
      </c>
      <c r="AJ24" s="32">
        <f t="shared" si="12"/>
        <v>1992</v>
      </c>
      <c r="AK24" s="32">
        <f t="shared" si="12"/>
        <v>3272</v>
      </c>
      <c r="AL24" s="32">
        <f t="shared" si="12"/>
        <v>4753</v>
      </c>
      <c r="AM24" s="32"/>
      <c r="AN24" s="32"/>
      <c r="AO24" s="32"/>
      <c r="AP24" s="32"/>
      <c r="AQ24" s="32"/>
      <c r="AR24" s="32"/>
      <c r="AS24" s="32"/>
      <c r="AT24" s="208"/>
      <c r="AU24" s="208"/>
      <c r="AV24" s="208"/>
      <c r="AW24" s="208"/>
      <c r="AX24" s="208"/>
      <c r="AY24" s="208"/>
      <c r="AZ24" s="208"/>
      <c r="BA24" s="30">
        <f t="shared" si="15"/>
        <v>0</v>
      </c>
      <c r="BB24" s="30">
        <f t="shared" si="15"/>
        <v>0</v>
      </c>
      <c r="BC24" s="30">
        <f t="shared" si="15"/>
        <v>0</v>
      </c>
      <c r="BD24" s="30">
        <f t="shared" si="15"/>
        <v>0</v>
      </c>
      <c r="BE24" s="30">
        <f t="shared" si="15"/>
        <v>0</v>
      </c>
      <c r="BF24" s="30">
        <f t="shared" si="15"/>
        <v>0</v>
      </c>
      <c r="BG24" s="30">
        <f t="shared" si="15"/>
        <v>0</v>
      </c>
      <c r="BH24" s="32">
        <f t="shared" si="13"/>
        <v>6477</v>
      </c>
      <c r="BI24" s="211">
        <f t="shared" si="14"/>
        <v>6477</v>
      </c>
      <c r="BJ24" s="211">
        <f t="shared" si="14"/>
        <v>6477</v>
      </c>
      <c r="BK24" s="211">
        <f t="shared" si="14"/>
        <v>4953</v>
      </c>
      <c r="BL24" s="211">
        <f t="shared" si="10"/>
        <v>1992</v>
      </c>
      <c r="BM24" s="211">
        <f t="shared" si="10"/>
        <v>3272</v>
      </c>
      <c r="BN24" s="211">
        <f t="shared" si="10"/>
        <v>4753</v>
      </c>
      <c r="BO24" s="211">
        <f t="shared" si="16"/>
        <v>95.9620432061377</v>
      </c>
    </row>
    <row r="25" spans="1:67" ht="15">
      <c r="A25" s="208">
        <v>20</v>
      </c>
      <c r="B25" s="31">
        <v>750000</v>
      </c>
      <c r="C25" s="31" t="s">
        <v>706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31">
        <v>254</v>
      </c>
      <c r="S25" s="31">
        <v>254</v>
      </c>
      <c r="T25" s="31">
        <v>254</v>
      </c>
      <c r="U25" s="31">
        <v>254</v>
      </c>
      <c r="V25" s="31"/>
      <c r="W25" s="31">
        <v>0</v>
      </c>
      <c r="X25" s="31">
        <v>250</v>
      </c>
      <c r="Y25" s="208"/>
      <c r="Z25" s="208"/>
      <c r="AA25" s="208"/>
      <c r="AB25" s="208"/>
      <c r="AC25" s="208"/>
      <c r="AD25" s="208">
        <v>250</v>
      </c>
      <c r="AE25" s="208"/>
      <c r="AF25" s="32">
        <f t="shared" si="11"/>
        <v>254</v>
      </c>
      <c r="AG25" s="32">
        <f t="shared" si="11"/>
        <v>254</v>
      </c>
      <c r="AH25" s="32">
        <f t="shared" si="11"/>
        <v>254</v>
      </c>
      <c r="AI25" s="32">
        <f t="shared" si="11"/>
        <v>254</v>
      </c>
      <c r="AJ25" s="32">
        <f t="shared" si="12"/>
        <v>0</v>
      </c>
      <c r="AK25" s="32">
        <f t="shared" si="12"/>
        <v>250</v>
      </c>
      <c r="AL25" s="32">
        <f t="shared" si="12"/>
        <v>250</v>
      </c>
      <c r="AM25" s="32"/>
      <c r="AN25" s="32"/>
      <c r="AO25" s="32"/>
      <c r="AP25" s="32"/>
      <c r="AQ25" s="32"/>
      <c r="AR25" s="32"/>
      <c r="AS25" s="32"/>
      <c r="AT25" s="208"/>
      <c r="AU25" s="208"/>
      <c r="AV25" s="208"/>
      <c r="AW25" s="208"/>
      <c r="AX25" s="208"/>
      <c r="AY25" s="208"/>
      <c r="AZ25" s="208"/>
      <c r="BA25" s="30">
        <f t="shared" si="15"/>
        <v>0</v>
      </c>
      <c r="BB25" s="30">
        <f t="shared" si="15"/>
        <v>0</v>
      </c>
      <c r="BC25" s="30">
        <f t="shared" si="15"/>
        <v>0</v>
      </c>
      <c r="BD25" s="30">
        <f t="shared" si="15"/>
        <v>0</v>
      </c>
      <c r="BE25" s="30">
        <f t="shared" si="15"/>
        <v>0</v>
      </c>
      <c r="BF25" s="30">
        <f t="shared" si="15"/>
        <v>0</v>
      </c>
      <c r="BG25" s="30">
        <f t="shared" si="15"/>
        <v>0</v>
      </c>
      <c r="BH25" s="32">
        <f t="shared" si="13"/>
        <v>254</v>
      </c>
      <c r="BI25" s="211">
        <f t="shared" si="14"/>
        <v>254</v>
      </c>
      <c r="BJ25" s="211">
        <f t="shared" si="14"/>
        <v>254</v>
      </c>
      <c r="BK25" s="211">
        <f t="shared" si="14"/>
        <v>254</v>
      </c>
      <c r="BL25" s="211">
        <f t="shared" si="10"/>
        <v>0</v>
      </c>
      <c r="BM25" s="211">
        <f t="shared" si="10"/>
        <v>250</v>
      </c>
      <c r="BN25" s="211">
        <f t="shared" si="10"/>
        <v>250</v>
      </c>
      <c r="BO25" s="211">
        <f t="shared" si="16"/>
        <v>98.4251968503937</v>
      </c>
    </row>
    <row r="26" spans="1:67" ht="15">
      <c r="A26" s="208">
        <v>21</v>
      </c>
      <c r="B26" s="31">
        <v>841358</v>
      </c>
      <c r="C26" s="31" t="s">
        <v>1313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4">
        <v>3600</v>
      </c>
      <c r="Z26" s="24">
        <v>3600</v>
      </c>
      <c r="AA26" s="24">
        <v>3600</v>
      </c>
      <c r="AB26" s="24">
        <v>3600</v>
      </c>
      <c r="AC26" s="24">
        <v>1800</v>
      </c>
      <c r="AD26" s="24">
        <v>2700</v>
      </c>
      <c r="AE26" s="24">
        <v>3600</v>
      </c>
      <c r="AF26" s="32">
        <f t="shared" si="11"/>
        <v>3600</v>
      </c>
      <c r="AG26" s="32">
        <f t="shared" si="11"/>
        <v>3600</v>
      </c>
      <c r="AH26" s="32">
        <f t="shared" si="11"/>
        <v>3600</v>
      </c>
      <c r="AI26" s="32">
        <f t="shared" si="11"/>
        <v>3600</v>
      </c>
      <c r="AJ26" s="32">
        <f t="shared" si="12"/>
        <v>1800</v>
      </c>
      <c r="AK26" s="32">
        <f t="shared" si="12"/>
        <v>2700</v>
      </c>
      <c r="AL26" s="32">
        <f t="shared" si="12"/>
        <v>3600</v>
      </c>
      <c r="AM26" s="32"/>
      <c r="AN26" s="32"/>
      <c r="AO26" s="32"/>
      <c r="AP26" s="32"/>
      <c r="AQ26" s="32"/>
      <c r="AR26" s="32"/>
      <c r="AS26" s="32"/>
      <c r="AT26" s="208"/>
      <c r="AU26" s="208"/>
      <c r="AV26" s="208"/>
      <c r="AW26" s="208"/>
      <c r="AX26" s="208"/>
      <c r="AY26" s="208"/>
      <c r="AZ26" s="208"/>
      <c r="BA26" s="30">
        <f t="shared" si="15"/>
        <v>0</v>
      </c>
      <c r="BB26" s="30">
        <f t="shared" si="15"/>
        <v>0</v>
      </c>
      <c r="BC26" s="30">
        <f t="shared" si="15"/>
        <v>0</v>
      </c>
      <c r="BD26" s="30">
        <f t="shared" si="15"/>
        <v>0</v>
      </c>
      <c r="BE26" s="30">
        <f t="shared" si="15"/>
        <v>0</v>
      </c>
      <c r="BF26" s="30">
        <f t="shared" si="15"/>
        <v>0</v>
      </c>
      <c r="BG26" s="30">
        <f t="shared" si="15"/>
        <v>0</v>
      </c>
      <c r="BH26" s="32">
        <f t="shared" si="13"/>
        <v>3600</v>
      </c>
      <c r="BI26" s="211">
        <f t="shared" si="14"/>
        <v>3600</v>
      </c>
      <c r="BJ26" s="211">
        <f t="shared" si="14"/>
        <v>3600</v>
      </c>
      <c r="BK26" s="211">
        <f t="shared" si="14"/>
        <v>3600</v>
      </c>
      <c r="BL26" s="211">
        <f t="shared" si="10"/>
        <v>1800</v>
      </c>
      <c r="BM26" s="211">
        <f t="shared" si="10"/>
        <v>2700</v>
      </c>
      <c r="BN26" s="211">
        <f t="shared" si="10"/>
        <v>3600</v>
      </c>
      <c r="BO26" s="211">
        <f t="shared" si="16"/>
        <v>100</v>
      </c>
    </row>
    <row r="27" spans="1:67" ht="15">
      <c r="A27" s="208">
        <v>22</v>
      </c>
      <c r="B27" s="31">
        <v>841402</v>
      </c>
      <c r="C27" s="31" t="s">
        <v>707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31">
        <v>15058</v>
      </c>
      <c r="S27" s="31">
        <v>15058</v>
      </c>
      <c r="T27" s="31">
        <v>15258</v>
      </c>
      <c r="U27" s="31">
        <v>17163</v>
      </c>
      <c r="V27" s="31">
        <v>7484</v>
      </c>
      <c r="W27" s="31">
        <v>12052</v>
      </c>
      <c r="X27" s="31">
        <v>16771</v>
      </c>
      <c r="Y27" s="208"/>
      <c r="Z27" s="208"/>
      <c r="AA27" s="208"/>
      <c r="AB27" s="208"/>
      <c r="AC27" s="208"/>
      <c r="AD27" s="208"/>
      <c r="AE27" s="208"/>
      <c r="AF27" s="32">
        <f t="shared" si="11"/>
        <v>15058</v>
      </c>
      <c r="AG27" s="32">
        <f t="shared" si="11"/>
        <v>15058</v>
      </c>
      <c r="AH27" s="32">
        <f t="shared" si="11"/>
        <v>15258</v>
      </c>
      <c r="AI27" s="32">
        <f t="shared" si="11"/>
        <v>17163</v>
      </c>
      <c r="AJ27" s="32">
        <f t="shared" si="12"/>
        <v>7484</v>
      </c>
      <c r="AK27" s="32">
        <f t="shared" si="12"/>
        <v>12052</v>
      </c>
      <c r="AL27" s="32">
        <f t="shared" si="12"/>
        <v>16771</v>
      </c>
      <c r="AM27" s="32"/>
      <c r="AN27" s="32"/>
      <c r="AO27" s="32"/>
      <c r="AP27" s="32"/>
      <c r="AQ27" s="32"/>
      <c r="AR27" s="32"/>
      <c r="AS27" s="32"/>
      <c r="AT27" s="208"/>
      <c r="AU27" s="208"/>
      <c r="AV27" s="208"/>
      <c r="AW27" s="208"/>
      <c r="AX27" s="208"/>
      <c r="AY27" s="208"/>
      <c r="AZ27" s="208"/>
      <c r="BA27" s="30">
        <f t="shared" si="15"/>
        <v>0</v>
      </c>
      <c r="BB27" s="30">
        <f t="shared" si="15"/>
        <v>0</v>
      </c>
      <c r="BC27" s="30">
        <f t="shared" si="15"/>
        <v>0</v>
      </c>
      <c r="BD27" s="30">
        <f t="shared" si="15"/>
        <v>0</v>
      </c>
      <c r="BE27" s="30">
        <f t="shared" si="15"/>
        <v>0</v>
      </c>
      <c r="BF27" s="30">
        <f t="shared" si="15"/>
        <v>0</v>
      </c>
      <c r="BG27" s="30">
        <f t="shared" si="15"/>
        <v>0</v>
      </c>
      <c r="BH27" s="32">
        <f t="shared" si="13"/>
        <v>15058</v>
      </c>
      <c r="BI27" s="211">
        <f t="shared" si="14"/>
        <v>15058</v>
      </c>
      <c r="BJ27" s="211">
        <f t="shared" si="14"/>
        <v>15258</v>
      </c>
      <c r="BK27" s="211">
        <f t="shared" si="14"/>
        <v>17163</v>
      </c>
      <c r="BL27" s="211">
        <f t="shared" si="10"/>
        <v>7484</v>
      </c>
      <c r="BM27" s="211">
        <f t="shared" si="10"/>
        <v>12052</v>
      </c>
      <c r="BN27" s="211">
        <f t="shared" si="10"/>
        <v>16771</v>
      </c>
      <c r="BO27" s="211">
        <f t="shared" si="16"/>
        <v>97.71601701334266</v>
      </c>
    </row>
    <row r="28" spans="1:67" ht="15">
      <c r="A28" s="208">
        <v>23</v>
      </c>
      <c r="B28" s="31">
        <v>841154</v>
      </c>
      <c r="C28" s="31" t="s">
        <v>1314</v>
      </c>
      <c r="D28" s="31">
        <v>14699</v>
      </c>
      <c r="E28" s="31">
        <f>14699+243</f>
        <v>14942</v>
      </c>
      <c r="F28" s="31">
        <f>15512+494</f>
        <v>16006</v>
      </c>
      <c r="G28" s="31">
        <f>15627-58-1000</f>
        <v>14569</v>
      </c>
      <c r="H28" s="31">
        <f>7860+15</f>
        <v>7875</v>
      </c>
      <c r="I28" s="31">
        <f>11351+16-463</f>
        <v>10904</v>
      </c>
      <c r="J28" s="31">
        <v>14421</v>
      </c>
      <c r="K28" s="31">
        <v>3832</v>
      </c>
      <c r="L28" s="31">
        <f>3832+66+2372</f>
        <v>6270</v>
      </c>
      <c r="M28" s="31">
        <f>6598-750</f>
        <v>5848</v>
      </c>
      <c r="N28" s="31">
        <f>6627-7-270-1012</f>
        <v>5338</v>
      </c>
      <c r="O28" s="31">
        <f>2086+1360</f>
        <v>3446</v>
      </c>
      <c r="P28" s="31">
        <f>3016+1360+371+2</f>
        <v>4749</v>
      </c>
      <c r="Q28" s="31">
        <v>5275</v>
      </c>
      <c r="R28" s="31">
        <v>19366</v>
      </c>
      <c r="S28" s="31">
        <f>19366-2372</f>
        <v>16994</v>
      </c>
      <c r="T28" s="31">
        <f>17398+485</f>
        <v>17883</v>
      </c>
      <c r="U28" s="31">
        <f>18143-2668-37</f>
        <v>15438</v>
      </c>
      <c r="V28" s="31">
        <f>5888+28</f>
        <v>5916</v>
      </c>
      <c r="W28" s="31">
        <v>8715</v>
      </c>
      <c r="X28" s="31">
        <v>13311</v>
      </c>
      <c r="Y28" s="208"/>
      <c r="Z28" s="208"/>
      <c r="AA28" s="208"/>
      <c r="AB28" s="208"/>
      <c r="AC28" s="212"/>
      <c r="AD28" s="212"/>
      <c r="AE28" s="212"/>
      <c r="AF28" s="32">
        <f t="shared" si="11"/>
        <v>37897</v>
      </c>
      <c r="AG28" s="32">
        <f t="shared" si="11"/>
        <v>38206</v>
      </c>
      <c r="AH28" s="32">
        <f t="shared" si="11"/>
        <v>39737</v>
      </c>
      <c r="AI28" s="32">
        <f t="shared" si="11"/>
        <v>35345</v>
      </c>
      <c r="AJ28" s="32">
        <f t="shared" si="12"/>
        <v>17237</v>
      </c>
      <c r="AK28" s="32">
        <f t="shared" si="12"/>
        <v>24368</v>
      </c>
      <c r="AL28" s="32">
        <f t="shared" si="12"/>
        <v>33007</v>
      </c>
      <c r="AM28" s="32"/>
      <c r="AN28" s="32"/>
      <c r="AO28" s="32"/>
      <c r="AP28" s="32"/>
      <c r="AQ28" s="32"/>
      <c r="AR28" s="32"/>
      <c r="AS28" s="32"/>
      <c r="AT28" s="31">
        <v>953</v>
      </c>
      <c r="AU28" s="31">
        <f>953+363</f>
        <v>1316</v>
      </c>
      <c r="AV28" s="31">
        <v>1634</v>
      </c>
      <c r="AW28" s="31">
        <v>3434</v>
      </c>
      <c r="AX28" s="31">
        <v>1016</v>
      </c>
      <c r="AY28" s="31">
        <f>1230-5</f>
        <v>1225</v>
      </c>
      <c r="AZ28" s="31">
        <v>2714</v>
      </c>
      <c r="BA28" s="30">
        <f t="shared" si="15"/>
        <v>953</v>
      </c>
      <c r="BB28" s="30">
        <f t="shared" si="15"/>
        <v>1316</v>
      </c>
      <c r="BC28" s="30">
        <f t="shared" si="15"/>
        <v>1634</v>
      </c>
      <c r="BD28" s="30">
        <f t="shared" si="15"/>
        <v>3434</v>
      </c>
      <c r="BE28" s="30">
        <f t="shared" si="15"/>
        <v>1016</v>
      </c>
      <c r="BF28" s="30">
        <f t="shared" si="15"/>
        <v>1225</v>
      </c>
      <c r="BG28" s="30">
        <f t="shared" si="15"/>
        <v>2714</v>
      </c>
      <c r="BH28" s="32">
        <f t="shared" si="13"/>
        <v>38850</v>
      </c>
      <c r="BI28" s="211">
        <f t="shared" si="14"/>
        <v>39522</v>
      </c>
      <c r="BJ28" s="211">
        <f t="shared" si="14"/>
        <v>41371</v>
      </c>
      <c r="BK28" s="211">
        <f t="shared" si="14"/>
        <v>38779</v>
      </c>
      <c r="BL28" s="211">
        <f t="shared" si="10"/>
        <v>18253</v>
      </c>
      <c r="BM28" s="211">
        <f t="shared" si="10"/>
        <v>25593</v>
      </c>
      <c r="BN28" s="211">
        <f t="shared" si="10"/>
        <v>35721</v>
      </c>
      <c r="BO28" s="211">
        <f t="shared" si="16"/>
        <v>92.1142886613889</v>
      </c>
    </row>
    <row r="29" spans="1:67" ht="15">
      <c r="A29" s="208">
        <v>24</v>
      </c>
      <c r="B29" s="31">
        <v>841403</v>
      </c>
      <c r="C29" s="31" t="s">
        <v>708</v>
      </c>
      <c r="D29" s="208"/>
      <c r="E29" s="208"/>
      <c r="F29" s="208">
        <v>120</v>
      </c>
      <c r="G29" s="208">
        <v>135</v>
      </c>
      <c r="H29" s="208">
        <v>60</v>
      </c>
      <c r="I29" s="208">
        <v>60</v>
      </c>
      <c r="J29" s="208">
        <v>135</v>
      </c>
      <c r="K29" s="208"/>
      <c r="L29" s="208"/>
      <c r="M29" s="208">
        <v>33</v>
      </c>
      <c r="N29" s="208">
        <v>38</v>
      </c>
      <c r="O29" s="208">
        <v>16</v>
      </c>
      <c r="P29" s="208">
        <f>16+2</f>
        <v>18</v>
      </c>
      <c r="Q29" s="208">
        <v>20</v>
      </c>
      <c r="R29" s="24">
        <v>13255</v>
      </c>
      <c r="S29" s="24">
        <f>13255+254+127+1270</f>
        <v>14906</v>
      </c>
      <c r="T29" s="24">
        <v>18609</v>
      </c>
      <c r="U29" s="24">
        <f>18735-1223</f>
        <v>17512</v>
      </c>
      <c r="V29" s="24">
        <f>5163+30</f>
        <v>5193</v>
      </c>
      <c r="W29" s="24">
        <f>11402+15</f>
        <v>11417</v>
      </c>
      <c r="X29" s="24">
        <v>17023</v>
      </c>
      <c r="Y29" s="24"/>
      <c r="Z29" s="24"/>
      <c r="AA29" s="24"/>
      <c r="AB29" s="24"/>
      <c r="AC29" s="24"/>
      <c r="AD29" s="24"/>
      <c r="AE29" s="24"/>
      <c r="AF29" s="32">
        <f t="shared" si="11"/>
        <v>13255</v>
      </c>
      <c r="AG29" s="32">
        <f t="shared" si="11"/>
        <v>14906</v>
      </c>
      <c r="AH29" s="32">
        <f t="shared" si="11"/>
        <v>18762</v>
      </c>
      <c r="AI29" s="32">
        <f t="shared" si="11"/>
        <v>17685</v>
      </c>
      <c r="AJ29" s="32">
        <f t="shared" si="12"/>
        <v>5269</v>
      </c>
      <c r="AK29" s="32">
        <f t="shared" si="12"/>
        <v>11495</v>
      </c>
      <c r="AL29" s="32">
        <f t="shared" si="12"/>
        <v>17178</v>
      </c>
      <c r="AM29" s="32">
        <v>2500</v>
      </c>
      <c r="AN29" s="32">
        <v>2500</v>
      </c>
      <c r="AO29" s="32">
        <v>2500</v>
      </c>
      <c r="AP29" s="32">
        <f>2500-1907</f>
        <v>593</v>
      </c>
      <c r="AQ29" s="32">
        <v>37</v>
      </c>
      <c r="AR29" s="32">
        <v>37</v>
      </c>
      <c r="AS29" s="32">
        <v>593</v>
      </c>
      <c r="AT29" s="24">
        <v>18233</v>
      </c>
      <c r="AU29" s="24">
        <f>18233+1586+500-6350+320</f>
        <v>14289</v>
      </c>
      <c r="AV29" s="24">
        <v>14543</v>
      </c>
      <c r="AW29" s="24">
        <f>14843-1270-1557-1999-635</f>
        <v>9382</v>
      </c>
      <c r="AX29" s="24">
        <v>5210</v>
      </c>
      <c r="AY29" s="24">
        <f>8889-42</f>
        <v>8847</v>
      </c>
      <c r="AZ29" s="24">
        <v>9360</v>
      </c>
      <c r="BA29" s="30">
        <f t="shared" si="15"/>
        <v>20733</v>
      </c>
      <c r="BB29" s="30">
        <f t="shared" si="15"/>
        <v>16789</v>
      </c>
      <c r="BC29" s="30">
        <f t="shared" si="15"/>
        <v>17043</v>
      </c>
      <c r="BD29" s="30">
        <f t="shared" si="15"/>
        <v>9975</v>
      </c>
      <c r="BE29" s="30">
        <f t="shared" si="15"/>
        <v>5247</v>
      </c>
      <c r="BF29" s="30">
        <f t="shared" si="15"/>
        <v>8884</v>
      </c>
      <c r="BG29" s="30">
        <f t="shared" si="15"/>
        <v>9953</v>
      </c>
      <c r="BH29" s="32">
        <f t="shared" si="13"/>
        <v>33988</v>
      </c>
      <c r="BI29" s="211">
        <f t="shared" si="14"/>
        <v>31695</v>
      </c>
      <c r="BJ29" s="211">
        <f t="shared" si="14"/>
        <v>35805</v>
      </c>
      <c r="BK29" s="211">
        <f t="shared" si="14"/>
        <v>27660</v>
      </c>
      <c r="BL29" s="211">
        <f t="shared" si="10"/>
        <v>10516</v>
      </c>
      <c r="BM29" s="211">
        <f t="shared" si="10"/>
        <v>20379</v>
      </c>
      <c r="BN29" s="211">
        <f t="shared" si="10"/>
        <v>27131</v>
      </c>
      <c r="BO29" s="211">
        <f t="shared" si="16"/>
        <v>98.08749096167752</v>
      </c>
    </row>
    <row r="30" spans="1:67" ht="15">
      <c r="A30" s="208">
        <v>25</v>
      </c>
      <c r="B30" s="31">
        <v>842155</v>
      </c>
      <c r="C30" s="31" t="s">
        <v>709</v>
      </c>
      <c r="D30" s="208"/>
      <c r="E30" s="208"/>
      <c r="F30" s="208"/>
      <c r="G30" s="208"/>
      <c r="H30" s="208"/>
      <c r="I30" s="208"/>
      <c r="J30" s="250"/>
      <c r="K30" s="208"/>
      <c r="L30" s="208"/>
      <c r="M30" s="208"/>
      <c r="N30" s="208"/>
      <c r="O30" s="208"/>
      <c r="P30" s="208"/>
      <c r="Q30" s="208"/>
      <c r="R30" s="24">
        <v>635</v>
      </c>
      <c r="S30" s="24">
        <v>635</v>
      </c>
      <c r="T30" s="24">
        <v>635</v>
      </c>
      <c r="U30" s="24">
        <v>635</v>
      </c>
      <c r="V30" s="24">
        <v>194</v>
      </c>
      <c r="W30" s="24">
        <v>562</v>
      </c>
      <c r="X30" s="24">
        <v>586</v>
      </c>
      <c r="Y30" s="24"/>
      <c r="Z30" s="24"/>
      <c r="AA30" s="24"/>
      <c r="AB30" s="24"/>
      <c r="AC30" s="24"/>
      <c r="AD30" s="24"/>
      <c r="AE30" s="24"/>
      <c r="AF30" s="32">
        <f t="shared" si="11"/>
        <v>635</v>
      </c>
      <c r="AG30" s="32">
        <f t="shared" si="11"/>
        <v>635</v>
      </c>
      <c r="AH30" s="32">
        <f t="shared" si="11"/>
        <v>635</v>
      </c>
      <c r="AI30" s="32">
        <f t="shared" si="11"/>
        <v>635</v>
      </c>
      <c r="AJ30" s="32">
        <f t="shared" si="12"/>
        <v>194</v>
      </c>
      <c r="AK30" s="32">
        <f t="shared" si="12"/>
        <v>562</v>
      </c>
      <c r="AL30" s="32">
        <f t="shared" si="12"/>
        <v>586</v>
      </c>
      <c r="AM30" s="32"/>
      <c r="AN30" s="32"/>
      <c r="AO30" s="32"/>
      <c r="AP30" s="32"/>
      <c r="AQ30" s="32"/>
      <c r="AR30" s="32"/>
      <c r="AS30" s="32"/>
      <c r="AT30" s="24"/>
      <c r="AU30" s="24"/>
      <c r="AV30" s="24"/>
      <c r="AW30" s="24"/>
      <c r="AX30" s="24"/>
      <c r="AY30" s="24"/>
      <c r="AZ30" s="24"/>
      <c r="BA30" s="30">
        <f t="shared" si="15"/>
        <v>0</v>
      </c>
      <c r="BB30" s="30">
        <f t="shared" si="15"/>
        <v>0</v>
      </c>
      <c r="BC30" s="30">
        <f t="shared" si="15"/>
        <v>0</v>
      </c>
      <c r="BD30" s="30">
        <f t="shared" si="15"/>
        <v>0</v>
      </c>
      <c r="BE30" s="30">
        <f t="shared" si="15"/>
        <v>0</v>
      </c>
      <c r="BF30" s="30">
        <f t="shared" si="15"/>
        <v>0</v>
      </c>
      <c r="BG30" s="30">
        <f t="shared" si="15"/>
        <v>0</v>
      </c>
      <c r="BH30" s="32">
        <f t="shared" si="13"/>
        <v>635</v>
      </c>
      <c r="BI30" s="211">
        <f t="shared" si="14"/>
        <v>635</v>
      </c>
      <c r="BJ30" s="211">
        <f t="shared" si="14"/>
        <v>635</v>
      </c>
      <c r="BK30" s="211">
        <f t="shared" si="14"/>
        <v>635</v>
      </c>
      <c r="BL30" s="211">
        <f t="shared" si="10"/>
        <v>194</v>
      </c>
      <c r="BM30" s="211">
        <f t="shared" si="10"/>
        <v>562</v>
      </c>
      <c r="BN30" s="211">
        <f t="shared" si="10"/>
        <v>586</v>
      </c>
      <c r="BO30" s="211">
        <f t="shared" si="16"/>
        <v>92.28346456692913</v>
      </c>
    </row>
    <row r="31" spans="1:67" ht="15">
      <c r="A31" s="208">
        <v>26</v>
      </c>
      <c r="B31" s="31">
        <v>910123</v>
      </c>
      <c r="C31" s="31" t="s">
        <v>710</v>
      </c>
      <c r="D31" s="24">
        <v>360</v>
      </c>
      <c r="E31" s="24">
        <v>360</v>
      </c>
      <c r="F31" s="24">
        <v>360</v>
      </c>
      <c r="G31" s="24">
        <v>360</v>
      </c>
      <c r="H31" s="24">
        <v>150</v>
      </c>
      <c r="I31" s="24">
        <v>240</v>
      </c>
      <c r="J31" s="24">
        <v>360</v>
      </c>
      <c r="K31" s="24">
        <v>87</v>
      </c>
      <c r="L31" s="24">
        <v>87</v>
      </c>
      <c r="M31" s="24">
        <v>87</v>
      </c>
      <c r="N31" s="24">
        <v>87</v>
      </c>
      <c r="O31" s="24">
        <v>36</v>
      </c>
      <c r="P31" s="24">
        <f>58+8</f>
        <v>66</v>
      </c>
      <c r="Q31" s="24">
        <v>87</v>
      </c>
      <c r="R31" s="31">
        <v>306</v>
      </c>
      <c r="S31" s="31">
        <v>306</v>
      </c>
      <c r="T31" s="31">
        <v>306</v>
      </c>
      <c r="U31" s="31">
        <v>456</v>
      </c>
      <c r="V31" s="31">
        <v>159</v>
      </c>
      <c r="W31" s="31">
        <v>224</v>
      </c>
      <c r="X31" s="31">
        <v>496</v>
      </c>
      <c r="Y31" s="31">
        <v>150</v>
      </c>
      <c r="Z31" s="31">
        <v>150</v>
      </c>
      <c r="AA31" s="31">
        <v>150</v>
      </c>
      <c r="AB31" s="31"/>
      <c r="AC31" s="31"/>
      <c r="AD31" s="31"/>
      <c r="AE31" s="31"/>
      <c r="AF31" s="32">
        <f t="shared" si="11"/>
        <v>903</v>
      </c>
      <c r="AG31" s="32">
        <f t="shared" si="11"/>
        <v>903</v>
      </c>
      <c r="AH31" s="32">
        <f t="shared" si="11"/>
        <v>903</v>
      </c>
      <c r="AI31" s="32">
        <f t="shared" si="11"/>
        <v>903</v>
      </c>
      <c r="AJ31" s="32">
        <f t="shared" si="12"/>
        <v>345</v>
      </c>
      <c r="AK31" s="32">
        <f t="shared" si="12"/>
        <v>530</v>
      </c>
      <c r="AL31" s="32">
        <f t="shared" si="12"/>
        <v>943</v>
      </c>
      <c r="AM31" s="32"/>
      <c r="AN31" s="32"/>
      <c r="AO31" s="32"/>
      <c r="AP31" s="32"/>
      <c r="AQ31" s="32"/>
      <c r="AR31" s="32"/>
      <c r="AS31" s="32"/>
      <c r="AT31" s="31">
        <v>0</v>
      </c>
      <c r="AU31" s="31">
        <v>0</v>
      </c>
      <c r="AV31" s="31"/>
      <c r="AW31" s="31"/>
      <c r="AX31" s="31"/>
      <c r="AY31" s="31"/>
      <c r="AZ31" s="31"/>
      <c r="BA31" s="30">
        <f t="shared" si="15"/>
        <v>0</v>
      </c>
      <c r="BB31" s="30">
        <f t="shared" si="15"/>
        <v>0</v>
      </c>
      <c r="BC31" s="30">
        <f t="shared" si="15"/>
        <v>0</v>
      </c>
      <c r="BD31" s="30">
        <f t="shared" si="15"/>
        <v>0</v>
      </c>
      <c r="BE31" s="30">
        <f t="shared" si="15"/>
        <v>0</v>
      </c>
      <c r="BF31" s="30">
        <f t="shared" si="15"/>
        <v>0</v>
      </c>
      <c r="BG31" s="30">
        <f t="shared" si="15"/>
        <v>0</v>
      </c>
      <c r="BH31" s="32">
        <f t="shared" si="13"/>
        <v>903</v>
      </c>
      <c r="BI31" s="211">
        <f t="shared" si="14"/>
        <v>903</v>
      </c>
      <c r="BJ31" s="211">
        <f t="shared" si="14"/>
        <v>903</v>
      </c>
      <c r="BK31" s="211">
        <f t="shared" si="14"/>
        <v>903</v>
      </c>
      <c r="BL31" s="211">
        <f t="shared" si="10"/>
        <v>345</v>
      </c>
      <c r="BM31" s="211">
        <f t="shared" si="10"/>
        <v>530</v>
      </c>
      <c r="BN31" s="211">
        <f t="shared" si="10"/>
        <v>943</v>
      </c>
      <c r="BO31" s="211">
        <f t="shared" si="16"/>
        <v>104.42967884828349</v>
      </c>
    </row>
    <row r="32" spans="1:67" ht="15">
      <c r="A32" s="208">
        <v>27</v>
      </c>
      <c r="B32" s="31">
        <v>910502</v>
      </c>
      <c r="C32" s="31" t="s">
        <v>553</v>
      </c>
      <c r="D32" s="24">
        <v>1370</v>
      </c>
      <c r="E32" s="24">
        <f>1370+69</f>
        <v>1439</v>
      </c>
      <c r="F32" s="24">
        <v>1517</v>
      </c>
      <c r="G32" s="24">
        <v>1556</v>
      </c>
      <c r="H32" s="24">
        <v>720</v>
      </c>
      <c r="I32" s="24">
        <v>1118</v>
      </c>
      <c r="J32" s="24">
        <v>1483</v>
      </c>
      <c r="K32" s="24">
        <v>364</v>
      </c>
      <c r="L32" s="24">
        <f>364+19</f>
        <v>383</v>
      </c>
      <c r="M32" s="24">
        <v>417</v>
      </c>
      <c r="N32" s="24">
        <v>426</v>
      </c>
      <c r="O32" s="24">
        <v>110</v>
      </c>
      <c r="P32" s="24">
        <f>175+38</f>
        <v>213</v>
      </c>
      <c r="Q32" s="24">
        <v>404</v>
      </c>
      <c r="R32" s="31">
        <v>6130</v>
      </c>
      <c r="S32" s="31">
        <f>6130+440+500+200</f>
        <v>7270</v>
      </c>
      <c r="T32" s="31">
        <v>8068</v>
      </c>
      <c r="U32" s="31">
        <f>8281-1123</f>
        <v>7158</v>
      </c>
      <c r="V32" s="31">
        <v>2057</v>
      </c>
      <c r="W32" s="31">
        <v>5735</v>
      </c>
      <c r="X32" s="31">
        <v>7200</v>
      </c>
      <c r="Y32" s="208"/>
      <c r="Z32" s="208"/>
      <c r="AA32" s="208"/>
      <c r="AB32" s="208"/>
      <c r="AC32" s="208"/>
      <c r="AD32" s="208"/>
      <c r="AE32" s="208"/>
      <c r="AF32" s="32">
        <f t="shared" si="11"/>
        <v>7864</v>
      </c>
      <c r="AG32" s="32">
        <f t="shared" si="11"/>
        <v>9092</v>
      </c>
      <c r="AH32" s="32">
        <f t="shared" si="11"/>
        <v>10002</v>
      </c>
      <c r="AI32" s="32">
        <f t="shared" si="11"/>
        <v>9140</v>
      </c>
      <c r="AJ32" s="32">
        <f t="shared" si="12"/>
        <v>2887</v>
      </c>
      <c r="AK32" s="32">
        <f t="shared" si="12"/>
        <v>7066</v>
      </c>
      <c r="AL32" s="32">
        <f t="shared" si="12"/>
        <v>9087</v>
      </c>
      <c r="AM32" s="32"/>
      <c r="AN32" s="32"/>
      <c r="AO32" s="32"/>
      <c r="AP32" s="32"/>
      <c r="AQ32" s="32"/>
      <c r="AR32" s="32"/>
      <c r="AS32" s="32"/>
      <c r="AT32" s="31"/>
      <c r="AU32" s="31"/>
      <c r="AV32" s="31"/>
      <c r="AW32" s="31"/>
      <c r="AX32" s="31"/>
      <c r="AY32" s="31"/>
      <c r="AZ32" s="31"/>
      <c r="BA32" s="30">
        <f t="shared" si="15"/>
        <v>0</v>
      </c>
      <c r="BB32" s="30">
        <f t="shared" si="15"/>
        <v>0</v>
      </c>
      <c r="BC32" s="30">
        <f t="shared" si="15"/>
        <v>0</v>
      </c>
      <c r="BD32" s="30">
        <f t="shared" si="15"/>
        <v>0</v>
      </c>
      <c r="BE32" s="30">
        <f t="shared" si="15"/>
        <v>0</v>
      </c>
      <c r="BF32" s="30">
        <f t="shared" si="15"/>
        <v>0</v>
      </c>
      <c r="BG32" s="30">
        <f t="shared" si="15"/>
        <v>0</v>
      </c>
      <c r="BH32" s="32">
        <f t="shared" si="13"/>
        <v>7864</v>
      </c>
      <c r="BI32" s="211">
        <f t="shared" si="14"/>
        <v>9092</v>
      </c>
      <c r="BJ32" s="211">
        <f t="shared" si="14"/>
        <v>10002</v>
      </c>
      <c r="BK32" s="211">
        <f t="shared" si="14"/>
        <v>9140</v>
      </c>
      <c r="BL32" s="211">
        <f t="shared" si="10"/>
        <v>2887</v>
      </c>
      <c r="BM32" s="211">
        <f t="shared" si="10"/>
        <v>7066</v>
      </c>
      <c r="BN32" s="211">
        <f t="shared" si="10"/>
        <v>9087</v>
      </c>
      <c r="BO32" s="211">
        <f t="shared" si="16"/>
        <v>99.42013129102844</v>
      </c>
    </row>
    <row r="33" spans="1:67" ht="15">
      <c r="A33" s="208">
        <v>28</v>
      </c>
      <c r="B33" s="31">
        <v>940000</v>
      </c>
      <c r="C33" s="31" t="s">
        <v>711</v>
      </c>
      <c r="D33" s="31">
        <v>250</v>
      </c>
      <c r="E33" s="31">
        <v>250</v>
      </c>
      <c r="F33" s="31">
        <v>250</v>
      </c>
      <c r="G33" s="31">
        <f>250+58</f>
        <v>308</v>
      </c>
      <c r="H33" s="31">
        <v>80</v>
      </c>
      <c r="I33" s="31">
        <v>173</v>
      </c>
      <c r="J33" s="31">
        <v>308</v>
      </c>
      <c r="K33" s="31">
        <v>68</v>
      </c>
      <c r="L33" s="31">
        <v>68</v>
      </c>
      <c r="M33" s="31">
        <v>68</v>
      </c>
      <c r="N33" s="31">
        <f>68+7</f>
        <v>75</v>
      </c>
      <c r="O33" s="31">
        <v>19</v>
      </c>
      <c r="P33" s="31">
        <f>42+7</f>
        <v>49</v>
      </c>
      <c r="Q33" s="31">
        <v>75</v>
      </c>
      <c r="R33" s="31">
        <v>127</v>
      </c>
      <c r="S33" s="31">
        <v>127</v>
      </c>
      <c r="T33" s="31">
        <v>127</v>
      </c>
      <c r="U33" s="31">
        <v>127</v>
      </c>
      <c r="V33" s="31">
        <v>14</v>
      </c>
      <c r="W33" s="31">
        <v>72</v>
      </c>
      <c r="X33" s="31">
        <v>123</v>
      </c>
      <c r="Y33" s="208"/>
      <c r="Z33" s="208"/>
      <c r="AA33" s="208"/>
      <c r="AB33" s="208"/>
      <c r="AC33" s="208"/>
      <c r="AD33" s="208"/>
      <c r="AE33" s="208"/>
      <c r="AF33" s="32">
        <f t="shared" si="11"/>
        <v>445</v>
      </c>
      <c r="AG33" s="32">
        <f t="shared" si="11"/>
        <v>445</v>
      </c>
      <c r="AH33" s="32">
        <f t="shared" si="11"/>
        <v>445</v>
      </c>
      <c r="AI33" s="32">
        <f t="shared" si="11"/>
        <v>510</v>
      </c>
      <c r="AJ33" s="32">
        <f t="shared" si="12"/>
        <v>113</v>
      </c>
      <c r="AK33" s="32">
        <f t="shared" si="12"/>
        <v>294</v>
      </c>
      <c r="AL33" s="32">
        <f t="shared" si="12"/>
        <v>506</v>
      </c>
      <c r="AM33" s="32"/>
      <c r="AN33" s="32"/>
      <c r="AO33" s="32"/>
      <c r="AP33" s="32"/>
      <c r="AQ33" s="32"/>
      <c r="AR33" s="32"/>
      <c r="AS33" s="32"/>
      <c r="AT33" s="208"/>
      <c r="AU33" s="208"/>
      <c r="AV33" s="208"/>
      <c r="AW33" s="208"/>
      <c r="AX33" s="208"/>
      <c r="AY33" s="208"/>
      <c r="AZ33" s="208"/>
      <c r="BA33" s="30">
        <f t="shared" si="15"/>
        <v>0</v>
      </c>
      <c r="BB33" s="30">
        <f t="shared" si="15"/>
        <v>0</v>
      </c>
      <c r="BC33" s="30">
        <f t="shared" si="15"/>
        <v>0</v>
      </c>
      <c r="BD33" s="30">
        <f t="shared" si="15"/>
        <v>0</v>
      </c>
      <c r="BE33" s="30">
        <f t="shared" si="15"/>
        <v>0</v>
      </c>
      <c r="BF33" s="30">
        <f t="shared" si="15"/>
        <v>0</v>
      </c>
      <c r="BG33" s="30">
        <f t="shared" si="15"/>
        <v>0</v>
      </c>
      <c r="BH33" s="32">
        <f t="shared" si="13"/>
        <v>445</v>
      </c>
      <c r="BI33" s="211">
        <f t="shared" si="14"/>
        <v>445</v>
      </c>
      <c r="BJ33" s="211">
        <f t="shared" si="14"/>
        <v>445</v>
      </c>
      <c r="BK33" s="211">
        <f t="shared" si="14"/>
        <v>510</v>
      </c>
      <c r="BL33" s="211">
        <f t="shared" si="10"/>
        <v>113</v>
      </c>
      <c r="BM33" s="211">
        <f t="shared" si="10"/>
        <v>294</v>
      </c>
      <c r="BN33" s="211">
        <f t="shared" si="10"/>
        <v>506</v>
      </c>
      <c r="BO33" s="211">
        <f t="shared" si="16"/>
        <v>99.2156862745098</v>
      </c>
    </row>
    <row r="34" spans="1:67" ht="15">
      <c r="A34" s="208">
        <v>29</v>
      </c>
      <c r="B34" s="31">
        <v>890301</v>
      </c>
      <c r="C34" s="31" t="s">
        <v>712</v>
      </c>
      <c r="D34" s="208"/>
      <c r="E34" s="208"/>
      <c r="F34" s="208"/>
      <c r="G34" s="208"/>
      <c r="H34" s="208"/>
      <c r="I34" s="208"/>
      <c r="J34" s="250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31">
        <v>480</v>
      </c>
      <c r="Z34" s="31">
        <f>480+50+25+50</f>
        <v>605</v>
      </c>
      <c r="AA34" s="31">
        <v>917</v>
      </c>
      <c r="AB34" s="31">
        <v>1037</v>
      </c>
      <c r="AC34" s="31">
        <f>506+50</f>
        <v>556</v>
      </c>
      <c r="AD34" s="31">
        <v>918</v>
      </c>
      <c r="AE34" s="251">
        <v>968</v>
      </c>
      <c r="AF34" s="32">
        <f t="shared" si="11"/>
        <v>480</v>
      </c>
      <c r="AG34" s="32">
        <f t="shared" si="11"/>
        <v>605</v>
      </c>
      <c r="AH34" s="32">
        <f t="shared" si="11"/>
        <v>917</v>
      </c>
      <c r="AI34" s="32">
        <f t="shared" si="11"/>
        <v>1037</v>
      </c>
      <c r="AJ34" s="32">
        <f t="shared" si="12"/>
        <v>556</v>
      </c>
      <c r="AK34" s="32">
        <f t="shared" si="12"/>
        <v>918</v>
      </c>
      <c r="AL34" s="32">
        <f t="shared" si="12"/>
        <v>968</v>
      </c>
      <c r="AM34" s="32"/>
      <c r="AN34" s="32"/>
      <c r="AO34" s="32"/>
      <c r="AP34" s="32"/>
      <c r="AQ34" s="32"/>
      <c r="AR34" s="32"/>
      <c r="AS34" s="32"/>
      <c r="AT34" s="208"/>
      <c r="AU34" s="208"/>
      <c r="AV34" s="208"/>
      <c r="AW34" s="208"/>
      <c r="AX34" s="208"/>
      <c r="AY34" s="208"/>
      <c r="AZ34" s="208"/>
      <c r="BA34" s="30">
        <f t="shared" si="15"/>
        <v>0</v>
      </c>
      <c r="BB34" s="30">
        <f t="shared" si="15"/>
        <v>0</v>
      </c>
      <c r="BC34" s="30">
        <f t="shared" si="15"/>
        <v>0</v>
      </c>
      <c r="BD34" s="30">
        <f t="shared" si="15"/>
        <v>0</v>
      </c>
      <c r="BE34" s="30">
        <f t="shared" si="15"/>
        <v>0</v>
      </c>
      <c r="BF34" s="30">
        <f t="shared" si="15"/>
        <v>0</v>
      </c>
      <c r="BG34" s="30">
        <f t="shared" si="15"/>
        <v>0</v>
      </c>
      <c r="BH34" s="32">
        <f t="shared" si="13"/>
        <v>480</v>
      </c>
      <c r="BI34" s="211">
        <f t="shared" si="14"/>
        <v>605</v>
      </c>
      <c r="BJ34" s="211">
        <f t="shared" si="14"/>
        <v>917</v>
      </c>
      <c r="BK34" s="211">
        <f t="shared" si="14"/>
        <v>1037</v>
      </c>
      <c r="BL34" s="211">
        <f t="shared" si="10"/>
        <v>556</v>
      </c>
      <c r="BM34" s="211">
        <f t="shared" si="10"/>
        <v>918</v>
      </c>
      <c r="BN34" s="211">
        <f t="shared" si="10"/>
        <v>968</v>
      </c>
      <c r="BO34" s="211">
        <f t="shared" si="16"/>
        <v>93.34619093539055</v>
      </c>
    </row>
    <row r="35" spans="1:67" ht="15">
      <c r="A35" s="208">
        <v>30</v>
      </c>
      <c r="B35" s="31">
        <v>852011</v>
      </c>
      <c r="C35" s="31" t="s">
        <v>1315</v>
      </c>
      <c r="D35" s="31">
        <v>3058</v>
      </c>
      <c r="E35" s="31">
        <f>3058+77</f>
        <v>3135</v>
      </c>
      <c r="F35" s="31">
        <v>3232</v>
      </c>
      <c r="G35" s="31">
        <v>3269</v>
      </c>
      <c r="H35" s="31">
        <f>1568+26</f>
        <v>1594</v>
      </c>
      <c r="I35" s="31">
        <v>2154</v>
      </c>
      <c r="J35" s="31">
        <v>2958</v>
      </c>
      <c r="K35" s="31">
        <v>803</v>
      </c>
      <c r="L35" s="31">
        <f>803+21</f>
        <v>824</v>
      </c>
      <c r="M35" s="31">
        <v>893</v>
      </c>
      <c r="N35" s="31">
        <v>905</v>
      </c>
      <c r="O35" s="31">
        <v>276</v>
      </c>
      <c r="P35" s="31">
        <f>386+73</f>
        <v>459</v>
      </c>
      <c r="Q35" s="31">
        <v>803</v>
      </c>
      <c r="R35" s="24">
        <v>15412</v>
      </c>
      <c r="S35" s="24">
        <f>15412+127</f>
        <v>15539</v>
      </c>
      <c r="T35" s="24">
        <v>16276</v>
      </c>
      <c r="U35" s="24">
        <f>16556-2023</f>
        <v>14533</v>
      </c>
      <c r="V35" s="24">
        <f>10232-1395</f>
        <v>8837</v>
      </c>
      <c r="W35" s="24">
        <f>11997-1949</f>
        <v>10048</v>
      </c>
      <c r="X35" s="24">
        <v>14099</v>
      </c>
      <c r="Y35" s="24"/>
      <c r="Z35" s="24"/>
      <c r="AA35" s="24"/>
      <c r="AB35" s="24"/>
      <c r="AC35" s="24"/>
      <c r="AD35" s="24"/>
      <c r="AE35" s="24"/>
      <c r="AF35" s="32">
        <f t="shared" si="11"/>
        <v>19273</v>
      </c>
      <c r="AG35" s="32">
        <f t="shared" si="11"/>
        <v>19498</v>
      </c>
      <c r="AH35" s="32">
        <f t="shared" si="11"/>
        <v>20401</v>
      </c>
      <c r="AI35" s="32">
        <f t="shared" si="11"/>
        <v>18707</v>
      </c>
      <c r="AJ35" s="32">
        <f t="shared" si="12"/>
        <v>10707</v>
      </c>
      <c r="AK35" s="32">
        <f t="shared" si="12"/>
        <v>12661</v>
      </c>
      <c r="AL35" s="32">
        <f t="shared" si="12"/>
        <v>17860</v>
      </c>
      <c r="AM35" s="32"/>
      <c r="AN35" s="32"/>
      <c r="AO35" s="32"/>
      <c r="AP35" s="32"/>
      <c r="AQ35" s="32"/>
      <c r="AR35" s="32"/>
      <c r="AS35" s="32"/>
      <c r="AT35" s="208"/>
      <c r="AU35" s="208"/>
      <c r="AV35" s="208"/>
      <c r="AW35" s="208"/>
      <c r="AX35" s="208"/>
      <c r="AY35" s="208"/>
      <c r="AZ35" s="208"/>
      <c r="BA35" s="30">
        <f t="shared" si="15"/>
        <v>0</v>
      </c>
      <c r="BB35" s="30">
        <f t="shared" si="15"/>
        <v>0</v>
      </c>
      <c r="BC35" s="30">
        <f t="shared" si="15"/>
        <v>0</v>
      </c>
      <c r="BD35" s="30">
        <f t="shared" si="15"/>
        <v>0</v>
      </c>
      <c r="BE35" s="30">
        <f t="shared" si="15"/>
        <v>0</v>
      </c>
      <c r="BF35" s="30">
        <f t="shared" si="15"/>
        <v>0</v>
      </c>
      <c r="BG35" s="30">
        <f t="shared" si="15"/>
        <v>0</v>
      </c>
      <c r="BH35" s="32">
        <f t="shared" si="13"/>
        <v>19273</v>
      </c>
      <c r="BI35" s="211">
        <f t="shared" si="14"/>
        <v>19498</v>
      </c>
      <c r="BJ35" s="211">
        <f t="shared" si="14"/>
        <v>20401</v>
      </c>
      <c r="BK35" s="211">
        <f t="shared" si="14"/>
        <v>18707</v>
      </c>
      <c r="BL35" s="211">
        <f t="shared" si="10"/>
        <v>10707</v>
      </c>
      <c r="BM35" s="211">
        <f t="shared" si="10"/>
        <v>12661</v>
      </c>
      <c r="BN35" s="211">
        <f t="shared" si="10"/>
        <v>17860</v>
      </c>
      <c r="BO35" s="211">
        <f t="shared" si="16"/>
        <v>95.47228310258193</v>
      </c>
    </row>
    <row r="36" spans="1:67" ht="15">
      <c r="A36" s="208">
        <v>31</v>
      </c>
      <c r="B36" s="31">
        <v>889924</v>
      </c>
      <c r="C36" s="31" t="s">
        <v>713</v>
      </c>
      <c r="D36" s="208"/>
      <c r="E36" s="208"/>
      <c r="F36" s="208"/>
      <c r="G36" s="208"/>
      <c r="H36" s="208"/>
      <c r="I36" s="208"/>
      <c r="J36" s="250"/>
      <c r="K36" s="208"/>
      <c r="L36" s="208"/>
      <c r="M36" s="208"/>
      <c r="N36" s="208"/>
      <c r="O36" s="208"/>
      <c r="P36" s="208"/>
      <c r="Q36" s="208"/>
      <c r="R36" s="31">
        <v>834</v>
      </c>
      <c r="S36" s="31">
        <v>834</v>
      </c>
      <c r="T36" s="31">
        <v>957</v>
      </c>
      <c r="U36" s="31">
        <v>957</v>
      </c>
      <c r="V36" s="31">
        <v>6</v>
      </c>
      <c r="W36" s="31">
        <v>326</v>
      </c>
      <c r="X36" s="31">
        <v>557</v>
      </c>
      <c r="Y36" s="208"/>
      <c r="Z36" s="208"/>
      <c r="AA36" s="208"/>
      <c r="AB36" s="208"/>
      <c r="AC36" s="208"/>
      <c r="AD36" s="208"/>
      <c r="AE36" s="208"/>
      <c r="AF36" s="32">
        <f t="shared" si="11"/>
        <v>834</v>
      </c>
      <c r="AG36" s="32">
        <f t="shared" si="11"/>
        <v>834</v>
      </c>
      <c r="AH36" s="32">
        <f t="shared" si="11"/>
        <v>957</v>
      </c>
      <c r="AI36" s="32">
        <f t="shared" si="11"/>
        <v>957</v>
      </c>
      <c r="AJ36" s="32">
        <f t="shared" si="12"/>
        <v>6</v>
      </c>
      <c r="AK36" s="32">
        <f t="shared" si="12"/>
        <v>326</v>
      </c>
      <c r="AL36" s="32">
        <f t="shared" si="12"/>
        <v>557</v>
      </c>
      <c r="AM36" s="32"/>
      <c r="AN36" s="32"/>
      <c r="AO36" s="32"/>
      <c r="AP36" s="32"/>
      <c r="AQ36" s="32"/>
      <c r="AR36" s="32"/>
      <c r="AS36" s="32"/>
      <c r="AT36" s="208"/>
      <c r="AU36" s="208"/>
      <c r="AV36" s="208"/>
      <c r="AW36" s="208"/>
      <c r="AX36" s="208"/>
      <c r="AY36" s="208"/>
      <c r="AZ36" s="208"/>
      <c r="BA36" s="30">
        <f t="shared" si="15"/>
        <v>0</v>
      </c>
      <c r="BB36" s="30">
        <f t="shared" si="15"/>
        <v>0</v>
      </c>
      <c r="BC36" s="30">
        <f t="shared" si="15"/>
        <v>0</v>
      </c>
      <c r="BD36" s="30">
        <f t="shared" si="15"/>
        <v>0</v>
      </c>
      <c r="BE36" s="30">
        <f t="shared" si="15"/>
        <v>0</v>
      </c>
      <c r="BF36" s="30">
        <f t="shared" si="15"/>
        <v>0</v>
      </c>
      <c r="BG36" s="30">
        <f t="shared" si="15"/>
        <v>0</v>
      </c>
      <c r="BH36" s="32">
        <f t="shared" si="13"/>
        <v>834</v>
      </c>
      <c r="BI36" s="211">
        <f t="shared" si="14"/>
        <v>834</v>
      </c>
      <c r="BJ36" s="211">
        <f t="shared" si="14"/>
        <v>957</v>
      </c>
      <c r="BK36" s="211">
        <f t="shared" si="14"/>
        <v>957</v>
      </c>
      <c r="BL36" s="211">
        <f t="shared" si="10"/>
        <v>6</v>
      </c>
      <c r="BM36" s="211">
        <f t="shared" si="10"/>
        <v>326</v>
      </c>
      <c r="BN36" s="211">
        <f t="shared" si="10"/>
        <v>557</v>
      </c>
      <c r="BO36" s="211">
        <f t="shared" si="16"/>
        <v>58.202716823406476</v>
      </c>
    </row>
    <row r="37" spans="1:67" ht="15">
      <c r="A37" s="208">
        <v>32</v>
      </c>
      <c r="B37" s="31">
        <v>889928</v>
      </c>
      <c r="C37" s="31" t="s">
        <v>714</v>
      </c>
      <c r="D37" s="31">
        <v>1647</v>
      </c>
      <c r="E37" s="31">
        <f>1647+40+65</f>
        <v>1752</v>
      </c>
      <c r="F37" s="31">
        <v>1854</v>
      </c>
      <c r="G37" s="31">
        <v>1908</v>
      </c>
      <c r="H37" s="31">
        <v>871</v>
      </c>
      <c r="I37" s="31">
        <v>1337</v>
      </c>
      <c r="J37" s="31">
        <v>1807</v>
      </c>
      <c r="K37" s="31">
        <v>432</v>
      </c>
      <c r="L37" s="31">
        <f>432+11+18</f>
        <v>461</v>
      </c>
      <c r="M37" s="31">
        <v>512</v>
      </c>
      <c r="N37" s="31">
        <v>527</v>
      </c>
      <c r="O37" s="31">
        <v>239</v>
      </c>
      <c r="P37" s="31">
        <f>361+45</f>
        <v>406</v>
      </c>
      <c r="Q37" s="31">
        <v>615</v>
      </c>
      <c r="R37" s="31">
        <v>1604</v>
      </c>
      <c r="S37" s="31">
        <v>1604</v>
      </c>
      <c r="T37" s="31">
        <v>1581</v>
      </c>
      <c r="U37" s="31">
        <v>1581</v>
      </c>
      <c r="V37" s="31">
        <v>778</v>
      </c>
      <c r="W37" s="31">
        <v>1117</v>
      </c>
      <c r="X37" s="31">
        <v>1562</v>
      </c>
      <c r="Y37" s="208"/>
      <c r="Z37" s="208"/>
      <c r="AA37" s="208"/>
      <c r="AB37" s="208"/>
      <c r="AC37" s="208"/>
      <c r="AD37" s="208"/>
      <c r="AE37" s="208"/>
      <c r="AF37" s="32">
        <f t="shared" si="11"/>
        <v>3683</v>
      </c>
      <c r="AG37" s="32">
        <f t="shared" si="11"/>
        <v>3817</v>
      </c>
      <c r="AH37" s="32">
        <f t="shared" si="11"/>
        <v>3947</v>
      </c>
      <c r="AI37" s="32">
        <f t="shared" si="11"/>
        <v>4016</v>
      </c>
      <c r="AJ37" s="32">
        <f t="shared" si="12"/>
        <v>1888</v>
      </c>
      <c r="AK37" s="32">
        <f t="shared" si="12"/>
        <v>2860</v>
      </c>
      <c r="AL37" s="32">
        <f t="shared" si="12"/>
        <v>3984</v>
      </c>
      <c r="AM37" s="32"/>
      <c r="AN37" s="32"/>
      <c r="AO37" s="32"/>
      <c r="AP37" s="32"/>
      <c r="AQ37" s="32"/>
      <c r="AR37" s="32"/>
      <c r="AS37" s="32"/>
      <c r="AT37" s="31">
        <v>0</v>
      </c>
      <c r="AU37" s="31">
        <v>0</v>
      </c>
      <c r="AV37" s="31"/>
      <c r="AW37" s="31"/>
      <c r="AX37" s="31"/>
      <c r="AY37" s="31"/>
      <c r="AZ37" s="31"/>
      <c r="BA37" s="30">
        <f t="shared" si="15"/>
        <v>0</v>
      </c>
      <c r="BB37" s="30">
        <f t="shared" si="15"/>
        <v>0</v>
      </c>
      <c r="BC37" s="30">
        <f t="shared" si="15"/>
        <v>0</v>
      </c>
      <c r="BD37" s="30">
        <f t="shared" si="15"/>
        <v>0</v>
      </c>
      <c r="BE37" s="30">
        <f t="shared" si="15"/>
        <v>0</v>
      </c>
      <c r="BF37" s="30">
        <f t="shared" si="15"/>
        <v>0</v>
      </c>
      <c r="BG37" s="30">
        <f t="shared" si="15"/>
        <v>0</v>
      </c>
      <c r="BH37" s="32">
        <f t="shared" si="13"/>
        <v>3683</v>
      </c>
      <c r="BI37" s="211">
        <f t="shared" si="14"/>
        <v>3817</v>
      </c>
      <c r="BJ37" s="211">
        <f t="shared" si="14"/>
        <v>3947</v>
      </c>
      <c r="BK37" s="211">
        <f t="shared" si="14"/>
        <v>4016</v>
      </c>
      <c r="BL37" s="211">
        <f t="shared" si="10"/>
        <v>1888</v>
      </c>
      <c r="BM37" s="211">
        <f t="shared" si="10"/>
        <v>2860</v>
      </c>
      <c r="BN37" s="211">
        <f t="shared" si="10"/>
        <v>3984</v>
      </c>
      <c r="BO37" s="211">
        <f t="shared" si="16"/>
        <v>99.20318725099602</v>
      </c>
    </row>
    <row r="38" spans="1:67" ht="15">
      <c r="A38" s="208">
        <v>33</v>
      </c>
      <c r="B38" s="31">
        <v>869041</v>
      </c>
      <c r="C38" s="31" t="s">
        <v>1316</v>
      </c>
      <c r="D38" s="24">
        <v>3025</v>
      </c>
      <c r="E38" s="24">
        <f>3025+10</f>
        <v>3035</v>
      </c>
      <c r="F38" s="24">
        <v>3065</v>
      </c>
      <c r="G38" s="24">
        <v>3065</v>
      </c>
      <c r="H38" s="24">
        <f>1187+67</f>
        <v>1254</v>
      </c>
      <c r="I38" s="24">
        <v>2158</v>
      </c>
      <c r="J38" s="24">
        <v>2882</v>
      </c>
      <c r="K38" s="24">
        <v>740</v>
      </c>
      <c r="L38" s="24">
        <f>740+3</f>
        <v>743</v>
      </c>
      <c r="M38" s="24">
        <v>765</v>
      </c>
      <c r="N38" s="24">
        <v>765</v>
      </c>
      <c r="O38" s="24">
        <v>320</v>
      </c>
      <c r="P38" s="24">
        <f>580+73</f>
        <v>653</v>
      </c>
      <c r="Q38" s="24">
        <v>737</v>
      </c>
      <c r="R38" s="31">
        <v>1167</v>
      </c>
      <c r="S38" s="31">
        <v>1167</v>
      </c>
      <c r="T38" s="31">
        <v>1164</v>
      </c>
      <c r="U38" s="31">
        <f>1164-414</f>
        <v>750</v>
      </c>
      <c r="V38" s="31">
        <v>329</v>
      </c>
      <c r="W38" s="31">
        <v>445</v>
      </c>
      <c r="X38" s="31">
        <v>605</v>
      </c>
      <c r="Y38" s="208"/>
      <c r="Z38" s="208"/>
      <c r="AA38" s="208"/>
      <c r="AB38" s="208"/>
      <c r="AC38" s="208"/>
      <c r="AD38" s="208"/>
      <c r="AE38" s="208"/>
      <c r="AF38" s="32">
        <f t="shared" si="11"/>
        <v>4932</v>
      </c>
      <c r="AG38" s="32">
        <f t="shared" si="11"/>
        <v>4945</v>
      </c>
      <c r="AH38" s="32">
        <f t="shared" si="11"/>
        <v>4994</v>
      </c>
      <c r="AI38" s="32">
        <f t="shared" si="11"/>
        <v>4580</v>
      </c>
      <c r="AJ38" s="32">
        <f t="shared" si="12"/>
        <v>1903</v>
      </c>
      <c r="AK38" s="32">
        <f t="shared" si="12"/>
        <v>3256</v>
      </c>
      <c r="AL38" s="32">
        <f t="shared" si="12"/>
        <v>4224</v>
      </c>
      <c r="AM38" s="32"/>
      <c r="AN38" s="32"/>
      <c r="AO38" s="32"/>
      <c r="AP38" s="32"/>
      <c r="AQ38" s="32"/>
      <c r="AR38" s="32"/>
      <c r="AS38" s="32"/>
      <c r="AT38" s="31"/>
      <c r="AU38" s="31"/>
      <c r="AV38" s="31"/>
      <c r="AW38" s="31"/>
      <c r="AX38" s="31"/>
      <c r="AY38" s="31"/>
      <c r="AZ38" s="31"/>
      <c r="BA38" s="30">
        <f t="shared" si="15"/>
        <v>0</v>
      </c>
      <c r="BB38" s="30">
        <f t="shared" si="15"/>
        <v>0</v>
      </c>
      <c r="BC38" s="30">
        <f t="shared" si="15"/>
        <v>0</v>
      </c>
      <c r="BD38" s="30">
        <f t="shared" si="15"/>
        <v>0</v>
      </c>
      <c r="BE38" s="30">
        <f t="shared" si="15"/>
        <v>0</v>
      </c>
      <c r="BF38" s="30">
        <f t="shared" si="15"/>
        <v>0</v>
      </c>
      <c r="BG38" s="30">
        <f t="shared" si="15"/>
        <v>0</v>
      </c>
      <c r="BH38" s="32">
        <f t="shared" si="13"/>
        <v>4932</v>
      </c>
      <c r="BI38" s="211">
        <f t="shared" si="14"/>
        <v>4945</v>
      </c>
      <c r="BJ38" s="211">
        <f t="shared" si="14"/>
        <v>4994</v>
      </c>
      <c r="BK38" s="211">
        <f t="shared" si="14"/>
        <v>4580</v>
      </c>
      <c r="BL38" s="211">
        <f t="shared" si="10"/>
        <v>1903</v>
      </c>
      <c r="BM38" s="211">
        <f t="shared" si="10"/>
        <v>3256</v>
      </c>
      <c r="BN38" s="211">
        <f t="shared" si="10"/>
        <v>4224</v>
      </c>
      <c r="BO38" s="211">
        <f t="shared" si="16"/>
        <v>92.22707423580786</v>
      </c>
    </row>
    <row r="39" spans="1:67" ht="15">
      <c r="A39" s="208">
        <v>34</v>
      </c>
      <c r="B39" s="31">
        <v>862101</v>
      </c>
      <c r="C39" s="31" t="s">
        <v>715</v>
      </c>
      <c r="D39" s="24">
        <v>2276</v>
      </c>
      <c r="E39" s="24">
        <f>2276+74</f>
        <v>2350</v>
      </c>
      <c r="F39" s="24">
        <v>2469</v>
      </c>
      <c r="G39" s="24">
        <v>2528</v>
      </c>
      <c r="H39" s="24">
        <v>1226</v>
      </c>
      <c r="I39" s="24">
        <v>1896</v>
      </c>
      <c r="J39" s="24">
        <v>2654</v>
      </c>
      <c r="K39" s="24">
        <v>608</v>
      </c>
      <c r="L39" s="24">
        <f>608+20</f>
        <v>628</v>
      </c>
      <c r="M39" s="24">
        <v>670</v>
      </c>
      <c r="N39" s="24">
        <v>685</v>
      </c>
      <c r="O39" s="24">
        <v>241</v>
      </c>
      <c r="P39" s="24">
        <f>392+64</f>
        <v>456</v>
      </c>
      <c r="Q39" s="24">
        <v>592</v>
      </c>
      <c r="R39" s="31">
        <v>3750</v>
      </c>
      <c r="S39" s="31">
        <v>3750</v>
      </c>
      <c r="T39" s="31">
        <v>3799</v>
      </c>
      <c r="U39" s="31">
        <f>3799-2066</f>
        <v>1733</v>
      </c>
      <c r="V39" s="31">
        <v>547</v>
      </c>
      <c r="W39" s="31">
        <v>724</v>
      </c>
      <c r="X39" s="31">
        <v>1154</v>
      </c>
      <c r="Y39" s="31">
        <v>2400</v>
      </c>
      <c r="Z39" s="31">
        <v>2400</v>
      </c>
      <c r="AA39" s="31">
        <v>2400</v>
      </c>
      <c r="AB39" s="31">
        <v>2400</v>
      </c>
      <c r="AC39" s="31">
        <v>1200</v>
      </c>
      <c r="AD39" s="31">
        <v>1800</v>
      </c>
      <c r="AE39" s="31">
        <v>2400</v>
      </c>
      <c r="AF39" s="32">
        <f t="shared" si="11"/>
        <v>9034</v>
      </c>
      <c r="AG39" s="32">
        <f t="shared" si="11"/>
        <v>9128</v>
      </c>
      <c r="AH39" s="32">
        <f t="shared" si="11"/>
        <v>9338</v>
      </c>
      <c r="AI39" s="32">
        <f t="shared" si="11"/>
        <v>7346</v>
      </c>
      <c r="AJ39" s="32">
        <f t="shared" si="12"/>
        <v>3214</v>
      </c>
      <c r="AK39" s="32">
        <f t="shared" si="12"/>
        <v>4876</v>
      </c>
      <c r="AL39" s="32">
        <f t="shared" si="12"/>
        <v>6800</v>
      </c>
      <c r="AM39" s="32"/>
      <c r="AN39" s="32"/>
      <c r="AO39" s="32"/>
      <c r="AP39" s="32"/>
      <c r="AQ39" s="32"/>
      <c r="AR39" s="32"/>
      <c r="AS39" s="32"/>
      <c r="AT39" s="208"/>
      <c r="AU39" s="208">
        <v>213</v>
      </c>
      <c r="AV39" s="208">
        <v>213</v>
      </c>
      <c r="AW39" s="208">
        <v>213</v>
      </c>
      <c r="AX39" s="208"/>
      <c r="AY39" s="208">
        <v>92</v>
      </c>
      <c r="AZ39" s="208">
        <v>151</v>
      </c>
      <c r="BA39" s="30">
        <f t="shared" si="15"/>
        <v>0</v>
      </c>
      <c r="BB39" s="30">
        <f t="shared" si="15"/>
        <v>213</v>
      </c>
      <c r="BC39" s="30">
        <f t="shared" si="15"/>
        <v>213</v>
      </c>
      <c r="BD39" s="30">
        <f t="shared" si="15"/>
        <v>213</v>
      </c>
      <c r="BE39" s="30">
        <f t="shared" si="15"/>
        <v>0</v>
      </c>
      <c r="BF39" s="30">
        <f t="shared" si="15"/>
        <v>92</v>
      </c>
      <c r="BG39" s="30">
        <f t="shared" si="15"/>
        <v>151</v>
      </c>
      <c r="BH39" s="32">
        <f t="shared" si="13"/>
        <v>9034</v>
      </c>
      <c r="BI39" s="211">
        <f t="shared" si="14"/>
        <v>9341</v>
      </c>
      <c r="BJ39" s="211">
        <f t="shared" si="14"/>
        <v>9551</v>
      </c>
      <c r="BK39" s="211">
        <f t="shared" si="14"/>
        <v>7559</v>
      </c>
      <c r="BL39" s="211">
        <f t="shared" si="10"/>
        <v>3214</v>
      </c>
      <c r="BM39" s="211">
        <f t="shared" si="10"/>
        <v>4968</v>
      </c>
      <c r="BN39" s="211">
        <f t="shared" si="10"/>
        <v>6951</v>
      </c>
      <c r="BO39" s="211">
        <f t="shared" si="16"/>
        <v>91.95660801693346</v>
      </c>
    </row>
    <row r="40" spans="1:67" ht="15">
      <c r="A40" s="208">
        <v>35</v>
      </c>
      <c r="B40" s="31">
        <v>862231</v>
      </c>
      <c r="C40" s="31" t="s">
        <v>716</v>
      </c>
      <c r="D40" s="208"/>
      <c r="E40" s="208"/>
      <c r="F40" s="208"/>
      <c r="G40" s="208"/>
      <c r="H40" s="208"/>
      <c r="I40" s="208"/>
      <c r="J40" s="250"/>
      <c r="K40" s="208"/>
      <c r="L40" s="208"/>
      <c r="M40" s="208"/>
      <c r="N40" s="208"/>
      <c r="O40" s="208"/>
      <c r="P40" s="208"/>
      <c r="Q40" s="208"/>
      <c r="R40" s="31">
        <v>160</v>
      </c>
      <c r="S40" s="31">
        <v>160</v>
      </c>
      <c r="T40" s="31">
        <v>280</v>
      </c>
      <c r="U40" s="31">
        <v>280</v>
      </c>
      <c r="V40" s="31">
        <v>280</v>
      </c>
      <c r="W40" s="31">
        <v>280</v>
      </c>
      <c r="X40" s="31">
        <v>280</v>
      </c>
      <c r="Y40" s="208"/>
      <c r="Z40" s="208"/>
      <c r="AA40" s="208"/>
      <c r="AB40" s="208"/>
      <c r="AC40" s="208"/>
      <c r="AD40" s="208"/>
      <c r="AE40" s="208"/>
      <c r="AF40" s="32">
        <f t="shared" si="11"/>
        <v>160</v>
      </c>
      <c r="AG40" s="32">
        <f t="shared" si="11"/>
        <v>160</v>
      </c>
      <c r="AH40" s="32">
        <f t="shared" si="11"/>
        <v>280</v>
      </c>
      <c r="AI40" s="32">
        <f t="shared" si="11"/>
        <v>280</v>
      </c>
      <c r="AJ40" s="32">
        <f t="shared" si="12"/>
        <v>280</v>
      </c>
      <c r="AK40" s="32">
        <f t="shared" si="12"/>
        <v>280</v>
      </c>
      <c r="AL40" s="32">
        <f t="shared" si="12"/>
        <v>280</v>
      </c>
      <c r="AM40" s="32"/>
      <c r="AN40" s="32"/>
      <c r="AO40" s="32"/>
      <c r="AP40" s="32"/>
      <c r="AQ40" s="32"/>
      <c r="AR40" s="32"/>
      <c r="AS40" s="32"/>
      <c r="AT40" s="208"/>
      <c r="AU40" s="208"/>
      <c r="AV40" s="208"/>
      <c r="AW40" s="208"/>
      <c r="AX40" s="208"/>
      <c r="AY40" s="208"/>
      <c r="AZ40" s="208"/>
      <c r="BA40" s="30">
        <f t="shared" si="15"/>
        <v>0</v>
      </c>
      <c r="BB40" s="30">
        <f t="shared" si="15"/>
        <v>0</v>
      </c>
      <c r="BC40" s="30">
        <f t="shared" si="15"/>
        <v>0</v>
      </c>
      <c r="BD40" s="30">
        <f t="shared" si="15"/>
        <v>0</v>
      </c>
      <c r="BE40" s="30">
        <f t="shared" si="15"/>
        <v>0</v>
      </c>
      <c r="BF40" s="30">
        <f t="shared" si="15"/>
        <v>0</v>
      </c>
      <c r="BG40" s="30">
        <f t="shared" si="15"/>
        <v>0</v>
      </c>
      <c r="BH40" s="32">
        <f t="shared" si="13"/>
        <v>160</v>
      </c>
      <c r="BI40" s="211">
        <f t="shared" si="14"/>
        <v>160</v>
      </c>
      <c r="BJ40" s="211">
        <f t="shared" si="14"/>
        <v>280</v>
      </c>
      <c r="BK40" s="211">
        <f t="shared" si="14"/>
        <v>280</v>
      </c>
      <c r="BL40" s="211">
        <f t="shared" si="10"/>
        <v>280</v>
      </c>
      <c r="BM40" s="211">
        <f t="shared" si="10"/>
        <v>280</v>
      </c>
      <c r="BN40" s="211">
        <f t="shared" si="10"/>
        <v>280</v>
      </c>
      <c r="BO40" s="211">
        <f t="shared" si="16"/>
        <v>100</v>
      </c>
    </row>
    <row r="41" spans="1:67" ht="15">
      <c r="A41" s="208">
        <v>36</v>
      </c>
      <c r="B41" s="31">
        <v>862301</v>
      </c>
      <c r="C41" s="31" t="s">
        <v>717</v>
      </c>
      <c r="D41" s="208"/>
      <c r="E41" s="208"/>
      <c r="F41" s="208"/>
      <c r="G41" s="208"/>
      <c r="H41" s="208"/>
      <c r="I41" s="208"/>
      <c r="J41" s="250"/>
      <c r="K41" s="208"/>
      <c r="L41" s="208"/>
      <c r="M41" s="208"/>
      <c r="N41" s="208"/>
      <c r="O41" s="208"/>
      <c r="P41" s="208"/>
      <c r="Q41" s="208"/>
      <c r="R41" s="31">
        <v>1200</v>
      </c>
      <c r="S41" s="31">
        <v>1200</v>
      </c>
      <c r="T41" s="31">
        <v>1200</v>
      </c>
      <c r="U41" s="31">
        <f>1200-1200</f>
        <v>0</v>
      </c>
      <c r="V41" s="24">
        <v>0</v>
      </c>
      <c r="W41" s="24">
        <v>0</v>
      </c>
      <c r="X41" s="24"/>
      <c r="Y41" s="24"/>
      <c r="Z41" s="24"/>
      <c r="AA41" s="24"/>
      <c r="AB41" s="24"/>
      <c r="AC41" s="24"/>
      <c r="AD41" s="24"/>
      <c r="AE41" s="24"/>
      <c r="AF41" s="32">
        <f t="shared" si="11"/>
        <v>1200</v>
      </c>
      <c r="AG41" s="32">
        <f t="shared" si="11"/>
        <v>1200</v>
      </c>
      <c r="AH41" s="32">
        <f t="shared" si="11"/>
        <v>1200</v>
      </c>
      <c r="AI41" s="32">
        <f t="shared" si="11"/>
        <v>0</v>
      </c>
      <c r="AJ41" s="32">
        <f t="shared" si="12"/>
        <v>0</v>
      </c>
      <c r="AK41" s="32">
        <f t="shared" si="12"/>
        <v>0</v>
      </c>
      <c r="AL41" s="32">
        <f t="shared" si="12"/>
        <v>0</v>
      </c>
      <c r="AM41" s="32"/>
      <c r="AN41" s="32"/>
      <c r="AO41" s="32"/>
      <c r="AP41" s="32"/>
      <c r="AQ41" s="32"/>
      <c r="AR41" s="32"/>
      <c r="AS41" s="32"/>
      <c r="AT41" s="208"/>
      <c r="AU41" s="208"/>
      <c r="AV41" s="208"/>
      <c r="AW41" s="208"/>
      <c r="AX41" s="208"/>
      <c r="AY41" s="208"/>
      <c r="AZ41" s="208"/>
      <c r="BA41" s="30">
        <f t="shared" si="15"/>
        <v>0</v>
      </c>
      <c r="BB41" s="30">
        <f t="shared" si="15"/>
        <v>0</v>
      </c>
      <c r="BC41" s="30">
        <f t="shared" si="15"/>
        <v>0</v>
      </c>
      <c r="BD41" s="30">
        <f t="shared" si="15"/>
        <v>0</v>
      </c>
      <c r="BE41" s="30">
        <f t="shared" si="15"/>
        <v>0</v>
      </c>
      <c r="BF41" s="30">
        <f t="shared" si="15"/>
        <v>0</v>
      </c>
      <c r="BG41" s="30">
        <f t="shared" si="15"/>
        <v>0</v>
      </c>
      <c r="BH41" s="32">
        <f t="shared" si="13"/>
        <v>1200</v>
      </c>
      <c r="BI41" s="211">
        <f t="shared" si="14"/>
        <v>1200</v>
      </c>
      <c r="BJ41" s="211">
        <f t="shared" si="14"/>
        <v>1200</v>
      </c>
      <c r="BK41" s="211">
        <f t="shared" si="14"/>
        <v>0</v>
      </c>
      <c r="BL41" s="211">
        <f t="shared" si="10"/>
        <v>0</v>
      </c>
      <c r="BM41" s="211">
        <f t="shared" si="10"/>
        <v>0</v>
      </c>
      <c r="BN41" s="211">
        <f t="shared" si="10"/>
        <v>0</v>
      </c>
      <c r="BO41" s="211"/>
    </row>
    <row r="42" spans="1:67" ht="15">
      <c r="A42" s="208">
        <v>37</v>
      </c>
      <c r="B42" s="31">
        <v>862102</v>
      </c>
      <c r="C42" s="31" t="s">
        <v>718</v>
      </c>
      <c r="D42" s="208"/>
      <c r="E42" s="208"/>
      <c r="F42" s="208"/>
      <c r="G42" s="208"/>
      <c r="H42" s="208"/>
      <c r="I42" s="208"/>
      <c r="J42" s="250"/>
      <c r="K42" s="208"/>
      <c r="L42" s="208"/>
      <c r="M42" s="208"/>
      <c r="N42" s="208"/>
      <c r="O42" s="208"/>
      <c r="P42" s="208"/>
      <c r="Q42" s="208"/>
      <c r="R42" s="31">
        <v>1200</v>
      </c>
      <c r="S42" s="31">
        <v>1200</v>
      </c>
      <c r="T42" s="31">
        <v>1200</v>
      </c>
      <c r="U42" s="31">
        <v>1200</v>
      </c>
      <c r="V42" s="24">
        <v>0</v>
      </c>
      <c r="W42" s="24">
        <v>873</v>
      </c>
      <c r="X42" s="24">
        <v>1095</v>
      </c>
      <c r="Y42" s="24"/>
      <c r="Z42" s="24"/>
      <c r="AA42" s="24"/>
      <c r="AB42" s="24"/>
      <c r="AC42" s="24"/>
      <c r="AD42" s="24"/>
      <c r="AE42" s="24"/>
      <c r="AF42" s="32">
        <f t="shared" si="11"/>
        <v>1200</v>
      </c>
      <c r="AG42" s="32">
        <f t="shared" si="11"/>
        <v>1200</v>
      </c>
      <c r="AH42" s="32">
        <f t="shared" si="11"/>
        <v>1200</v>
      </c>
      <c r="AI42" s="32">
        <f t="shared" si="11"/>
        <v>1200</v>
      </c>
      <c r="AJ42" s="32">
        <f t="shared" si="12"/>
        <v>0</v>
      </c>
      <c r="AK42" s="32">
        <f t="shared" si="12"/>
        <v>873</v>
      </c>
      <c r="AL42" s="32">
        <f t="shared" si="12"/>
        <v>1095</v>
      </c>
      <c r="AM42" s="32"/>
      <c r="AN42" s="32"/>
      <c r="AO42" s="32"/>
      <c r="AP42" s="32"/>
      <c r="AQ42" s="32"/>
      <c r="AR42" s="32"/>
      <c r="AS42" s="32"/>
      <c r="AT42" s="208"/>
      <c r="AU42" s="208"/>
      <c r="AV42" s="208"/>
      <c r="AW42" s="208"/>
      <c r="AX42" s="208"/>
      <c r="AY42" s="208"/>
      <c r="AZ42" s="208"/>
      <c r="BA42" s="30">
        <f t="shared" si="15"/>
        <v>0</v>
      </c>
      <c r="BB42" s="30">
        <f t="shared" si="15"/>
        <v>0</v>
      </c>
      <c r="BC42" s="30">
        <f t="shared" si="15"/>
        <v>0</v>
      </c>
      <c r="BD42" s="30">
        <f t="shared" si="15"/>
        <v>0</v>
      </c>
      <c r="BE42" s="30">
        <f t="shared" si="15"/>
        <v>0</v>
      </c>
      <c r="BF42" s="30">
        <f t="shared" si="15"/>
        <v>0</v>
      </c>
      <c r="BG42" s="30">
        <f t="shared" si="15"/>
        <v>0</v>
      </c>
      <c r="BH42" s="32">
        <f t="shared" si="13"/>
        <v>1200</v>
      </c>
      <c r="BI42" s="211">
        <f t="shared" si="14"/>
        <v>1200</v>
      </c>
      <c r="BJ42" s="211">
        <f t="shared" si="14"/>
        <v>1200</v>
      </c>
      <c r="BK42" s="211">
        <f t="shared" si="14"/>
        <v>1200</v>
      </c>
      <c r="BL42" s="211">
        <f t="shared" si="10"/>
        <v>0</v>
      </c>
      <c r="BM42" s="211">
        <f t="shared" si="10"/>
        <v>873</v>
      </c>
      <c r="BN42" s="211">
        <f t="shared" si="10"/>
        <v>1095</v>
      </c>
      <c r="BO42" s="211">
        <f t="shared" si="16"/>
        <v>91.25</v>
      </c>
    </row>
    <row r="43" spans="1:67" ht="15">
      <c r="A43" s="208">
        <v>38</v>
      </c>
      <c r="B43" s="24">
        <v>562912</v>
      </c>
      <c r="C43" s="24" t="s">
        <v>719</v>
      </c>
      <c r="D43" s="24"/>
      <c r="E43" s="24"/>
      <c r="F43" s="24"/>
      <c r="G43" s="24"/>
      <c r="H43" s="24"/>
      <c r="I43" s="24"/>
      <c r="J43" s="252"/>
      <c r="K43" s="24"/>
      <c r="L43" s="24"/>
      <c r="M43" s="24"/>
      <c r="N43" s="24"/>
      <c r="O43" s="24"/>
      <c r="P43" s="24"/>
      <c r="Q43" s="24"/>
      <c r="R43" s="24">
        <v>3137</v>
      </c>
      <c r="S43" s="24">
        <v>3137</v>
      </c>
      <c r="T43" s="24">
        <v>3137</v>
      </c>
      <c r="U43" s="24">
        <v>3137</v>
      </c>
      <c r="V43" s="24">
        <f>1396+342</f>
        <v>1738</v>
      </c>
      <c r="W43" s="24">
        <v>2244</v>
      </c>
      <c r="X43" s="24">
        <v>3014</v>
      </c>
      <c r="Y43" s="24"/>
      <c r="Z43" s="24"/>
      <c r="AA43" s="24"/>
      <c r="AB43" s="24"/>
      <c r="AC43" s="24"/>
      <c r="AD43" s="24"/>
      <c r="AE43" s="24"/>
      <c r="AF43" s="32">
        <f t="shared" si="11"/>
        <v>3137</v>
      </c>
      <c r="AG43" s="32">
        <f t="shared" si="11"/>
        <v>3137</v>
      </c>
      <c r="AH43" s="32">
        <f t="shared" si="11"/>
        <v>3137</v>
      </c>
      <c r="AI43" s="32">
        <f t="shared" si="11"/>
        <v>3137</v>
      </c>
      <c r="AJ43" s="32">
        <f t="shared" si="12"/>
        <v>1738</v>
      </c>
      <c r="AK43" s="32">
        <f t="shared" si="12"/>
        <v>2244</v>
      </c>
      <c r="AL43" s="32">
        <f t="shared" si="12"/>
        <v>3014</v>
      </c>
      <c r="AM43" s="32"/>
      <c r="AN43" s="32"/>
      <c r="AO43" s="32"/>
      <c r="AP43" s="32"/>
      <c r="AQ43" s="32"/>
      <c r="AR43" s="32"/>
      <c r="AS43" s="32"/>
      <c r="AT43" s="24"/>
      <c r="AU43" s="24"/>
      <c r="AV43" s="24"/>
      <c r="AW43" s="24"/>
      <c r="AX43" s="24"/>
      <c r="AY43" s="24"/>
      <c r="AZ43" s="24"/>
      <c r="BA43" s="30">
        <f t="shared" si="15"/>
        <v>0</v>
      </c>
      <c r="BB43" s="30">
        <f t="shared" si="15"/>
        <v>0</v>
      </c>
      <c r="BC43" s="30">
        <f t="shared" si="15"/>
        <v>0</v>
      </c>
      <c r="BD43" s="30">
        <f t="shared" si="15"/>
        <v>0</v>
      </c>
      <c r="BE43" s="30">
        <f t="shared" si="15"/>
        <v>0</v>
      </c>
      <c r="BF43" s="30">
        <f t="shared" si="15"/>
        <v>0</v>
      </c>
      <c r="BG43" s="30">
        <f t="shared" si="15"/>
        <v>0</v>
      </c>
      <c r="BH43" s="32">
        <f t="shared" si="13"/>
        <v>3137</v>
      </c>
      <c r="BI43" s="211">
        <f t="shared" si="14"/>
        <v>3137</v>
      </c>
      <c r="BJ43" s="211">
        <f t="shared" si="14"/>
        <v>3137</v>
      </c>
      <c r="BK43" s="211">
        <f t="shared" si="14"/>
        <v>3137</v>
      </c>
      <c r="BL43" s="211">
        <f t="shared" si="10"/>
        <v>1738</v>
      </c>
      <c r="BM43" s="211">
        <f t="shared" si="10"/>
        <v>2244</v>
      </c>
      <c r="BN43" s="211">
        <f t="shared" si="10"/>
        <v>3014</v>
      </c>
      <c r="BO43" s="211">
        <f t="shared" si="16"/>
        <v>96.07905642333439</v>
      </c>
    </row>
    <row r="44" spans="1:67" ht="15">
      <c r="A44" s="208">
        <v>39</v>
      </c>
      <c r="B44" s="24">
        <v>562913</v>
      </c>
      <c r="C44" s="24" t="s">
        <v>720</v>
      </c>
      <c r="D44" s="24">
        <v>7101</v>
      </c>
      <c r="E44" s="24">
        <f>7101+131</f>
        <v>7232</v>
      </c>
      <c r="F44" s="24">
        <v>7995</v>
      </c>
      <c r="G44" s="24">
        <v>8041</v>
      </c>
      <c r="H44" s="24">
        <v>3554</v>
      </c>
      <c r="I44" s="24">
        <v>5618</v>
      </c>
      <c r="J44" s="24">
        <v>7944</v>
      </c>
      <c r="K44" s="24">
        <v>1859</v>
      </c>
      <c r="L44" s="24">
        <f>1859+35</f>
        <v>1894</v>
      </c>
      <c r="M44" s="24">
        <v>2199</v>
      </c>
      <c r="N44" s="24">
        <v>2211</v>
      </c>
      <c r="O44" s="24">
        <v>886</v>
      </c>
      <c r="P44" s="24">
        <f>1407+191</f>
        <v>1598</v>
      </c>
      <c r="Q44" s="24">
        <v>2174</v>
      </c>
      <c r="R44" s="24">
        <v>15584</v>
      </c>
      <c r="S44" s="24">
        <v>15584</v>
      </c>
      <c r="T44" s="24">
        <v>15563</v>
      </c>
      <c r="U44" s="24">
        <f>15563-654</f>
        <v>14909</v>
      </c>
      <c r="V44" s="24">
        <f>1395+9203-3125-766</f>
        <v>6707</v>
      </c>
      <c r="W44" s="24">
        <f>13329+1949-2244-1533-729-1859</f>
        <v>8913</v>
      </c>
      <c r="X44" s="24">
        <v>13564</v>
      </c>
      <c r="Y44" s="24"/>
      <c r="Z44" s="24"/>
      <c r="AA44" s="24"/>
      <c r="AB44" s="24"/>
      <c r="AC44" s="24"/>
      <c r="AD44" s="24"/>
      <c r="AE44" s="24"/>
      <c r="AF44" s="32">
        <f t="shared" si="11"/>
        <v>24544</v>
      </c>
      <c r="AG44" s="32">
        <f t="shared" si="11"/>
        <v>24710</v>
      </c>
      <c r="AH44" s="32">
        <f t="shared" si="11"/>
        <v>25757</v>
      </c>
      <c r="AI44" s="32">
        <f t="shared" si="11"/>
        <v>25161</v>
      </c>
      <c r="AJ44" s="32">
        <f t="shared" si="12"/>
        <v>11147</v>
      </c>
      <c r="AK44" s="32">
        <f t="shared" si="12"/>
        <v>16129</v>
      </c>
      <c r="AL44" s="32">
        <f t="shared" si="12"/>
        <v>23682</v>
      </c>
      <c r="AM44" s="32"/>
      <c r="AN44" s="32"/>
      <c r="AO44" s="32"/>
      <c r="AP44" s="32"/>
      <c r="AQ44" s="32"/>
      <c r="AR44" s="32"/>
      <c r="AS44" s="32"/>
      <c r="AT44" s="24"/>
      <c r="AU44" s="24"/>
      <c r="AV44" s="24"/>
      <c r="AW44" s="24"/>
      <c r="AX44" s="24"/>
      <c r="AY44" s="24"/>
      <c r="AZ44" s="24">
        <v>526</v>
      </c>
      <c r="BA44" s="30">
        <f t="shared" si="15"/>
        <v>0</v>
      </c>
      <c r="BB44" s="30">
        <f t="shared" si="15"/>
        <v>0</v>
      </c>
      <c r="BC44" s="30">
        <f t="shared" si="15"/>
        <v>0</v>
      </c>
      <c r="BD44" s="30">
        <f t="shared" si="15"/>
        <v>0</v>
      </c>
      <c r="BE44" s="30">
        <f t="shared" si="15"/>
        <v>0</v>
      </c>
      <c r="BF44" s="30">
        <f t="shared" si="15"/>
        <v>0</v>
      </c>
      <c r="BG44" s="30">
        <f t="shared" si="15"/>
        <v>526</v>
      </c>
      <c r="BH44" s="32">
        <f t="shared" si="13"/>
        <v>24544</v>
      </c>
      <c r="BI44" s="211">
        <f t="shared" si="14"/>
        <v>24710</v>
      </c>
      <c r="BJ44" s="211">
        <f t="shared" si="14"/>
        <v>25757</v>
      </c>
      <c r="BK44" s="211">
        <f t="shared" si="14"/>
        <v>25161</v>
      </c>
      <c r="BL44" s="211">
        <f t="shared" si="10"/>
        <v>11147</v>
      </c>
      <c r="BM44" s="211">
        <f t="shared" si="10"/>
        <v>16129</v>
      </c>
      <c r="BN44" s="211">
        <f t="shared" si="10"/>
        <v>24208</v>
      </c>
      <c r="BO44" s="211">
        <f t="shared" si="16"/>
        <v>96.2123921942689</v>
      </c>
    </row>
    <row r="45" spans="1:67" ht="15">
      <c r="A45" s="208">
        <v>40</v>
      </c>
      <c r="B45" s="24">
        <v>562917</v>
      </c>
      <c r="C45" s="24" t="s">
        <v>558</v>
      </c>
      <c r="D45" s="24"/>
      <c r="E45" s="24"/>
      <c r="F45" s="24"/>
      <c r="G45" s="24"/>
      <c r="H45" s="24"/>
      <c r="I45" s="24"/>
      <c r="J45" s="252"/>
      <c r="K45" s="24"/>
      <c r="L45" s="24"/>
      <c r="M45" s="24"/>
      <c r="N45" s="24"/>
      <c r="O45" s="24"/>
      <c r="P45" s="24"/>
      <c r="Q45" s="24"/>
      <c r="R45" s="24">
        <v>2739</v>
      </c>
      <c r="S45" s="24">
        <v>2739</v>
      </c>
      <c r="T45" s="24">
        <v>2739</v>
      </c>
      <c r="U45" s="24">
        <f>2739-587</f>
        <v>2152</v>
      </c>
      <c r="V45" s="24">
        <f>902+221</f>
        <v>1123</v>
      </c>
      <c r="W45" s="24">
        <v>1533</v>
      </c>
      <c r="X45" s="24">
        <v>2051</v>
      </c>
      <c r="Y45" s="24"/>
      <c r="Z45" s="24"/>
      <c r="AA45" s="24"/>
      <c r="AB45" s="24"/>
      <c r="AC45" s="24"/>
      <c r="AD45" s="24"/>
      <c r="AE45" s="24"/>
      <c r="AF45" s="32">
        <f t="shared" si="11"/>
        <v>2739</v>
      </c>
      <c r="AG45" s="32">
        <f t="shared" si="11"/>
        <v>2739</v>
      </c>
      <c r="AH45" s="32">
        <f t="shared" si="11"/>
        <v>2739</v>
      </c>
      <c r="AI45" s="32">
        <f t="shared" si="11"/>
        <v>2152</v>
      </c>
      <c r="AJ45" s="32">
        <f t="shared" si="12"/>
        <v>1123</v>
      </c>
      <c r="AK45" s="32">
        <f t="shared" si="12"/>
        <v>1533</v>
      </c>
      <c r="AL45" s="32">
        <f t="shared" si="12"/>
        <v>2051</v>
      </c>
      <c r="AM45" s="32"/>
      <c r="AN45" s="32"/>
      <c r="AO45" s="32"/>
      <c r="AP45" s="32"/>
      <c r="AQ45" s="32"/>
      <c r="AR45" s="32"/>
      <c r="AS45" s="32"/>
      <c r="AT45" s="24"/>
      <c r="AU45" s="24"/>
      <c r="AV45" s="24"/>
      <c r="AW45" s="24"/>
      <c r="AX45" s="24"/>
      <c r="AY45" s="24"/>
      <c r="AZ45" s="24"/>
      <c r="BA45" s="30">
        <f t="shared" si="15"/>
        <v>0</v>
      </c>
      <c r="BB45" s="30">
        <f t="shared" si="15"/>
        <v>0</v>
      </c>
      <c r="BC45" s="30">
        <f t="shared" si="15"/>
        <v>0</v>
      </c>
      <c r="BD45" s="30">
        <f t="shared" si="15"/>
        <v>0</v>
      </c>
      <c r="BE45" s="30">
        <f t="shared" si="15"/>
        <v>0</v>
      </c>
      <c r="BF45" s="30">
        <f t="shared" si="15"/>
        <v>0</v>
      </c>
      <c r="BG45" s="30">
        <f t="shared" si="15"/>
        <v>0</v>
      </c>
      <c r="BH45" s="32">
        <f t="shared" si="13"/>
        <v>2739</v>
      </c>
      <c r="BI45" s="211">
        <f t="shared" si="14"/>
        <v>2739</v>
      </c>
      <c r="BJ45" s="211">
        <f t="shared" si="14"/>
        <v>2739</v>
      </c>
      <c r="BK45" s="211">
        <f t="shared" si="14"/>
        <v>2152</v>
      </c>
      <c r="BL45" s="211">
        <f t="shared" si="10"/>
        <v>1123</v>
      </c>
      <c r="BM45" s="211">
        <f t="shared" si="10"/>
        <v>1533</v>
      </c>
      <c r="BN45" s="211">
        <f t="shared" si="10"/>
        <v>2051</v>
      </c>
      <c r="BO45" s="211">
        <f t="shared" si="16"/>
        <v>95.30669144981412</v>
      </c>
    </row>
    <row r="46" spans="1:67" ht="15">
      <c r="A46" s="208">
        <v>41</v>
      </c>
      <c r="B46" s="24">
        <v>889921</v>
      </c>
      <c r="C46" s="24" t="s">
        <v>559</v>
      </c>
      <c r="D46" s="24"/>
      <c r="E46" s="24"/>
      <c r="F46" s="24"/>
      <c r="G46" s="24"/>
      <c r="H46" s="24"/>
      <c r="I46" s="24"/>
      <c r="J46" s="252"/>
      <c r="K46" s="24"/>
      <c r="L46" s="24"/>
      <c r="M46" s="24"/>
      <c r="N46" s="24"/>
      <c r="O46" s="24"/>
      <c r="P46" s="24"/>
      <c r="Q46" s="24"/>
      <c r="R46" s="24">
        <v>1587</v>
      </c>
      <c r="S46" s="24">
        <v>1587</v>
      </c>
      <c r="T46" s="24">
        <v>1587</v>
      </c>
      <c r="U46" s="24">
        <v>1587</v>
      </c>
      <c r="V46" s="24">
        <f>434+106</f>
        <v>540</v>
      </c>
      <c r="W46" s="24">
        <v>729</v>
      </c>
      <c r="X46" s="24">
        <v>949</v>
      </c>
      <c r="Y46" s="24"/>
      <c r="Z46" s="24"/>
      <c r="AA46" s="24"/>
      <c r="AB46" s="24"/>
      <c r="AC46" s="24"/>
      <c r="AD46" s="24"/>
      <c r="AE46" s="24"/>
      <c r="AF46" s="32">
        <f t="shared" si="11"/>
        <v>1587</v>
      </c>
      <c r="AG46" s="32">
        <f t="shared" si="11"/>
        <v>1587</v>
      </c>
      <c r="AH46" s="32">
        <f t="shared" si="11"/>
        <v>1587</v>
      </c>
      <c r="AI46" s="32">
        <f t="shared" si="11"/>
        <v>1587</v>
      </c>
      <c r="AJ46" s="32">
        <f t="shared" si="12"/>
        <v>540</v>
      </c>
      <c r="AK46" s="32">
        <f t="shared" si="12"/>
        <v>729</v>
      </c>
      <c r="AL46" s="32">
        <f t="shared" si="12"/>
        <v>949</v>
      </c>
      <c r="AM46" s="32"/>
      <c r="AN46" s="32"/>
      <c r="AO46" s="32"/>
      <c r="AP46" s="32"/>
      <c r="AQ46" s="32"/>
      <c r="AR46" s="32"/>
      <c r="AS46" s="32"/>
      <c r="AT46" s="24"/>
      <c r="AU46" s="24"/>
      <c r="AV46" s="24"/>
      <c r="AW46" s="24"/>
      <c r="AX46" s="24"/>
      <c r="AY46" s="24"/>
      <c r="AZ46" s="24"/>
      <c r="BA46" s="30">
        <f t="shared" si="15"/>
        <v>0</v>
      </c>
      <c r="BB46" s="30">
        <f t="shared" si="15"/>
        <v>0</v>
      </c>
      <c r="BC46" s="30">
        <f t="shared" si="15"/>
        <v>0</v>
      </c>
      <c r="BD46" s="30">
        <f t="shared" si="15"/>
        <v>0</v>
      </c>
      <c r="BE46" s="30">
        <f t="shared" si="15"/>
        <v>0</v>
      </c>
      <c r="BF46" s="30">
        <f t="shared" si="15"/>
        <v>0</v>
      </c>
      <c r="BG46" s="30">
        <f t="shared" si="15"/>
        <v>0</v>
      </c>
      <c r="BH46" s="32">
        <f t="shared" si="13"/>
        <v>1587</v>
      </c>
      <c r="BI46" s="211">
        <f t="shared" si="14"/>
        <v>1587</v>
      </c>
      <c r="BJ46" s="211">
        <f t="shared" si="14"/>
        <v>1587</v>
      </c>
      <c r="BK46" s="211">
        <f t="shared" si="14"/>
        <v>1587</v>
      </c>
      <c r="BL46" s="211">
        <f t="shared" si="10"/>
        <v>540</v>
      </c>
      <c r="BM46" s="211">
        <f t="shared" si="10"/>
        <v>729</v>
      </c>
      <c r="BN46" s="211">
        <f t="shared" si="10"/>
        <v>949</v>
      </c>
      <c r="BO46" s="211">
        <f t="shared" si="16"/>
        <v>59.79836168872086</v>
      </c>
    </row>
    <row r="47" spans="1:67" ht="15">
      <c r="A47" s="208">
        <v>42</v>
      </c>
      <c r="B47" s="24">
        <v>562915</v>
      </c>
      <c r="C47" s="24" t="s">
        <v>721</v>
      </c>
      <c r="D47" s="24"/>
      <c r="E47" s="24"/>
      <c r="F47" s="24"/>
      <c r="G47" s="24"/>
      <c r="H47" s="24"/>
      <c r="I47" s="24"/>
      <c r="J47" s="252"/>
      <c r="K47" s="24"/>
      <c r="L47" s="24"/>
      <c r="M47" s="24"/>
      <c r="N47" s="24"/>
      <c r="O47" s="24"/>
      <c r="P47" s="24"/>
      <c r="Q47" s="24"/>
      <c r="R47" s="24">
        <v>2721</v>
      </c>
      <c r="S47" s="24">
        <v>2721</v>
      </c>
      <c r="T47" s="24">
        <v>2721</v>
      </c>
      <c r="U47" s="24">
        <f>2721-635</f>
        <v>2086</v>
      </c>
      <c r="V47" s="24">
        <f>377+92+17+4</f>
        <v>490</v>
      </c>
      <c r="W47" s="24">
        <v>1859</v>
      </c>
      <c r="X47" s="24">
        <v>2035</v>
      </c>
      <c r="Y47" s="24"/>
      <c r="Z47" s="24"/>
      <c r="AA47" s="24"/>
      <c r="AB47" s="24"/>
      <c r="AC47" s="24"/>
      <c r="AD47" s="24"/>
      <c r="AE47" s="24"/>
      <c r="AF47" s="32">
        <f t="shared" si="11"/>
        <v>2721</v>
      </c>
      <c r="AG47" s="32">
        <f t="shared" si="11"/>
        <v>2721</v>
      </c>
      <c r="AH47" s="32">
        <f t="shared" si="11"/>
        <v>2721</v>
      </c>
      <c r="AI47" s="32">
        <f t="shared" si="11"/>
        <v>2086</v>
      </c>
      <c r="AJ47" s="32">
        <f t="shared" si="12"/>
        <v>490</v>
      </c>
      <c r="AK47" s="32">
        <f t="shared" si="12"/>
        <v>1859</v>
      </c>
      <c r="AL47" s="32">
        <f t="shared" si="12"/>
        <v>2035</v>
      </c>
      <c r="AM47" s="32"/>
      <c r="AN47" s="32"/>
      <c r="AO47" s="32"/>
      <c r="AP47" s="32"/>
      <c r="AQ47" s="32"/>
      <c r="AR47" s="32"/>
      <c r="AS47" s="32"/>
      <c r="AT47" s="24"/>
      <c r="AU47" s="24"/>
      <c r="AV47" s="24"/>
      <c r="AW47" s="24"/>
      <c r="AX47" s="24"/>
      <c r="AY47" s="24"/>
      <c r="AZ47" s="24"/>
      <c r="BA47" s="30">
        <f t="shared" si="15"/>
        <v>0</v>
      </c>
      <c r="BB47" s="30">
        <f t="shared" si="15"/>
        <v>0</v>
      </c>
      <c r="BC47" s="30">
        <f t="shared" si="15"/>
        <v>0</v>
      </c>
      <c r="BD47" s="30">
        <f t="shared" si="15"/>
        <v>0</v>
      </c>
      <c r="BE47" s="30">
        <f t="shared" si="15"/>
        <v>0</v>
      </c>
      <c r="BF47" s="30">
        <f t="shared" si="15"/>
        <v>0</v>
      </c>
      <c r="BG47" s="30">
        <f t="shared" si="15"/>
        <v>0</v>
      </c>
      <c r="BH47" s="32">
        <f t="shared" si="13"/>
        <v>2721</v>
      </c>
      <c r="BI47" s="211">
        <f t="shared" si="14"/>
        <v>2721</v>
      </c>
      <c r="BJ47" s="211">
        <f t="shared" si="14"/>
        <v>2721</v>
      </c>
      <c r="BK47" s="211">
        <f t="shared" si="14"/>
        <v>2086</v>
      </c>
      <c r="BL47" s="211">
        <f t="shared" si="10"/>
        <v>490</v>
      </c>
      <c r="BM47" s="211">
        <f t="shared" si="10"/>
        <v>1859</v>
      </c>
      <c r="BN47" s="211">
        <f t="shared" si="10"/>
        <v>2035</v>
      </c>
      <c r="BO47" s="211">
        <f t="shared" si="16"/>
        <v>97.55512943432406</v>
      </c>
    </row>
    <row r="48" spans="1:67" ht="15">
      <c r="A48" s="208">
        <v>43</v>
      </c>
      <c r="B48" s="31">
        <v>813000</v>
      </c>
      <c r="C48" s="24" t="s">
        <v>722</v>
      </c>
      <c r="D48" s="24">
        <v>9695</v>
      </c>
      <c r="E48" s="24">
        <f>9695+237</f>
        <v>9932</v>
      </c>
      <c r="F48" s="24">
        <v>10919</v>
      </c>
      <c r="G48" s="24">
        <f>11639-500</f>
        <v>11139</v>
      </c>
      <c r="H48" s="24">
        <v>4968</v>
      </c>
      <c r="I48" s="24">
        <v>7805</v>
      </c>
      <c r="J48" s="24">
        <v>10781</v>
      </c>
      <c r="K48" s="24">
        <v>2531</v>
      </c>
      <c r="L48" s="24">
        <f>2531+64</f>
        <v>2595</v>
      </c>
      <c r="M48" s="24">
        <v>2953</v>
      </c>
      <c r="N48" s="24">
        <f>3148-135</f>
        <v>3013</v>
      </c>
      <c r="O48" s="24">
        <v>1077</v>
      </c>
      <c r="P48" s="24">
        <f>1731+265</f>
        <v>1996</v>
      </c>
      <c r="Q48" s="24">
        <v>2920</v>
      </c>
      <c r="R48" s="24">
        <v>9624</v>
      </c>
      <c r="S48" s="24">
        <f>9624+200</f>
        <v>9824</v>
      </c>
      <c r="T48" s="24">
        <v>10828</v>
      </c>
      <c r="U48" s="24">
        <v>10408</v>
      </c>
      <c r="V48" s="24">
        <f>5242-137-30</f>
        <v>5075</v>
      </c>
      <c r="W48" s="24">
        <v>8394</v>
      </c>
      <c r="X48" s="24">
        <v>10462</v>
      </c>
      <c r="Y48" s="24"/>
      <c r="Z48" s="24"/>
      <c r="AA48" s="24"/>
      <c r="AB48" s="24"/>
      <c r="AC48" s="24"/>
      <c r="AD48" s="24"/>
      <c r="AE48" s="24"/>
      <c r="AF48" s="32">
        <f t="shared" si="11"/>
        <v>21850</v>
      </c>
      <c r="AG48" s="32">
        <f t="shared" si="11"/>
        <v>22351</v>
      </c>
      <c r="AH48" s="32">
        <f t="shared" si="11"/>
        <v>24700</v>
      </c>
      <c r="AI48" s="32">
        <f t="shared" si="11"/>
        <v>24560</v>
      </c>
      <c r="AJ48" s="32">
        <f t="shared" si="12"/>
        <v>11120</v>
      </c>
      <c r="AK48" s="32">
        <f t="shared" si="12"/>
        <v>18195</v>
      </c>
      <c r="AL48" s="32">
        <f t="shared" si="12"/>
        <v>24163</v>
      </c>
      <c r="AM48" s="32"/>
      <c r="AN48" s="32"/>
      <c r="AO48" s="32"/>
      <c r="AP48" s="32"/>
      <c r="AQ48" s="32"/>
      <c r="AR48" s="32"/>
      <c r="AS48" s="32"/>
      <c r="AT48" s="24"/>
      <c r="AU48" s="24"/>
      <c r="AV48" s="24">
        <v>420</v>
      </c>
      <c r="AW48" s="24">
        <v>420</v>
      </c>
      <c r="AX48" s="24"/>
      <c r="AY48" s="24">
        <v>420</v>
      </c>
      <c r="AZ48" s="24">
        <v>509</v>
      </c>
      <c r="BA48" s="30">
        <f t="shared" si="15"/>
        <v>0</v>
      </c>
      <c r="BB48" s="30">
        <f t="shared" si="15"/>
        <v>0</v>
      </c>
      <c r="BC48" s="30">
        <f t="shared" si="15"/>
        <v>420</v>
      </c>
      <c r="BD48" s="30">
        <f t="shared" si="15"/>
        <v>420</v>
      </c>
      <c r="BE48" s="30">
        <f t="shared" si="15"/>
        <v>0</v>
      </c>
      <c r="BF48" s="30">
        <f t="shared" si="15"/>
        <v>420</v>
      </c>
      <c r="BG48" s="30">
        <f t="shared" si="15"/>
        <v>509</v>
      </c>
      <c r="BH48" s="32">
        <f t="shared" si="13"/>
        <v>21850</v>
      </c>
      <c r="BI48" s="211">
        <f t="shared" si="14"/>
        <v>22351</v>
      </c>
      <c r="BJ48" s="211">
        <f t="shared" si="14"/>
        <v>25120</v>
      </c>
      <c r="BK48" s="211">
        <f t="shared" si="14"/>
        <v>24980</v>
      </c>
      <c r="BL48" s="211">
        <f t="shared" si="10"/>
        <v>11120</v>
      </c>
      <c r="BM48" s="211">
        <f t="shared" si="10"/>
        <v>18615</v>
      </c>
      <c r="BN48" s="211">
        <f t="shared" si="10"/>
        <v>24672</v>
      </c>
      <c r="BO48" s="211">
        <f t="shared" si="16"/>
        <v>98.76701361088871</v>
      </c>
    </row>
    <row r="49" spans="1:67" ht="15">
      <c r="A49" s="208">
        <v>44</v>
      </c>
      <c r="B49" s="31">
        <v>522001</v>
      </c>
      <c r="C49" s="24" t="s">
        <v>723</v>
      </c>
      <c r="D49" s="24">
        <v>3084</v>
      </c>
      <c r="E49" s="24">
        <f>3084+158</f>
        <v>3242</v>
      </c>
      <c r="F49" s="24">
        <v>3340</v>
      </c>
      <c r="G49" s="24">
        <v>3426</v>
      </c>
      <c r="H49" s="24">
        <v>1646</v>
      </c>
      <c r="I49" s="24">
        <v>2606</v>
      </c>
      <c r="J49" s="24">
        <v>3479</v>
      </c>
      <c r="K49" s="24">
        <v>810</v>
      </c>
      <c r="L49" s="24">
        <f>810+42</f>
        <v>852</v>
      </c>
      <c r="M49" s="24">
        <v>938</v>
      </c>
      <c r="N49" s="24">
        <v>947</v>
      </c>
      <c r="O49" s="24">
        <v>438</v>
      </c>
      <c r="P49" s="24">
        <f>689+89</f>
        <v>778</v>
      </c>
      <c r="Q49" s="24">
        <v>1062</v>
      </c>
      <c r="R49" s="24">
        <v>4403</v>
      </c>
      <c r="S49" s="24">
        <f>4403+190</f>
        <v>4593</v>
      </c>
      <c r="T49" s="24">
        <v>4559</v>
      </c>
      <c r="U49" s="24">
        <f>4559-3366</f>
        <v>1193</v>
      </c>
      <c r="V49" s="24">
        <v>886</v>
      </c>
      <c r="W49" s="24">
        <v>724</v>
      </c>
      <c r="X49" s="24">
        <v>1087</v>
      </c>
      <c r="Y49" s="24"/>
      <c r="Z49" s="24"/>
      <c r="AA49" s="24"/>
      <c r="AB49" s="24"/>
      <c r="AC49" s="24"/>
      <c r="AD49" s="24"/>
      <c r="AE49" s="24"/>
      <c r="AF49" s="32">
        <f t="shared" si="11"/>
        <v>8297</v>
      </c>
      <c r="AG49" s="32">
        <f t="shared" si="11"/>
        <v>8687</v>
      </c>
      <c r="AH49" s="32">
        <f t="shared" si="11"/>
        <v>8837</v>
      </c>
      <c r="AI49" s="32">
        <f t="shared" si="11"/>
        <v>5566</v>
      </c>
      <c r="AJ49" s="32">
        <f t="shared" si="12"/>
        <v>2970</v>
      </c>
      <c r="AK49" s="32">
        <f t="shared" si="12"/>
        <v>4108</v>
      </c>
      <c r="AL49" s="32">
        <f t="shared" si="12"/>
        <v>5628</v>
      </c>
      <c r="AM49" s="32"/>
      <c r="AN49" s="32"/>
      <c r="AO49" s="32"/>
      <c r="AP49" s="32"/>
      <c r="AQ49" s="32"/>
      <c r="AR49" s="32"/>
      <c r="AS49" s="32"/>
      <c r="AT49" s="24"/>
      <c r="AU49" s="24">
        <f>1080+1075</f>
        <v>2155</v>
      </c>
      <c r="AV49" s="24">
        <v>2155</v>
      </c>
      <c r="AW49" s="24">
        <v>2155</v>
      </c>
      <c r="AX49" s="24">
        <v>2154</v>
      </c>
      <c r="AY49" s="24">
        <v>2154</v>
      </c>
      <c r="AZ49" s="24">
        <v>2154</v>
      </c>
      <c r="BA49" s="30">
        <f t="shared" si="15"/>
        <v>0</v>
      </c>
      <c r="BB49" s="30">
        <f t="shared" si="15"/>
        <v>2155</v>
      </c>
      <c r="BC49" s="30">
        <f t="shared" si="15"/>
        <v>2155</v>
      </c>
      <c r="BD49" s="30">
        <f t="shared" si="15"/>
        <v>2155</v>
      </c>
      <c r="BE49" s="30">
        <f t="shared" si="15"/>
        <v>2154</v>
      </c>
      <c r="BF49" s="30">
        <f t="shared" si="15"/>
        <v>2154</v>
      </c>
      <c r="BG49" s="30">
        <f t="shared" si="15"/>
        <v>2154</v>
      </c>
      <c r="BH49" s="32">
        <f t="shared" si="13"/>
        <v>8297</v>
      </c>
      <c r="BI49" s="211">
        <f t="shared" si="14"/>
        <v>10842</v>
      </c>
      <c r="BJ49" s="211">
        <f t="shared" si="14"/>
        <v>10992</v>
      </c>
      <c r="BK49" s="211">
        <f t="shared" si="14"/>
        <v>7721</v>
      </c>
      <c r="BL49" s="211">
        <f t="shared" si="10"/>
        <v>5124</v>
      </c>
      <c r="BM49" s="211">
        <f t="shared" si="10"/>
        <v>6262</v>
      </c>
      <c r="BN49" s="211">
        <f t="shared" si="10"/>
        <v>7782</v>
      </c>
      <c r="BO49" s="211">
        <f t="shared" si="16"/>
        <v>100.79005310192981</v>
      </c>
    </row>
    <row r="50" spans="1:67" ht="15">
      <c r="A50" s="208">
        <v>45</v>
      </c>
      <c r="B50" s="31">
        <v>811000</v>
      </c>
      <c r="C50" s="24" t="s">
        <v>724</v>
      </c>
      <c r="D50" s="24">
        <v>4526</v>
      </c>
      <c r="E50" s="24">
        <f>4526+75</f>
        <v>4601</v>
      </c>
      <c r="F50" s="24">
        <v>4902</v>
      </c>
      <c r="G50" s="24">
        <v>4986</v>
      </c>
      <c r="H50" s="24">
        <v>2514</v>
      </c>
      <c r="I50" s="24">
        <v>4622</v>
      </c>
      <c r="J50" s="24">
        <v>5166</v>
      </c>
      <c r="K50" s="24">
        <v>1184</v>
      </c>
      <c r="L50" s="24">
        <f>1184+20</f>
        <v>1204</v>
      </c>
      <c r="M50" s="24">
        <v>1332</v>
      </c>
      <c r="N50" s="24">
        <v>1356</v>
      </c>
      <c r="O50" s="24">
        <v>448</v>
      </c>
      <c r="P50" s="24">
        <f>715+157</f>
        <v>872</v>
      </c>
      <c r="Q50" s="24">
        <v>1314</v>
      </c>
      <c r="R50" s="24">
        <v>261</v>
      </c>
      <c r="S50" s="24">
        <v>261</v>
      </c>
      <c r="T50" s="24">
        <v>216</v>
      </c>
      <c r="U50" s="24">
        <v>216</v>
      </c>
      <c r="V50" s="24">
        <v>114</v>
      </c>
      <c r="W50" s="24">
        <v>114</v>
      </c>
      <c r="X50" s="24">
        <v>114</v>
      </c>
      <c r="Y50" s="24"/>
      <c r="Z50" s="24"/>
      <c r="AA50" s="24"/>
      <c r="AB50" s="24"/>
      <c r="AC50" s="24"/>
      <c r="AD50" s="24"/>
      <c r="AE50" s="24"/>
      <c r="AF50" s="32">
        <f t="shared" si="11"/>
        <v>5971</v>
      </c>
      <c r="AG50" s="32">
        <f t="shared" si="11"/>
        <v>6066</v>
      </c>
      <c r="AH50" s="32">
        <f t="shared" si="11"/>
        <v>6450</v>
      </c>
      <c r="AI50" s="32">
        <f t="shared" si="11"/>
        <v>6558</v>
      </c>
      <c r="AJ50" s="32">
        <f t="shared" si="12"/>
        <v>3076</v>
      </c>
      <c r="AK50" s="32">
        <f t="shared" si="12"/>
        <v>5608</v>
      </c>
      <c r="AL50" s="32">
        <f t="shared" si="12"/>
        <v>6594</v>
      </c>
      <c r="AM50" s="32"/>
      <c r="AN50" s="32"/>
      <c r="AO50" s="32"/>
      <c r="AP50" s="32"/>
      <c r="AQ50" s="32"/>
      <c r="AR50" s="32"/>
      <c r="AS50" s="32"/>
      <c r="AT50" s="24"/>
      <c r="AU50" s="24"/>
      <c r="AV50" s="24"/>
      <c r="AW50" s="24"/>
      <c r="AX50" s="24"/>
      <c r="AY50" s="24"/>
      <c r="AZ50" s="24"/>
      <c r="BA50" s="30">
        <f t="shared" si="15"/>
        <v>0</v>
      </c>
      <c r="BB50" s="30">
        <f t="shared" si="15"/>
        <v>0</v>
      </c>
      <c r="BC50" s="30">
        <f t="shared" si="15"/>
        <v>0</v>
      </c>
      <c r="BD50" s="30">
        <f t="shared" si="15"/>
        <v>0</v>
      </c>
      <c r="BE50" s="30">
        <f t="shared" si="15"/>
        <v>0</v>
      </c>
      <c r="BF50" s="30">
        <f t="shared" si="15"/>
        <v>0</v>
      </c>
      <c r="BG50" s="30">
        <f t="shared" si="15"/>
        <v>0</v>
      </c>
      <c r="BH50" s="32">
        <f t="shared" si="13"/>
        <v>5971</v>
      </c>
      <c r="BI50" s="211">
        <f t="shared" si="14"/>
        <v>6066</v>
      </c>
      <c r="BJ50" s="211">
        <f t="shared" si="14"/>
        <v>6450</v>
      </c>
      <c r="BK50" s="211">
        <f t="shared" si="14"/>
        <v>6558</v>
      </c>
      <c r="BL50" s="211">
        <f t="shared" si="10"/>
        <v>3076</v>
      </c>
      <c r="BM50" s="211">
        <f t="shared" si="10"/>
        <v>5608</v>
      </c>
      <c r="BN50" s="211">
        <f t="shared" si="10"/>
        <v>6594</v>
      </c>
      <c r="BO50" s="211">
        <f t="shared" si="16"/>
        <v>100.54894784995425</v>
      </c>
    </row>
    <row r="51" spans="1:67" ht="15">
      <c r="A51" s="208">
        <v>46</v>
      </c>
      <c r="B51" s="31">
        <v>960302</v>
      </c>
      <c r="C51" s="24" t="s">
        <v>561</v>
      </c>
      <c r="D51" s="24">
        <v>140</v>
      </c>
      <c r="E51" s="24">
        <v>140</v>
      </c>
      <c r="F51" s="24">
        <v>140</v>
      </c>
      <c r="G51" s="24">
        <v>140</v>
      </c>
      <c r="H51" s="24">
        <v>19</v>
      </c>
      <c r="I51" s="24">
        <v>42</v>
      </c>
      <c r="J51" s="24">
        <v>62</v>
      </c>
      <c r="K51" s="24">
        <v>38</v>
      </c>
      <c r="L51" s="24">
        <v>38</v>
      </c>
      <c r="M51" s="24">
        <v>38</v>
      </c>
      <c r="N51" s="24">
        <v>38</v>
      </c>
      <c r="O51" s="24">
        <v>5</v>
      </c>
      <c r="P51" s="24">
        <f>10+1</f>
        <v>11</v>
      </c>
      <c r="Q51" s="24">
        <v>15</v>
      </c>
      <c r="R51" s="24">
        <v>178</v>
      </c>
      <c r="S51" s="24">
        <v>178</v>
      </c>
      <c r="T51" s="24">
        <v>178</v>
      </c>
      <c r="U51" s="24">
        <v>178</v>
      </c>
      <c r="V51" s="24">
        <v>7</v>
      </c>
      <c r="W51" s="24">
        <v>2</v>
      </c>
      <c r="X51" s="24">
        <v>37</v>
      </c>
      <c r="Y51" s="24"/>
      <c r="Z51" s="24"/>
      <c r="AA51" s="24"/>
      <c r="AB51" s="24"/>
      <c r="AC51" s="24"/>
      <c r="AD51" s="24"/>
      <c r="AE51" s="24"/>
      <c r="AF51" s="32">
        <f t="shared" si="11"/>
        <v>356</v>
      </c>
      <c r="AG51" s="32">
        <f t="shared" si="11"/>
        <v>356</v>
      </c>
      <c r="AH51" s="32">
        <f t="shared" si="11"/>
        <v>356</v>
      </c>
      <c r="AI51" s="32">
        <f t="shared" si="11"/>
        <v>356</v>
      </c>
      <c r="AJ51" s="32">
        <f t="shared" si="12"/>
        <v>31</v>
      </c>
      <c r="AK51" s="32">
        <f t="shared" si="12"/>
        <v>55</v>
      </c>
      <c r="AL51" s="32">
        <f t="shared" si="12"/>
        <v>114</v>
      </c>
      <c r="AM51" s="32"/>
      <c r="AN51" s="32"/>
      <c r="AO51" s="32"/>
      <c r="AP51" s="32"/>
      <c r="AQ51" s="32"/>
      <c r="AR51" s="32"/>
      <c r="AS51" s="32"/>
      <c r="AT51" s="24">
        <v>1270</v>
      </c>
      <c r="AU51" s="24">
        <v>1270</v>
      </c>
      <c r="AV51" s="24">
        <v>1270</v>
      </c>
      <c r="AW51" s="24">
        <v>1270</v>
      </c>
      <c r="AX51" s="24"/>
      <c r="AY51" s="24">
        <v>0</v>
      </c>
      <c r="AZ51" s="24">
        <v>544</v>
      </c>
      <c r="BA51" s="30">
        <f t="shared" si="15"/>
        <v>1270</v>
      </c>
      <c r="BB51" s="30">
        <f t="shared" si="15"/>
        <v>1270</v>
      </c>
      <c r="BC51" s="30">
        <f t="shared" si="15"/>
        <v>1270</v>
      </c>
      <c r="BD51" s="30">
        <f t="shared" si="15"/>
        <v>1270</v>
      </c>
      <c r="BE51" s="30">
        <f t="shared" si="15"/>
        <v>0</v>
      </c>
      <c r="BF51" s="30">
        <f t="shared" si="15"/>
        <v>0</v>
      </c>
      <c r="BG51" s="30">
        <f t="shared" si="15"/>
        <v>544</v>
      </c>
      <c r="BH51" s="32">
        <f t="shared" si="13"/>
        <v>1626</v>
      </c>
      <c r="BI51" s="211">
        <f t="shared" si="14"/>
        <v>1626</v>
      </c>
      <c r="BJ51" s="211">
        <f t="shared" si="14"/>
        <v>1626</v>
      </c>
      <c r="BK51" s="211">
        <f t="shared" si="14"/>
        <v>1626</v>
      </c>
      <c r="BL51" s="211">
        <f t="shared" si="10"/>
        <v>31</v>
      </c>
      <c r="BM51" s="211">
        <f t="shared" si="10"/>
        <v>55</v>
      </c>
      <c r="BN51" s="211">
        <f t="shared" si="10"/>
        <v>658</v>
      </c>
      <c r="BO51" s="211">
        <f t="shared" si="16"/>
        <v>40.46740467404674</v>
      </c>
    </row>
    <row r="52" spans="1:67" ht="15">
      <c r="A52" s="208">
        <v>47</v>
      </c>
      <c r="B52" s="31">
        <v>381183</v>
      </c>
      <c r="C52" s="24" t="s">
        <v>725</v>
      </c>
      <c r="D52" s="24">
        <v>4435</v>
      </c>
      <c r="E52" s="24">
        <f>4435+219</f>
        <v>4654</v>
      </c>
      <c r="F52" s="24">
        <v>4900</v>
      </c>
      <c r="G52" s="24">
        <v>4960</v>
      </c>
      <c r="H52" s="24">
        <v>2421</v>
      </c>
      <c r="I52" s="24">
        <v>3919</v>
      </c>
      <c r="J52" s="24">
        <v>5040</v>
      </c>
      <c r="K52" s="24">
        <v>1175</v>
      </c>
      <c r="L52" s="24">
        <f>1175+59</f>
        <v>1234</v>
      </c>
      <c r="M52" s="24">
        <v>1347</v>
      </c>
      <c r="N52" s="24">
        <v>1362</v>
      </c>
      <c r="O52" s="24">
        <v>505</v>
      </c>
      <c r="P52" s="24">
        <f>854+133</f>
        <v>987</v>
      </c>
      <c r="Q52" s="24">
        <v>1404</v>
      </c>
      <c r="R52" s="24">
        <v>8715</v>
      </c>
      <c r="S52" s="24">
        <v>8715</v>
      </c>
      <c r="T52" s="24">
        <v>8668</v>
      </c>
      <c r="U52" s="24">
        <f>10971-381</f>
        <v>10590</v>
      </c>
      <c r="V52" s="24">
        <f>3361-2</f>
        <v>3359</v>
      </c>
      <c r="W52" s="24">
        <v>7021</v>
      </c>
      <c r="X52" s="24">
        <v>9778</v>
      </c>
      <c r="Y52" s="24"/>
      <c r="Z52" s="24"/>
      <c r="AA52" s="24"/>
      <c r="AB52" s="24"/>
      <c r="AC52" s="24"/>
      <c r="AD52" s="24"/>
      <c r="AE52" s="24"/>
      <c r="AF52" s="32">
        <f t="shared" si="11"/>
        <v>14325</v>
      </c>
      <c r="AG52" s="32">
        <f t="shared" si="11"/>
        <v>14603</v>
      </c>
      <c r="AH52" s="32">
        <f t="shared" si="11"/>
        <v>14915</v>
      </c>
      <c r="AI52" s="32">
        <f t="shared" si="11"/>
        <v>16912</v>
      </c>
      <c r="AJ52" s="32">
        <f t="shared" si="12"/>
        <v>6285</v>
      </c>
      <c r="AK52" s="32">
        <f t="shared" si="12"/>
        <v>11927</v>
      </c>
      <c r="AL52" s="32">
        <f t="shared" si="12"/>
        <v>16222</v>
      </c>
      <c r="AM52" s="32"/>
      <c r="AN52" s="32"/>
      <c r="AO52" s="32"/>
      <c r="AP52" s="32"/>
      <c r="AQ52" s="32"/>
      <c r="AR52" s="32"/>
      <c r="AS52" s="32"/>
      <c r="AT52" s="24"/>
      <c r="AU52" s="24"/>
      <c r="AV52" s="24"/>
      <c r="AW52" s="24"/>
      <c r="AX52" s="24"/>
      <c r="AY52" s="24"/>
      <c r="AZ52" s="24"/>
      <c r="BA52" s="30">
        <f t="shared" si="15"/>
        <v>0</v>
      </c>
      <c r="BB52" s="30">
        <f t="shared" si="15"/>
        <v>0</v>
      </c>
      <c r="BC52" s="30">
        <f t="shared" si="15"/>
        <v>0</v>
      </c>
      <c r="BD52" s="30">
        <f t="shared" si="15"/>
        <v>0</v>
      </c>
      <c r="BE52" s="30">
        <f t="shared" si="15"/>
        <v>0</v>
      </c>
      <c r="BF52" s="30">
        <f t="shared" si="15"/>
        <v>0</v>
      </c>
      <c r="BG52" s="30">
        <f t="shared" si="15"/>
        <v>0</v>
      </c>
      <c r="BH52" s="32">
        <f t="shared" si="13"/>
        <v>14325</v>
      </c>
      <c r="BI52" s="211">
        <f t="shared" si="14"/>
        <v>14603</v>
      </c>
      <c r="BJ52" s="211">
        <f t="shared" si="14"/>
        <v>14915</v>
      </c>
      <c r="BK52" s="211">
        <f t="shared" si="14"/>
        <v>16912</v>
      </c>
      <c r="BL52" s="211">
        <f t="shared" si="10"/>
        <v>6285</v>
      </c>
      <c r="BM52" s="211">
        <f t="shared" si="10"/>
        <v>11927</v>
      </c>
      <c r="BN52" s="211">
        <f t="shared" si="10"/>
        <v>16222</v>
      </c>
      <c r="BO52" s="211">
        <f t="shared" si="16"/>
        <v>95.92005676442763</v>
      </c>
    </row>
    <row r="53" spans="1:67" ht="15">
      <c r="A53" s="208">
        <v>48</v>
      </c>
      <c r="B53" s="31">
        <v>890442</v>
      </c>
      <c r="C53" s="24" t="s">
        <v>726</v>
      </c>
      <c r="D53" s="24">
        <v>1739</v>
      </c>
      <c r="E53" s="24">
        <v>1739</v>
      </c>
      <c r="F53" s="24">
        <v>1739</v>
      </c>
      <c r="G53" s="24">
        <v>4054</v>
      </c>
      <c r="H53" s="24">
        <v>1340</v>
      </c>
      <c r="I53" s="24">
        <v>2926</v>
      </c>
      <c r="J53" s="24">
        <v>4071</v>
      </c>
      <c r="K53" s="24">
        <v>235</v>
      </c>
      <c r="L53" s="24">
        <v>235</v>
      </c>
      <c r="M53" s="24">
        <v>235</v>
      </c>
      <c r="N53" s="24">
        <v>547</v>
      </c>
      <c r="O53" s="24">
        <v>181</v>
      </c>
      <c r="P53" s="24">
        <f>382+99</f>
        <v>481</v>
      </c>
      <c r="Q53" s="24">
        <v>534</v>
      </c>
      <c r="R53" s="24">
        <v>57</v>
      </c>
      <c r="S53" s="24">
        <v>57</v>
      </c>
      <c r="T53" s="24">
        <v>57</v>
      </c>
      <c r="U53" s="24">
        <f>57-57</f>
        <v>0</v>
      </c>
      <c r="V53" s="24"/>
      <c r="W53" s="24">
        <v>0</v>
      </c>
      <c r="X53" s="24"/>
      <c r="Y53" s="24"/>
      <c r="Z53" s="24"/>
      <c r="AA53" s="24"/>
      <c r="AB53" s="24"/>
      <c r="AC53" s="24"/>
      <c r="AD53" s="24"/>
      <c r="AE53" s="24"/>
      <c r="AF53" s="32">
        <f t="shared" si="11"/>
        <v>2031</v>
      </c>
      <c r="AG53" s="32">
        <f t="shared" si="11"/>
        <v>2031</v>
      </c>
      <c r="AH53" s="32">
        <f t="shared" si="11"/>
        <v>2031</v>
      </c>
      <c r="AI53" s="32">
        <f t="shared" si="11"/>
        <v>4601</v>
      </c>
      <c r="AJ53" s="32">
        <f t="shared" si="12"/>
        <v>1521</v>
      </c>
      <c r="AK53" s="32">
        <f t="shared" si="12"/>
        <v>3407</v>
      </c>
      <c r="AL53" s="32">
        <f t="shared" si="12"/>
        <v>4605</v>
      </c>
      <c r="AM53" s="32"/>
      <c r="AN53" s="32"/>
      <c r="AO53" s="32"/>
      <c r="AP53" s="32"/>
      <c r="AQ53" s="32"/>
      <c r="AR53" s="32"/>
      <c r="AS53" s="32"/>
      <c r="AT53" s="24"/>
      <c r="AU53" s="24"/>
      <c r="AV53" s="24"/>
      <c r="AW53" s="24"/>
      <c r="AX53" s="24"/>
      <c r="AY53" s="24"/>
      <c r="AZ53" s="24"/>
      <c r="BA53" s="30">
        <f t="shared" si="15"/>
        <v>0</v>
      </c>
      <c r="BB53" s="30">
        <f t="shared" si="15"/>
        <v>0</v>
      </c>
      <c r="BC53" s="30">
        <f t="shared" si="15"/>
        <v>0</v>
      </c>
      <c r="BD53" s="30">
        <f t="shared" si="15"/>
        <v>0</v>
      </c>
      <c r="BE53" s="30">
        <f t="shared" si="15"/>
        <v>0</v>
      </c>
      <c r="BF53" s="30">
        <f t="shared" si="15"/>
        <v>0</v>
      </c>
      <c r="BG53" s="30">
        <f t="shared" si="15"/>
        <v>0</v>
      </c>
      <c r="BH53" s="32">
        <f t="shared" si="13"/>
        <v>2031</v>
      </c>
      <c r="BI53" s="211">
        <f t="shared" si="14"/>
        <v>2031</v>
      </c>
      <c r="BJ53" s="211">
        <f t="shared" si="14"/>
        <v>2031</v>
      </c>
      <c r="BK53" s="211">
        <f t="shared" si="14"/>
        <v>4601</v>
      </c>
      <c r="BL53" s="211">
        <f t="shared" si="10"/>
        <v>1521</v>
      </c>
      <c r="BM53" s="211">
        <f t="shared" si="10"/>
        <v>3407</v>
      </c>
      <c r="BN53" s="211">
        <f t="shared" si="10"/>
        <v>4605</v>
      </c>
      <c r="BO53" s="211">
        <f t="shared" si="16"/>
        <v>100.08693762225602</v>
      </c>
    </row>
    <row r="54" spans="1:67" ht="15">
      <c r="A54" s="208">
        <v>49</v>
      </c>
      <c r="B54" s="31">
        <v>890444</v>
      </c>
      <c r="C54" s="24" t="s">
        <v>727</v>
      </c>
      <c r="D54" s="24">
        <v>1546</v>
      </c>
      <c r="E54" s="24">
        <v>1546</v>
      </c>
      <c r="F54" s="24">
        <v>1546</v>
      </c>
      <c r="G54" s="24">
        <v>1546</v>
      </c>
      <c r="H54" s="24">
        <v>1486</v>
      </c>
      <c r="I54" s="24">
        <v>1486</v>
      </c>
      <c r="J54" s="24">
        <v>1486</v>
      </c>
      <c r="K54" s="24">
        <v>209</v>
      </c>
      <c r="L54" s="24">
        <v>209</v>
      </c>
      <c r="M54" s="24">
        <v>209</v>
      </c>
      <c r="N54" s="24">
        <v>209</v>
      </c>
      <c r="O54" s="24">
        <v>204</v>
      </c>
      <c r="P54" s="24">
        <f>204+51</f>
        <v>255</v>
      </c>
      <c r="Q54" s="24">
        <v>201</v>
      </c>
      <c r="R54" s="24"/>
      <c r="S54" s="24"/>
      <c r="T54" s="24"/>
      <c r="U54" s="24"/>
      <c r="V54" s="24"/>
      <c r="W54" s="24">
        <v>0</v>
      </c>
      <c r="X54" s="24"/>
      <c r="Y54" s="24"/>
      <c r="Z54" s="24"/>
      <c r="AA54" s="24"/>
      <c r="AB54" s="24"/>
      <c r="AC54" s="24"/>
      <c r="AD54" s="24"/>
      <c r="AE54" s="24"/>
      <c r="AF54" s="32">
        <f t="shared" si="11"/>
        <v>1755</v>
      </c>
      <c r="AG54" s="32">
        <f t="shared" si="11"/>
        <v>1755</v>
      </c>
      <c r="AH54" s="32">
        <f t="shared" si="11"/>
        <v>1755</v>
      </c>
      <c r="AI54" s="32">
        <f t="shared" si="11"/>
        <v>1755</v>
      </c>
      <c r="AJ54" s="32">
        <f t="shared" si="12"/>
        <v>1690</v>
      </c>
      <c r="AK54" s="32">
        <f t="shared" si="12"/>
        <v>1741</v>
      </c>
      <c r="AL54" s="32">
        <f t="shared" si="12"/>
        <v>1687</v>
      </c>
      <c r="AM54" s="32"/>
      <c r="AN54" s="32"/>
      <c r="AO54" s="32"/>
      <c r="AP54" s="32"/>
      <c r="AQ54" s="32"/>
      <c r="AR54" s="32"/>
      <c r="AS54" s="32"/>
      <c r="AT54" s="24"/>
      <c r="AU54" s="24"/>
      <c r="AV54" s="24"/>
      <c r="AW54" s="24"/>
      <c r="AX54" s="24"/>
      <c r="AY54" s="24"/>
      <c r="AZ54" s="24"/>
      <c r="BA54" s="30">
        <f t="shared" si="15"/>
        <v>0</v>
      </c>
      <c r="BB54" s="30">
        <f t="shared" si="15"/>
        <v>0</v>
      </c>
      <c r="BC54" s="30">
        <f t="shared" si="15"/>
        <v>0</v>
      </c>
      <c r="BD54" s="30">
        <f t="shared" si="15"/>
        <v>0</v>
      </c>
      <c r="BE54" s="30">
        <f t="shared" si="15"/>
        <v>0</v>
      </c>
      <c r="BF54" s="30">
        <f t="shared" si="15"/>
        <v>0</v>
      </c>
      <c r="BG54" s="30">
        <f t="shared" si="15"/>
        <v>0</v>
      </c>
      <c r="BH54" s="32">
        <f t="shared" si="13"/>
        <v>1755</v>
      </c>
      <c r="BI54" s="211">
        <f t="shared" si="14"/>
        <v>1755</v>
      </c>
      <c r="BJ54" s="211">
        <f t="shared" si="14"/>
        <v>1755</v>
      </c>
      <c r="BK54" s="211">
        <f t="shared" si="14"/>
        <v>1755</v>
      </c>
      <c r="BL54" s="211">
        <f t="shared" si="10"/>
        <v>1690</v>
      </c>
      <c r="BM54" s="211">
        <f t="shared" si="10"/>
        <v>1741</v>
      </c>
      <c r="BN54" s="211">
        <f t="shared" si="10"/>
        <v>1687</v>
      </c>
      <c r="BO54" s="211">
        <f t="shared" si="16"/>
        <v>96.12535612535612</v>
      </c>
    </row>
    <row r="55" spans="1:67" ht="15">
      <c r="A55" s="208">
        <v>50</v>
      </c>
      <c r="B55" s="31">
        <v>932911</v>
      </c>
      <c r="C55" s="24" t="s">
        <v>728</v>
      </c>
      <c r="D55" s="24">
        <v>0</v>
      </c>
      <c r="E55" s="24">
        <v>0</v>
      </c>
      <c r="F55" s="24"/>
      <c r="G55" s="24"/>
      <c r="H55" s="24"/>
      <c r="I55" s="24"/>
      <c r="J55" s="252"/>
      <c r="K55" s="24"/>
      <c r="L55" s="24"/>
      <c r="M55" s="24"/>
      <c r="N55" s="24"/>
      <c r="O55" s="24"/>
      <c r="P55" s="24"/>
      <c r="Q55" s="24"/>
      <c r="R55" s="24">
        <v>191</v>
      </c>
      <c r="S55" s="24">
        <v>191</v>
      </c>
      <c r="T55" s="24">
        <v>191</v>
      </c>
      <c r="U55" s="24">
        <v>191</v>
      </c>
      <c r="V55" s="24">
        <v>183</v>
      </c>
      <c r="W55" s="24">
        <v>187</v>
      </c>
      <c r="X55" s="24">
        <v>207</v>
      </c>
      <c r="Y55" s="24"/>
      <c r="Z55" s="24"/>
      <c r="AA55" s="24"/>
      <c r="AB55" s="24"/>
      <c r="AC55" s="24"/>
      <c r="AD55" s="24"/>
      <c r="AE55" s="24"/>
      <c r="AF55" s="32">
        <f t="shared" si="11"/>
        <v>191</v>
      </c>
      <c r="AG55" s="32">
        <f t="shared" si="11"/>
        <v>191</v>
      </c>
      <c r="AH55" s="32">
        <f t="shared" si="11"/>
        <v>191</v>
      </c>
      <c r="AI55" s="32">
        <f t="shared" si="11"/>
        <v>191</v>
      </c>
      <c r="AJ55" s="32">
        <f t="shared" si="12"/>
        <v>183</v>
      </c>
      <c r="AK55" s="32">
        <f t="shared" si="12"/>
        <v>187</v>
      </c>
      <c r="AL55" s="32">
        <f t="shared" si="12"/>
        <v>207</v>
      </c>
      <c r="AM55" s="32"/>
      <c r="AN55" s="32"/>
      <c r="AO55" s="32"/>
      <c r="AP55" s="32"/>
      <c r="AQ55" s="32"/>
      <c r="AR55" s="32"/>
      <c r="AS55" s="32"/>
      <c r="AT55" s="24"/>
      <c r="AU55" s="24"/>
      <c r="AV55" s="24"/>
      <c r="AW55" s="24"/>
      <c r="AX55" s="24"/>
      <c r="AY55" s="24"/>
      <c r="AZ55" s="24"/>
      <c r="BA55" s="30">
        <f t="shared" si="15"/>
        <v>0</v>
      </c>
      <c r="BB55" s="30">
        <f t="shared" si="15"/>
        <v>0</v>
      </c>
      <c r="BC55" s="30">
        <f t="shared" si="15"/>
        <v>0</v>
      </c>
      <c r="BD55" s="30">
        <f t="shared" si="15"/>
        <v>0</v>
      </c>
      <c r="BE55" s="30">
        <f t="shared" si="15"/>
        <v>0</v>
      </c>
      <c r="BF55" s="30">
        <f t="shared" si="15"/>
        <v>0</v>
      </c>
      <c r="BG55" s="30">
        <f t="shared" si="15"/>
        <v>0</v>
      </c>
      <c r="BH55" s="32">
        <f t="shared" si="13"/>
        <v>191</v>
      </c>
      <c r="BI55" s="211">
        <f t="shared" si="14"/>
        <v>191</v>
      </c>
      <c r="BJ55" s="211">
        <f t="shared" si="14"/>
        <v>191</v>
      </c>
      <c r="BK55" s="211">
        <f t="shared" si="14"/>
        <v>191</v>
      </c>
      <c r="BL55" s="211">
        <f t="shared" si="10"/>
        <v>183</v>
      </c>
      <c r="BM55" s="211">
        <f t="shared" si="10"/>
        <v>187</v>
      </c>
      <c r="BN55" s="211">
        <f t="shared" si="10"/>
        <v>207</v>
      </c>
      <c r="BO55" s="211">
        <f t="shared" si="16"/>
        <v>108.37696335078535</v>
      </c>
    </row>
    <row r="56" spans="1:67" ht="15">
      <c r="A56" s="208">
        <v>51</v>
      </c>
      <c r="B56" s="31"/>
      <c r="C56" s="31"/>
      <c r="D56" s="31"/>
      <c r="E56" s="31"/>
      <c r="F56" s="31"/>
      <c r="G56" s="31"/>
      <c r="H56" s="31"/>
      <c r="I56" s="31"/>
      <c r="J56" s="253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2">
        <f t="shared" si="11"/>
        <v>0</v>
      </c>
      <c r="AG56" s="32">
        <f t="shared" si="11"/>
        <v>0</v>
      </c>
      <c r="AH56" s="32">
        <f t="shared" si="11"/>
        <v>0</v>
      </c>
      <c r="AI56" s="32">
        <f t="shared" si="11"/>
        <v>0</v>
      </c>
      <c r="AJ56" s="32">
        <f t="shared" si="12"/>
        <v>0</v>
      </c>
      <c r="AK56" s="32">
        <f t="shared" si="12"/>
        <v>0</v>
      </c>
      <c r="AL56" s="32">
        <f t="shared" si="12"/>
        <v>0</v>
      </c>
      <c r="AM56" s="32"/>
      <c r="AN56" s="32"/>
      <c r="AO56" s="32"/>
      <c r="AP56" s="32"/>
      <c r="AQ56" s="32"/>
      <c r="AR56" s="32"/>
      <c r="AS56" s="32"/>
      <c r="AT56" s="31"/>
      <c r="AU56" s="31"/>
      <c r="AV56" s="31"/>
      <c r="AW56" s="31"/>
      <c r="AX56" s="31"/>
      <c r="AY56" s="31"/>
      <c r="AZ56" s="31"/>
      <c r="BA56" s="30">
        <f t="shared" si="15"/>
        <v>0</v>
      </c>
      <c r="BB56" s="30">
        <f t="shared" si="15"/>
        <v>0</v>
      </c>
      <c r="BC56" s="30">
        <f t="shared" si="15"/>
        <v>0</v>
      </c>
      <c r="BD56" s="30">
        <f t="shared" si="15"/>
        <v>0</v>
      </c>
      <c r="BE56" s="30">
        <f t="shared" si="15"/>
        <v>0</v>
      </c>
      <c r="BF56" s="30">
        <f t="shared" si="15"/>
        <v>0</v>
      </c>
      <c r="BG56" s="30">
        <f t="shared" si="15"/>
        <v>0</v>
      </c>
      <c r="BH56" s="32">
        <f t="shared" si="13"/>
        <v>0</v>
      </c>
      <c r="BI56" s="211">
        <f t="shared" si="14"/>
        <v>0</v>
      </c>
      <c r="BJ56" s="211">
        <f t="shared" si="14"/>
        <v>0</v>
      </c>
      <c r="BK56" s="211">
        <f t="shared" si="14"/>
        <v>0</v>
      </c>
      <c r="BL56" s="211">
        <f t="shared" si="10"/>
        <v>0</v>
      </c>
      <c r="BM56" s="211">
        <f t="shared" si="10"/>
        <v>0</v>
      </c>
      <c r="BN56" s="211">
        <f t="shared" si="10"/>
        <v>0</v>
      </c>
      <c r="BO56" s="211"/>
    </row>
    <row r="57" spans="1:68" ht="15">
      <c r="A57" s="208">
        <v>52</v>
      </c>
      <c r="B57" s="208"/>
      <c r="C57" s="28" t="s">
        <v>598</v>
      </c>
      <c r="D57" s="24">
        <f aca="true" t="shared" si="17" ref="D57:AE57">SUM(D22:D56)</f>
        <v>58951</v>
      </c>
      <c r="E57" s="24">
        <f t="shared" si="17"/>
        <v>60349</v>
      </c>
      <c r="F57" s="24">
        <f t="shared" si="17"/>
        <v>64354</v>
      </c>
      <c r="G57" s="24">
        <f t="shared" si="17"/>
        <v>65990</v>
      </c>
      <c r="H57" s="24">
        <f t="shared" si="17"/>
        <v>31778</v>
      </c>
      <c r="I57" s="24">
        <f t="shared" si="17"/>
        <v>49064</v>
      </c>
      <c r="J57" s="24">
        <f t="shared" si="17"/>
        <v>65037</v>
      </c>
      <c r="K57" s="24">
        <f t="shared" si="17"/>
        <v>14975</v>
      </c>
      <c r="L57" s="24">
        <f t="shared" si="17"/>
        <v>17725</v>
      </c>
      <c r="M57" s="24">
        <f t="shared" si="17"/>
        <v>18544</v>
      </c>
      <c r="N57" s="24">
        <f t="shared" si="17"/>
        <v>18529</v>
      </c>
      <c r="O57" s="24">
        <f t="shared" si="17"/>
        <v>8447</v>
      </c>
      <c r="P57" s="24">
        <f>SUM(P22:P56)</f>
        <v>14047</v>
      </c>
      <c r="Q57" s="24">
        <f>SUM(Q22:Q56)</f>
        <v>18232</v>
      </c>
      <c r="R57" s="24">
        <f t="shared" si="17"/>
        <v>142522</v>
      </c>
      <c r="S57" s="24">
        <f t="shared" si="17"/>
        <v>143458</v>
      </c>
      <c r="T57" s="24">
        <f t="shared" si="17"/>
        <v>153723</v>
      </c>
      <c r="U57" s="24">
        <f>SUM(U22:U56)</f>
        <v>140262</v>
      </c>
      <c r="V57" s="24">
        <f t="shared" si="17"/>
        <v>59922</v>
      </c>
      <c r="W57" s="24">
        <f t="shared" si="17"/>
        <v>94903</v>
      </c>
      <c r="X57" s="24">
        <f t="shared" si="17"/>
        <v>132004</v>
      </c>
      <c r="Y57" s="24">
        <f t="shared" si="17"/>
        <v>6630</v>
      </c>
      <c r="Z57" s="24">
        <f t="shared" si="17"/>
        <v>6755</v>
      </c>
      <c r="AA57" s="24">
        <f t="shared" si="17"/>
        <v>7067</v>
      </c>
      <c r="AB57" s="24">
        <f t="shared" si="17"/>
        <v>7037</v>
      </c>
      <c r="AC57" s="24">
        <f t="shared" si="17"/>
        <v>3556</v>
      </c>
      <c r="AD57" s="24">
        <f t="shared" si="17"/>
        <v>5668</v>
      </c>
      <c r="AE57" s="24">
        <f t="shared" si="17"/>
        <v>6968</v>
      </c>
      <c r="AF57" s="32">
        <f t="shared" si="11"/>
        <v>223078</v>
      </c>
      <c r="AG57" s="32">
        <f t="shared" si="11"/>
        <v>228287</v>
      </c>
      <c r="AH57" s="32">
        <f t="shared" si="11"/>
        <v>243688</v>
      </c>
      <c r="AI57" s="32">
        <f t="shared" si="11"/>
        <v>231818</v>
      </c>
      <c r="AJ57" s="32">
        <f t="shared" si="12"/>
        <v>103703</v>
      </c>
      <c r="AK57" s="32">
        <f t="shared" si="12"/>
        <v>163682</v>
      </c>
      <c r="AL57" s="32">
        <f>AE57+X57+Q57+J57</f>
        <v>222241</v>
      </c>
      <c r="AM57" s="24">
        <f aca="true" t="shared" si="18" ref="AM57:AZ57">SUM(AM22:AM56)</f>
        <v>2500</v>
      </c>
      <c r="AN57" s="24">
        <f t="shared" si="18"/>
        <v>2500</v>
      </c>
      <c r="AO57" s="24">
        <f t="shared" si="18"/>
        <v>2500</v>
      </c>
      <c r="AP57" s="24">
        <f t="shared" si="18"/>
        <v>593</v>
      </c>
      <c r="AQ57" s="24">
        <f t="shared" si="18"/>
        <v>37</v>
      </c>
      <c r="AR57" s="24">
        <f t="shared" si="18"/>
        <v>37</v>
      </c>
      <c r="AS57" s="24">
        <f t="shared" si="18"/>
        <v>593</v>
      </c>
      <c r="AT57" s="24">
        <f t="shared" si="18"/>
        <v>20456</v>
      </c>
      <c r="AU57" s="24">
        <f t="shared" si="18"/>
        <v>19243</v>
      </c>
      <c r="AV57" s="24">
        <f t="shared" si="18"/>
        <v>20235</v>
      </c>
      <c r="AW57" s="24">
        <f t="shared" si="18"/>
        <v>16874</v>
      </c>
      <c r="AX57" s="24">
        <f t="shared" si="18"/>
        <v>8380</v>
      </c>
      <c r="AY57" s="24">
        <f t="shared" si="18"/>
        <v>12738</v>
      </c>
      <c r="AZ57" s="24">
        <f t="shared" si="18"/>
        <v>15958</v>
      </c>
      <c r="BA57" s="30">
        <f t="shared" si="15"/>
        <v>22956</v>
      </c>
      <c r="BB57" s="30">
        <f t="shared" si="15"/>
        <v>21743</v>
      </c>
      <c r="BC57" s="30">
        <f t="shared" si="15"/>
        <v>22735</v>
      </c>
      <c r="BD57" s="30">
        <f t="shared" si="15"/>
        <v>17467</v>
      </c>
      <c r="BE57" s="30">
        <f t="shared" si="15"/>
        <v>8417</v>
      </c>
      <c r="BF57" s="30">
        <f t="shared" si="15"/>
        <v>12775</v>
      </c>
      <c r="BG57" s="30">
        <f t="shared" si="15"/>
        <v>16551</v>
      </c>
      <c r="BH57" s="32">
        <f t="shared" si="13"/>
        <v>246034</v>
      </c>
      <c r="BI57" s="211">
        <f t="shared" si="14"/>
        <v>250030</v>
      </c>
      <c r="BJ57" s="211">
        <f t="shared" si="14"/>
        <v>266423</v>
      </c>
      <c r="BK57" s="211">
        <f t="shared" si="14"/>
        <v>249285</v>
      </c>
      <c r="BL57" s="211">
        <f t="shared" si="10"/>
        <v>112120</v>
      </c>
      <c r="BM57" s="211">
        <f t="shared" si="10"/>
        <v>176457</v>
      </c>
      <c r="BN57" s="211">
        <f t="shared" si="10"/>
        <v>238792</v>
      </c>
      <c r="BO57" s="211">
        <f t="shared" si="16"/>
        <v>95.7907615781134</v>
      </c>
      <c r="BP57" s="204">
        <v>238792</v>
      </c>
    </row>
    <row r="58" spans="1:67" ht="15">
      <c r="A58" s="208">
        <v>53</v>
      </c>
      <c r="B58" s="208"/>
      <c r="C58" s="208"/>
      <c r="D58" s="208"/>
      <c r="E58" s="208"/>
      <c r="F58" s="208"/>
      <c r="G58" s="208"/>
      <c r="H58" s="208"/>
      <c r="I58" s="208"/>
      <c r="J58" s="208">
        <v>65037</v>
      </c>
      <c r="K58" s="208"/>
      <c r="L58" s="208"/>
      <c r="M58" s="208"/>
      <c r="N58" s="208"/>
      <c r="O58" s="208"/>
      <c r="P58" s="208"/>
      <c r="Q58" s="208">
        <v>18232</v>
      </c>
      <c r="R58" s="208"/>
      <c r="S58" s="208"/>
      <c r="T58" s="208"/>
      <c r="U58" s="208"/>
      <c r="V58" s="208"/>
      <c r="W58" s="208"/>
      <c r="X58" s="208">
        <v>132004</v>
      </c>
      <c r="Y58" s="208"/>
      <c r="Z58" s="208"/>
      <c r="AA58" s="208"/>
      <c r="AB58" s="208"/>
      <c r="AC58" s="208"/>
      <c r="AD58" s="208"/>
      <c r="AE58" s="208">
        <v>6968</v>
      </c>
      <c r="AF58" s="32">
        <f t="shared" si="11"/>
        <v>0</v>
      </c>
      <c r="AG58" s="32">
        <f t="shared" si="11"/>
        <v>0</v>
      </c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>
        <v>593</v>
      </c>
      <c r="AT58" s="208"/>
      <c r="AU58" s="208"/>
      <c r="AV58" s="208"/>
      <c r="AW58" s="208"/>
      <c r="AX58" s="208"/>
      <c r="AY58" s="208"/>
      <c r="AZ58" s="208">
        <v>15958</v>
      </c>
      <c r="BA58" s="30">
        <f t="shared" si="15"/>
        <v>0</v>
      </c>
      <c r="BB58" s="30">
        <f>AN58+AU58</f>
        <v>0</v>
      </c>
      <c r="BC58" s="30"/>
      <c r="BD58" s="30"/>
      <c r="BE58" s="30">
        <f>AQ58+AX58</f>
        <v>0</v>
      </c>
      <c r="BF58" s="30"/>
      <c r="BG58" s="30"/>
      <c r="BH58" s="32">
        <f t="shared" si="13"/>
        <v>0</v>
      </c>
      <c r="BI58" s="211">
        <f t="shared" si="14"/>
        <v>0</v>
      </c>
      <c r="BJ58" s="211"/>
      <c r="BK58" s="211"/>
      <c r="BL58" s="211">
        <f t="shared" si="10"/>
        <v>0</v>
      </c>
      <c r="BM58" s="211"/>
      <c r="BN58" s="211"/>
      <c r="BO58" s="211"/>
    </row>
    <row r="59" spans="1:67" ht="15">
      <c r="A59" s="208">
        <v>54</v>
      </c>
      <c r="B59" s="208"/>
      <c r="C59" s="28" t="s">
        <v>729</v>
      </c>
      <c r="D59" s="26">
        <f>SUM(D57+D18+D15)</f>
        <v>84246</v>
      </c>
      <c r="E59" s="26">
        <f aca="true" t="shared" si="19" ref="E59:BH59">SUM(E57+E18+E15)</f>
        <v>86415</v>
      </c>
      <c r="F59" s="26">
        <f t="shared" si="19"/>
        <v>90839</v>
      </c>
      <c r="G59" s="26">
        <f t="shared" si="19"/>
        <v>92927</v>
      </c>
      <c r="H59" s="26">
        <f t="shared" si="19"/>
        <v>43393</v>
      </c>
      <c r="I59" s="26">
        <f t="shared" si="19"/>
        <v>66906</v>
      </c>
      <c r="J59" s="26">
        <f t="shared" si="19"/>
        <v>90760</v>
      </c>
      <c r="K59" s="26">
        <f t="shared" si="19"/>
        <v>21657</v>
      </c>
      <c r="L59" s="26">
        <f t="shared" si="19"/>
        <v>24616</v>
      </c>
      <c r="M59" s="26">
        <f t="shared" si="19"/>
        <v>25830</v>
      </c>
      <c r="N59" s="26">
        <f t="shared" si="19"/>
        <v>25718</v>
      </c>
      <c r="O59" s="26">
        <f t="shared" si="19"/>
        <v>11420</v>
      </c>
      <c r="P59" s="26">
        <f t="shared" si="19"/>
        <v>18859</v>
      </c>
      <c r="Q59" s="26">
        <f t="shared" si="19"/>
        <v>25172</v>
      </c>
      <c r="R59" s="26">
        <f t="shared" si="19"/>
        <v>148356</v>
      </c>
      <c r="S59" s="26">
        <f t="shared" si="19"/>
        <v>149629</v>
      </c>
      <c r="T59" s="26">
        <f t="shared" si="19"/>
        <v>161124</v>
      </c>
      <c r="U59" s="26">
        <f t="shared" si="19"/>
        <v>148994.37</v>
      </c>
      <c r="V59" s="26">
        <f t="shared" si="19"/>
        <v>63368</v>
      </c>
      <c r="W59" s="26">
        <f t="shared" si="19"/>
        <v>99491</v>
      </c>
      <c r="X59" s="26">
        <f t="shared" si="19"/>
        <v>139180</v>
      </c>
      <c r="Y59" s="26">
        <f t="shared" si="19"/>
        <v>50269</v>
      </c>
      <c r="Z59" s="26">
        <f t="shared" si="19"/>
        <v>63286</v>
      </c>
      <c r="AA59" s="26">
        <f t="shared" si="19"/>
        <v>65856</v>
      </c>
      <c r="AB59" s="26">
        <f t="shared" si="19"/>
        <v>401635</v>
      </c>
      <c r="AC59" s="26">
        <f t="shared" si="19"/>
        <v>34450</v>
      </c>
      <c r="AD59" s="26">
        <f t="shared" si="19"/>
        <v>50691</v>
      </c>
      <c r="AE59" s="26">
        <f t="shared" si="19"/>
        <v>398932</v>
      </c>
      <c r="AF59" s="26">
        <f>SUM(AF57+AF18+AF15)</f>
        <v>304528</v>
      </c>
      <c r="AG59" s="26">
        <f t="shared" si="19"/>
        <v>323946</v>
      </c>
      <c r="AH59" s="26">
        <f t="shared" si="19"/>
        <v>343649</v>
      </c>
      <c r="AI59" s="26">
        <f t="shared" si="19"/>
        <v>669274.37</v>
      </c>
      <c r="AJ59" s="26">
        <f t="shared" si="19"/>
        <v>152631</v>
      </c>
      <c r="AK59" s="26">
        <f t="shared" si="19"/>
        <v>235947</v>
      </c>
      <c r="AL59" s="26">
        <f t="shared" si="19"/>
        <v>654044</v>
      </c>
      <c r="AM59" s="26">
        <f t="shared" si="19"/>
        <v>10265</v>
      </c>
      <c r="AN59" s="26">
        <f t="shared" si="19"/>
        <v>10265</v>
      </c>
      <c r="AO59" s="26">
        <f t="shared" si="19"/>
        <v>10265</v>
      </c>
      <c r="AP59" s="26">
        <f t="shared" si="19"/>
        <v>1193</v>
      </c>
      <c r="AQ59" s="26">
        <f t="shared" si="19"/>
        <v>37</v>
      </c>
      <c r="AR59" s="26">
        <f t="shared" si="19"/>
        <v>37</v>
      </c>
      <c r="AS59" s="26">
        <f t="shared" si="19"/>
        <v>593</v>
      </c>
      <c r="AT59" s="26">
        <f t="shared" si="19"/>
        <v>20608</v>
      </c>
      <c r="AU59" s="26">
        <f t="shared" si="19"/>
        <v>32779</v>
      </c>
      <c r="AV59" s="26">
        <f>SUM(AV57+AV18+AV15)</f>
        <v>34397</v>
      </c>
      <c r="AW59" s="26">
        <f>SUM(AW57+AW18+AW15)</f>
        <v>44280</v>
      </c>
      <c r="AX59" s="26">
        <f t="shared" si="19"/>
        <v>12405</v>
      </c>
      <c r="AY59" s="26">
        <f t="shared" si="19"/>
        <v>26845</v>
      </c>
      <c r="AZ59" s="26">
        <f t="shared" si="19"/>
        <v>36221</v>
      </c>
      <c r="BA59" s="26">
        <f t="shared" si="19"/>
        <v>30873</v>
      </c>
      <c r="BB59" s="26">
        <f t="shared" si="19"/>
        <v>43044</v>
      </c>
      <c r="BC59" s="26">
        <f t="shared" si="19"/>
        <v>44662</v>
      </c>
      <c r="BD59" s="26">
        <f>SUM(BD57+BD18+BD15)</f>
        <v>45473</v>
      </c>
      <c r="BE59" s="26">
        <f t="shared" si="19"/>
        <v>12442</v>
      </c>
      <c r="BF59" s="26">
        <f>SUM(BF57+BF18+BF15)</f>
        <v>26882</v>
      </c>
      <c r="BG59" s="26">
        <f>SUM(BG57+BG18+BG15)</f>
        <v>36814</v>
      </c>
      <c r="BH59" s="26">
        <f t="shared" si="19"/>
        <v>314280</v>
      </c>
      <c r="BI59" s="211">
        <f t="shared" si="14"/>
        <v>366990</v>
      </c>
      <c r="BJ59" s="211">
        <f>BC59+AH59</f>
        <v>388311</v>
      </c>
      <c r="BK59" s="211">
        <f>BD59+AI59</f>
        <v>714747.37</v>
      </c>
      <c r="BL59" s="211">
        <f t="shared" si="10"/>
        <v>165073</v>
      </c>
      <c r="BM59" s="211">
        <f>BF59+AK59</f>
        <v>262829</v>
      </c>
      <c r="BN59" s="211">
        <f>BG59+AL59</f>
        <v>690858</v>
      </c>
      <c r="BO59" s="211">
        <f t="shared" si="16"/>
        <v>96.65764842198719</v>
      </c>
    </row>
    <row r="60" spans="1:67" s="213" customFormat="1" ht="15" hidden="1">
      <c r="A60" s="208">
        <v>55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L60" s="214"/>
      <c r="BM60" s="214"/>
      <c r="BN60" s="214"/>
      <c r="BO60" s="211" t="e">
        <f t="shared" si="16"/>
        <v>#DIV/0!</v>
      </c>
    </row>
    <row r="61" spans="2:67" s="213" customFormat="1" ht="1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>
        <v>36221</v>
      </c>
      <c r="BA61" s="205"/>
      <c r="BB61" s="205"/>
      <c r="BC61" s="205"/>
      <c r="BD61" s="205"/>
      <c r="BE61" s="205"/>
      <c r="BF61" s="205"/>
      <c r="BG61" s="205">
        <v>36814</v>
      </c>
      <c r="BH61" s="214"/>
      <c r="BL61" s="214"/>
      <c r="BM61" s="214"/>
      <c r="BN61" s="214"/>
      <c r="BO61" s="214"/>
    </row>
    <row r="62" spans="6:67" s="254" customFormat="1" ht="15"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41"/>
      <c r="BL62" s="255"/>
      <c r="BM62" s="255"/>
      <c r="BN62" s="241"/>
      <c r="BO62" s="255"/>
    </row>
    <row r="63" spans="7:66" ht="15">
      <c r="G63" s="241">
        <f>SUM(G48:G54)</f>
        <v>30251</v>
      </c>
      <c r="H63" s="241">
        <f>SUM(J48:J54)</f>
        <v>30085</v>
      </c>
      <c r="BK63" s="241">
        <f>BD62+AI62</f>
        <v>0</v>
      </c>
      <c r="BL63" s="241"/>
      <c r="BM63" s="241"/>
      <c r="BN63" s="241"/>
    </row>
    <row r="64" spans="55:59" ht="15">
      <c r="BC64" s="241"/>
      <c r="BD64" s="241"/>
      <c r="BE64" s="241"/>
      <c r="BF64" s="241"/>
      <c r="BG64" s="241"/>
    </row>
  </sheetData>
  <sheetProtection/>
  <mergeCells count="10">
    <mergeCell ref="AT6:AZ6"/>
    <mergeCell ref="BA6:BG6"/>
    <mergeCell ref="BH6:BO6"/>
    <mergeCell ref="A1:C1"/>
    <mergeCell ref="D6:J6"/>
    <mergeCell ref="K6:Q6"/>
    <mergeCell ref="R6:X6"/>
    <mergeCell ref="Y6:AE6"/>
    <mergeCell ref="AF6:AL6"/>
    <mergeCell ref="AM6:AS6"/>
  </mergeCells>
  <printOptions/>
  <pageMargins left="0.7" right="0.7" top="0.75" bottom="0.75" header="0.3" footer="0.3"/>
  <pageSetup horizontalDpi="300" verticalDpi="300" orientation="landscape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1"/>
  <sheetViews>
    <sheetView view="pageBreakPreview" zoomScale="70" zoomScaleSheetLayoutView="70" zoomScalePageLayoutView="0" workbookViewId="0" topLeftCell="A1">
      <selection activeCell="AA49" sqref="AA49"/>
    </sheetView>
  </sheetViews>
  <sheetFormatPr defaultColWidth="9.140625" defaultRowHeight="15"/>
  <cols>
    <col min="1" max="1" width="9.140625" style="697" customWidth="1"/>
    <col min="2" max="2" width="10.7109375" style="242" customWidth="1"/>
    <col min="3" max="3" width="36.8515625" style="696" customWidth="1"/>
    <col min="4" max="4" width="9.28125" style="696" customWidth="1"/>
    <col min="5" max="5" width="9.421875" style="696" customWidth="1"/>
    <col min="6" max="7" width="9.00390625" style="696" customWidth="1"/>
    <col min="8" max="8" width="8.57421875" style="696" customWidth="1"/>
    <col min="9" max="9" width="10.7109375" style="35" bestFit="1" customWidth="1"/>
    <col min="10" max="10" width="7.140625" style="696" customWidth="1"/>
    <col min="11" max="11" width="6.421875" style="696" customWidth="1"/>
    <col min="12" max="12" width="9.00390625" style="696" customWidth="1"/>
    <col min="13" max="13" width="8.8515625" style="696" customWidth="1"/>
    <col min="14" max="14" width="8.28125" style="696" customWidth="1"/>
    <col min="15" max="21" width="9.00390625" style="696" customWidth="1"/>
    <col min="22" max="22" width="7.8515625" style="696" customWidth="1"/>
    <col min="23" max="23" width="8.421875" style="696" customWidth="1"/>
    <col min="24" max="24" width="9.421875" style="696" customWidth="1"/>
    <col min="25" max="25" width="7.8515625" style="696" customWidth="1"/>
    <col min="26" max="26" width="8.28125" style="696" customWidth="1"/>
    <col min="27" max="27" width="12.421875" style="35" bestFit="1" customWidth="1"/>
    <col min="28" max="16384" width="9.140625" style="696" customWidth="1"/>
  </cols>
  <sheetData>
    <row r="1" spans="1:7" ht="18.75">
      <c r="A1" s="765" t="s">
        <v>443</v>
      </c>
      <c r="B1" s="765"/>
      <c r="C1" s="765"/>
      <c r="D1" s="765"/>
      <c r="E1" s="765"/>
      <c r="F1" s="765"/>
      <c r="G1" s="765"/>
    </row>
    <row r="3" spans="2:3" ht="18.75">
      <c r="B3" s="766" t="s">
        <v>1249</v>
      </c>
      <c r="C3" s="767"/>
    </row>
    <row r="4" spans="1:27" s="697" customFormat="1" ht="15">
      <c r="A4" s="698"/>
      <c r="B4" s="698" t="s">
        <v>564</v>
      </c>
      <c r="C4" s="698" t="s">
        <v>565</v>
      </c>
      <c r="D4" s="698" t="s">
        <v>566</v>
      </c>
      <c r="E4" s="698" t="s">
        <v>567</v>
      </c>
      <c r="F4" s="698" t="s">
        <v>568</v>
      </c>
      <c r="G4" s="698" t="s">
        <v>689</v>
      </c>
      <c r="H4" s="698" t="s">
        <v>599</v>
      </c>
      <c r="I4" s="698" t="s">
        <v>600</v>
      </c>
      <c r="J4" s="698" t="s">
        <v>601</v>
      </c>
      <c r="K4" s="698" t="s">
        <v>602</v>
      </c>
      <c r="L4" s="698" t="s">
        <v>603</v>
      </c>
      <c r="M4" s="698" t="s">
        <v>604</v>
      </c>
      <c r="N4" s="698" t="s">
        <v>605</v>
      </c>
      <c r="O4" s="698" t="s">
        <v>606</v>
      </c>
      <c r="P4" s="698" t="s">
        <v>730</v>
      </c>
      <c r="Q4" s="698" t="s">
        <v>607</v>
      </c>
      <c r="R4" s="698" t="s">
        <v>731</v>
      </c>
      <c r="S4" s="698" t="s">
        <v>608</v>
      </c>
      <c r="T4" s="698" t="s">
        <v>609</v>
      </c>
      <c r="U4" s="698" t="s">
        <v>610</v>
      </c>
      <c r="V4" s="698" t="s">
        <v>611</v>
      </c>
      <c r="W4" s="698" t="s">
        <v>612</v>
      </c>
      <c r="X4" s="698" t="s">
        <v>613</v>
      </c>
      <c r="Y4" s="698" t="s">
        <v>614</v>
      </c>
      <c r="Z4" s="698" t="s">
        <v>615</v>
      </c>
      <c r="AA4" s="698" t="s">
        <v>616</v>
      </c>
    </row>
    <row r="5" spans="1:27" ht="18.75">
      <c r="A5" s="698">
        <v>1</v>
      </c>
      <c r="B5" s="243"/>
      <c r="C5" s="698"/>
      <c r="D5" s="698"/>
      <c r="E5" s="764" t="s">
        <v>732</v>
      </c>
      <c r="F5" s="764"/>
      <c r="G5" s="764"/>
      <c r="H5" s="764"/>
      <c r="I5" s="764"/>
      <c r="J5" s="764" t="s">
        <v>733</v>
      </c>
      <c r="K5" s="764"/>
      <c r="L5" s="764"/>
      <c r="M5" s="764"/>
      <c r="N5" s="764"/>
      <c r="O5" s="764"/>
      <c r="P5" s="764" t="s">
        <v>734</v>
      </c>
      <c r="Q5" s="764"/>
      <c r="R5" s="764"/>
      <c r="S5" s="764"/>
      <c r="T5" s="764"/>
      <c r="U5" s="764"/>
      <c r="V5" s="764" t="s">
        <v>735</v>
      </c>
      <c r="W5" s="764"/>
      <c r="X5" s="764"/>
      <c r="Y5" s="764"/>
      <c r="Z5" s="764"/>
      <c r="AA5" s="764"/>
    </row>
    <row r="6" spans="1:27" ht="52.5">
      <c r="A6" s="698">
        <v>2</v>
      </c>
      <c r="B6" s="699" t="s">
        <v>736</v>
      </c>
      <c r="C6" s="699"/>
      <c r="D6" s="36" t="s">
        <v>737</v>
      </c>
      <c r="E6" s="36" t="s">
        <v>738</v>
      </c>
      <c r="F6" s="36" t="s">
        <v>739</v>
      </c>
      <c r="G6" s="36" t="s">
        <v>740</v>
      </c>
      <c r="H6" s="36" t="s">
        <v>741</v>
      </c>
      <c r="I6" s="37" t="s">
        <v>742</v>
      </c>
      <c r="J6" s="36" t="s">
        <v>737</v>
      </c>
      <c r="K6" s="36" t="s">
        <v>738</v>
      </c>
      <c r="L6" s="36" t="s">
        <v>739</v>
      </c>
      <c r="M6" s="36" t="s">
        <v>740</v>
      </c>
      <c r="N6" s="36" t="s">
        <v>741</v>
      </c>
      <c r="O6" s="36" t="s">
        <v>743</v>
      </c>
      <c r="P6" s="36" t="s">
        <v>737</v>
      </c>
      <c r="Q6" s="36" t="s">
        <v>738</v>
      </c>
      <c r="R6" s="36" t="s">
        <v>739</v>
      </c>
      <c r="S6" s="36" t="s">
        <v>740</v>
      </c>
      <c r="T6" s="36" t="s">
        <v>741</v>
      </c>
      <c r="U6" s="36" t="s">
        <v>744</v>
      </c>
      <c r="V6" s="36" t="s">
        <v>745</v>
      </c>
      <c r="W6" s="36" t="s">
        <v>746</v>
      </c>
      <c r="X6" s="36" t="s">
        <v>747</v>
      </c>
      <c r="Y6" s="36" t="s">
        <v>740</v>
      </c>
      <c r="Z6" s="36" t="s">
        <v>748</v>
      </c>
      <c r="AA6" s="38" t="s">
        <v>698</v>
      </c>
    </row>
    <row r="7" spans="1:27" ht="15">
      <c r="A7" s="698">
        <v>3</v>
      </c>
      <c r="B7" s="39">
        <v>841112</v>
      </c>
      <c r="C7" s="40" t="s">
        <v>749</v>
      </c>
      <c r="D7" s="40">
        <f>'2a.K kiemelt ei.'!J15</f>
        <v>5312</v>
      </c>
      <c r="E7" s="41">
        <f>'2a.K kiemelt ei.'!Q15</f>
        <v>1351</v>
      </c>
      <c r="F7" s="41">
        <f>'2a.K kiemelt ei.'!X15</f>
        <v>4772</v>
      </c>
      <c r="G7" s="41">
        <f>'2a.K kiemelt ei.'!AE11+'2a.K kiemelt ei.'!AE12</f>
        <v>34531</v>
      </c>
      <c r="H7" s="41">
        <f>'2a.K kiemelt ei.'!BG15</f>
        <v>20113</v>
      </c>
      <c r="I7" s="42">
        <f>SUM(D7:H7)</f>
        <v>66079</v>
      </c>
      <c r="J7" s="41"/>
      <c r="K7" s="41"/>
      <c r="L7" s="41"/>
      <c r="M7" s="41">
        <f>'2a.K kiemelt ei.'!AE13</f>
        <v>334000</v>
      </c>
      <c r="N7" s="41"/>
      <c r="O7" s="41">
        <f>SUM(J7:N7)</f>
        <v>334000</v>
      </c>
      <c r="P7" s="41"/>
      <c r="Q7" s="41"/>
      <c r="R7" s="41"/>
      <c r="S7" s="41"/>
      <c r="T7" s="41"/>
      <c r="U7" s="41">
        <f>SUM(P7:T7)</f>
        <v>0</v>
      </c>
      <c r="V7" s="41">
        <f aca="true" t="shared" si="0" ref="V7:AA22">P7+J7+D7</f>
        <v>5312</v>
      </c>
      <c r="W7" s="41">
        <f t="shared" si="0"/>
        <v>1351</v>
      </c>
      <c r="X7" s="41">
        <f t="shared" si="0"/>
        <v>4772</v>
      </c>
      <c r="Y7" s="41">
        <f t="shared" si="0"/>
        <v>368531</v>
      </c>
      <c r="Z7" s="41">
        <f t="shared" si="0"/>
        <v>20113</v>
      </c>
      <c r="AA7" s="42">
        <f t="shared" si="0"/>
        <v>400079</v>
      </c>
    </row>
    <row r="8" spans="1:27" ht="15">
      <c r="A8" s="698">
        <v>4</v>
      </c>
      <c r="B8" s="39">
        <v>841907</v>
      </c>
      <c r="C8" s="40" t="s">
        <v>750</v>
      </c>
      <c r="D8" s="40"/>
      <c r="E8" s="41"/>
      <c r="F8" s="41"/>
      <c r="G8" s="41"/>
      <c r="H8" s="41"/>
      <c r="I8" s="42">
        <f>SUM(E8:H8)</f>
        <v>0</v>
      </c>
      <c r="J8" s="41"/>
      <c r="K8" s="41"/>
      <c r="L8" s="41"/>
      <c r="M8" s="41"/>
      <c r="N8" s="41"/>
      <c r="O8" s="41">
        <f>SUM(J8:N8)</f>
        <v>0</v>
      </c>
      <c r="P8" s="41"/>
      <c r="Q8" s="41"/>
      <c r="R8" s="41"/>
      <c r="S8" s="41">
        <f>'2a.K kiemelt ei.'!AE9</f>
        <v>23433</v>
      </c>
      <c r="T8" s="41"/>
      <c r="U8" s="41">
        <f aca="true" t="shared" si="1" ref="U8:U49">SUM(P8:T8)</f>
        <v>23433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23433</v>
      </c>
      <c r="Z8" s="41">
        <f t="shared" si="0"/>
        <v>0</v>
      </c>
      <c r="AA8" s="42">
        <f t="shared" si="0"/>
        <v>23433</v>
      </c>
    </row>
    <row r="9" spans="1:27" ht="15">
      <c r="A9" s="698">
        <v>5</v>
      </c>
      <c r="B9" s="39"/>
      <c r="C9" s="40" t="s">
        <v>563</v>
      </c>
      <c r="D9" s="40">
        <f>SUM(D7:D8)</f>
        <v>5312</v>
      </c>
      <c r="E9" s="40">
        <f aca="true" t="shared" si="2" ref="E9:AA9">SUM(E7:E8)</f>
        <v>1351</v>
      </c>
      <c r="F9" s="40">
        <f t="shared" si="2"/>
        <v>4772</v>
      </c>
      <c r="G9" s="40">
        <f t="shared" si="2"/>
        <v>34531</v>
      </c>
      <c r="H9" s="40">
        <f t="shared" si="2"/>
        <v>20113</v>
      </c>
      <c r="I9" s="40">
        <f t="shared" si="2"/>
        <v>66079</v>
      </c>
      <c r="J9" s="40">
        <f t="shared" si="2"/>
        <v>0</v>
      </c>
      <c r="K9" s="40">
        <f t="shared" si="2"/>
        <v>0</v>
      </c>
      <c r="L9" s="40">
        <f t="shared" si="2"/>
        <v>0</v>
      </c>
      <c r="M9" s="40">
        <f t="shared" si="2"/>
        <v>334000</v>
      </c>
      <c r="N9" s="40">
        <f t="shared" si="2"/>
        <v>0</v>
      </c>
      <c r="O9" s="40">
        <f t="shared" si="2"/>
        <v>334000</v>
      </c>
      <c r="P9" s="40">
        <f t="shared" si="2"/>
        <v>0</v>
      </c>
      <c r="Q9" s="40">
        <f t="shared" si="2"/>
        <v>0</v>
      </c>
      <c r="R9" s="40">
        <f t="shared" si="2"/>
        <v>0</v>
      </c>
      <c r="S9" s="40">
        <f t="shared" si="2"/>
        <v>23433</v>
      </c>
      <c r="T9" s="40">
        <f t="shared" si="2"/>
        <v>0</v>
      </c>
      <c r="U9" s="40">
        <f t="shared" si="2"/>
        <v>23433</v>
      </c>
      <c r="V9" s="40">
        <f t="shared" si="2"/>
        <v>5312</v>
      </c>
      <c r="W9" s="40">
        <f t="shared" si="2"/>
        <v>1351</v>
      </c>
      <c r="X9" s="40">
        <f t="shared" si="2"/>
        <v>4772</v>
      </c>
      <c r="Y9" s="40">
        <f t="shared" si="2"/>
        <v>391964</v>
      </c>
      <c r="Z9" s="40">
        <f t="shared" si="2"/>
        <v>20113</v>
      </c>
      <c r="AA9" s="40">
        <f t="shared" si="2"/>
        <v>423512</v>
      </c>
    </row>
    <row r="10" spans="1:27" ht="15">
      <c r="A10" s="698">
        <v>6</v>
      </c>
      <c r="B10" s="39"/>
      <c r="C10" s="40"/>
      <c r="D10" s="40"/>
      <c r="E10" s="41"/>
      <c r="F10" s="41"/>
      <c r="G10" s="41"/>
      <c r="H10" s="41"/>
      <c r="I10" s="42">
        <f>SUM(E10:H10)</f>
        <v>0</v>
      </c>
      <c r="J10" s="41"/>
      <c r="K10" s="41"/>
      <c r="L10" s="41"/>
      <c r="M10" s="41"/>
      <c r="N10" s="41"/>
      <c r="O10" s="41">
        <f aca="true" t="shared" si="3" ref="O10:O49">SUM(J10:N10)</f>
        <v>0</v>
      </c>
      <c r="P10" s="41"/>
      <c r="Q10" s="41"/>
      <c r="R10" s="41"/>
      <c r="S10" s="41"/>
      <c r="T10" s="41"/>
      <c r="U10" s="41">
        <f t="shared" si="1"/>
        <v>0</v>
      </c>
      <c r="V10" s="41">
        <f t="shared" si="0"/>
        <v>0</v>
      </c>
      <c r="W10" s="41">
        <f t="shared" si="0"/>
        <v>0</v>
      </c>
      <c r="X10" s="41">
        <f t="shared" si="0"/>
        <v>0</v>
      </c>
      <c r="Y10" s="41">
        <f t="shared" si="0"/>
        <v>0</v>
      </c>
      <c r="Z10" s="41">
        <f t="shared" si="0"/>
        <v>0</v>
      </c>
      <c r="AA10" s="42">
        <f t="shared" si="0"/>
        <v>0</v>
      </c>
    </row>
    <row r="11" spans="1:27" ht="15">
      <c r="A11" s="698">
        <v>7</v>
      </c>
      <c r="B11" s="39" t="s">
        <v>1312</v>
      </c>
      <c r="C11" s="40"/>
      <c r="D11" s="40"/>
      <c r="E11" s="41"/>
      <c r="F11" s="41"/>
      <c r="G11" s="41"/>
      <c r="H11" s="41"/>
      <c r="I11" s="42">
        <f>SUM(E11:H11)</f>
        <v>0</v>
      </c>
      <c r="J11" s="41"/>
      <c r="K11" s="41"/>
      <c r="L11" s="41"/>
      <c r="M11" s="41"/>
      <c r="N11" s="41"/>
      <c r="O11" s="41">
        <f t="shared" si="3"/>
        <v>0</v>
      </c>
      <c r="P11" s="41"/>
      <c r="Q11" s="41"/>
      <c r="R11" s="41"/>
      <c r="S11" s="41"/>
      <c r="T11" s="41"/>
      <c r="U11" s="41">
        <f t="shared" si="1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2">
        <f t="shared" si="0"/>
        <v>0</v>
      </c>
    </row>
    <row r="12" spans="1:27" ht="15">
      <c r="A12" s="698">
        <v>8</v>
      </c>
      <c r="B12" s="39">
        <v>851</v>
      </c>
      <c r="C12" s="40" t="s">
        <v>751</v>
      </c>
      <c r="D12" s="41">
        <f>'2a.K kiemelt ei.'!J18</f>
        <v>20411</v>
      </c>
      <c r="E12" s="699">
        <f>'2a.K kiemelt ei.'!Q18</f>
        <v>5589</v>
      </c>
      <c r="F12" s="41">
        <f>'2a.K kiemelt ei.'!X18</f>
        <v>2404</v>
      </c>
      <c r="G12" s="41"/>
      <c r="H12" s="41">
        <v>150</v>
      </c>
      <c r="I12" s="42">
        <f>SUM(D12:H12)</f>
        <v>28554</v>
      </c>
      <c r="J12" s="42">
        <f>SUM(J9:J10)</f>
        <v>0</v>
      </c>
      <c r="K12" s="42">
        <v>0</v>
      </c>
      <c r="L12" s="42">
        <v>0</v>
      </c>
      <c r="M12" s="42">
        <v>0</v>
      </c>
      <c r="N12" s="42">
        <v>0</v>
      </c>
      <c r="O12" s="42">
        <f t="shared" si="3"/>
        <v>0</v>
      </c>
      <c r="P12" s="42">
        <f>SUM(K12:O12)</f>
        <v>0</v>
      </c>
      <c r="Q12" s="42">
        <f>SUM(L12:P12)</f>
        <v>0</v>
      </c>
      <c r="R12" s="42">
        <f>SUM(M12:Q12)</f>
        <v>0</v>
      </c>
      <c r="S12" s="42">
        <f>SUM(N12:R12)</f>
        <v>0</v>
      </c>
      <c r="T12" s="42">
        <f>SUM(O12:S12)</f>
        <v>0</v>
      </c>
      <c r="U12" s="42">
        <f t="shared" si="1"/>
        <v>0</v>
      </c>
      <c r="V12" s="42">
        <f>D12</f>
        <v>20411</v>
      </c>
      <c r="W12" s="42">
        <f>E12</f>
        <v>5589</v>
      </c>
      <c r="X12" s="42">
        <f>F12</f>
        <v>2404</v>
      </c>
      <c r="Y12" s="42">
        <f>G12</f>
        <v>0</v>
      </c>
      <c r="Z12" s="42">
        <f>H12</f>
        <v>150</v>
      </c>
      <c r="AA12" s="42">
        <f>SUM(V12:Z12)</f>
        <v>28554</v>
      </c>
    </row>
    <row r="13" spans="1:27" ht="15">
      <c r="A13" s="698">
        <v>9</v>
      </c>
      <c r="B13" s="39"/>
      <c r="C13" s="40"/>
      <c r="D13" s="40"/>
      <c r="E13" s="41"/>
      <c r="F13" s="41"/>
      <c r="G13" s="41"/>
      <c r="H13" s="41"/>
      <c r="I13" s="42">
        <f>SUM(E13:H13)</f>
        <v>0</v>
      </c>
      <c r="J13" s="41"/>
      <c r="K13" s="41"/>
      <c r="L13" s="41"/>
      <c r="M13" s="41"/>
      <c r="N13" s="41"/>
      <c r="O13" s="41">
        <f t="shared" si="3"/>
        <v>0</v>
      </c>
      <c r="P13" s="41"/>
      <c r="Q13" s="41"/>
      <c r="R13" s="41"/>
      <c r="S13" s="41"/>
      <c r="T13" s="41"/>
      <c r="U13" s="41">
        <f t="shared" si="1"/>
        <v>0</v>
      </c>
      <c r="V13" s="41">
        <f t="shared" si="0"/>
        <v>0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0</v>
      </c>
      <c r="AA13" s="42">
        <f t="shared" si="0"/>
        <v>0</v>
      </c>
    </row>
    <row r="14" spans="1:27" ht="15">
      <c r="A14" s="698">
        <v>10</v>
      </c>
      <c r="B14" s="43"/>
      <c r="C14" s="44"/>
      <c r="D14" s="44"/>
      <c r="E14" s="41"/>
      <c r="F14" s="41"/>
      <c r="G14" s="41"/>
      <c r="H14" s="41"/>
      <c r="I14" s="42">
        <f>SUM(E14:H14)</f>
        <v>0</v>
      </c>
      <c r="J14" s="41"/>
      <c r="K14" s="41"/>
      <c r="L14" s="41"/>
      <c r="M14" s="41"/>
      <c r="N14" s="41"/>
      <c r="O14" s="41">
        <f t="shared" si="3"/>
        <v>0</v>
      </c>
      <c r="P14" s="41"/>
      <c r="Q14" s="41"/>
      <c r="R14" s="41"/>
      <c r="S14" s="41"/>
      <c r="T14" s="41"/>
      <c r="U14" s="41">
        <f t="shared" si="1"/>
        <v>0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2">
        <f t="shared" si="0"/>
        <v>0</v>
      </c>
    </row>
    <row r="15" spans="1:27" ht="15">
      <c r="A15" s="698">
        <v>11</v>
      </c>
      <c r="B15" s="43" t="s">
        <v>752</v>
      </c>
      <c r="C15" s="44"/>
      <c r="D15" s="44"/>
      <c r="E15" s="41"/>
      <c r="F15" s="41"/>
      <c r="G15" s="41"/>
      <c r="H15" s="41"/>
      <c r="I15" s="42">
        <f>SUM(E15:H15)</f>
        <v>0</v>
      </c>
      <c r="J15" s="41"/>
      <c r="K15" s="41"/>
      <c r="L15" s="41"/>
      <c r="M15" s="41"/>
      <c r="N15" s="41"/>
      <c r="O15" s="41">
        <f t="shared" si="3"/>
        <v>0</v>
      </c>
      <c r="P15" s="41"/>
      <c r="Q15" s="41"/>
      <c r="R15" s="41"/>
      <c r="S15" s="41"/>
      <c r="T15" s="41"/>
      <c r="U15" s="41">
        <f t="shared" si="1"/>
        <v>0</v>
      </c>
      <c r="V15" s="41">
        <f t="shared" si="0"/>
        <v>0</v>
      </c>
      <c r="W15" s="41">
        <f t="shared" si="0"/>
        <v>0</v>
      </c>
      <c r="X15" s="41">
        <f t="shared" si="0"/>
        <v>0</v>
      </c>
      <c r="Y15" s="41">
        <f t="shared" si="0"/>
        <v>0</v>
      </c>
      <c r="Z15" s="41">
        <f t="shared" si="0"/>
        <v>0</v>
      </c>
      <c r="AA15" s="42">
        <f t="shared" si="0"/>
        <v>0</v>
      </c>
    </row>
    <row r="16" spans="1:27" ht="26.25">
      <c r="A16" s="698">
        <v>12</v>
      </c>
      <c r="B16" s="39">
        <v>370000</v>
      </c>
      <c r="C16" s="40" t="s">
        <v>753</v>
      </c>
      <c r="D16" s="40"/>
      <c r="E16" s="41"/>
      <c r="F16" s="41">
        <f>'2a.K kiemelt ei.'!X22</f>
        <v>8439</v>
      </c>
      <c r="G16" s="41"/>
      <c r="H16" s="41"/>
      <c r="I16" s="42">
        <f>SUM(D16:H16)</f>
        <v>8439</v>
      </c>
      <c r="J16" s="41"/>
      <c r="K16" s="41"/>
      <c r="L16" s="41"/>
      <c r="M16" s="41"/>
      <c r="N16" s="41"/>
      <c r="O16" s="41">
        <f t="shared" si="3"/>
        <v>0</v>
      </c>
      <c r="P16" s="41"/>
      <c r="Q16" s="41"/>
      <c r="R16" s="41"/>
      <c r="S16" s="41"/>
      <c r="T16" s="41"/>
      <c r="U16" s="41">
        <f t="shared" si="1"/>
        <v>0</v>
      </c>
      <c r="V16" s="41">
        <f t="shared" si="0"/>
        <v>0</v>
      </c>
      <c r="W16" s="41">
        <f t="shared" si="0"/>
        <v>0</v>
      </c>
      <c r="X16" s="41">
        <f t="shared" si="0"/>
        <v>8439</v>
      </c>
      <c r="Y16" s="41">
        <f t="shared" si="0"/>
        <v>0</v>
      </c>
      <c r="Z16" s="41">
        <f t="shared" si="0"/>
        <v>0</v>
      </c>
      <c r="AA16" s="42">
        <f t="shared" si="0"/>
        <v>8439</v>
      </c>
    </row>
    <row r="17" spans="1:27" ht="15">
      <c r="A17" s="698">
        <v>13</v>
      </c>
      <c r="B17" s="39">
        <v>381103</v>
      </c>
      <c r="C17" s="40" t="s">
        <v>754</v>
      </c>
      <c r="D17" s="40">
        <f>'2a.K kiemelt ei.'!J52</f>
        <v>5040</v>
      </c>
      <c r="E17" s="40">
        <f>'2a.K kiemelt ei.'!Q52</f>
        <v>1404</v>
      </c>
      <c r="F17" s="40">
        <f>'2a.K kiemelt ei.'!X52</f>
        <v>9778</v>
      </c>
      <c r="G17" s="40">
        <v>0</v>
      </c>
      <c r="H17" s="40">
        <v>0</v>
      </c>
      <c r="I17" s="42">
        <f>SUM(D17:H17)</f>
        <v>16222</v>
      </c>
      <c r="J17" s="41"/>
      <c r="K17" s="41"/>
      <c r="L17" s="41"/>
      <c r="M17" s="41"/>
      <c r="N17" s="41"/>
      <c r="O17" s="41">
        <f t="shared" si="3"/>
        <v>0</v>
      </c>
      <c r="P17" s="41"/>
      <c r="Q17" s="41"/>
      <c r="R17" s="41"/>
      <c r="S17" s="41"/>
      <c r="T17" s="41"/>
      <c r="U17" s="41">
        <f t="shared" si="1"/>
        <v>0</v>
      </c>
      <c r="V17" s="41">
        <f t="shared" si="0"/>
        <v>5040</v>
      </c>
      <c r="W17" s="41">
        <f t="shared" si="0"/>
        <v>1404</v>
      </c>
      <c r="X17" s="41">
        <f t="shared" si="0"/>
        <v>9778</v>
      </c>
      <c r="Y17" s="41">
        <f t="shared" si="0"/>
        <v>0</v>
      </c>
      <c r="Z17" s="41">
        <f t="shared" si="0"/>
        <v>0</v>
      </c>
      <c r="AA17" s="42">
        <f t="shared" si="0"/>
        <v>16222</v>
      </c>
    </row>
    <row r="18" spans="1:27" ht="15">
      <c r="A18" s="698">
        <v>14</v>
      </c>
      <c r="B18" s="39">
        <v>522000</v>
      </c>
      <c r="C18" s="40" t="s">
        <v>755</v>
      </c>
      <c r="D18" s="40">
        <f>'2a.K kiemelt ei.'!J49</f>
        <v>3479</v>
      </c>
      <c r="E18" s="40">
        <f>'2a.K kiemelt ei.'!Q49</f>
        <v>1062</v>
      </c>
      <c r="F18" s="40">
        <f>'2a.K kiemelt ei.'!X49</f>
        <v>1087</v>
      </c>
      <c r="G18" s="41"/>
      <c r="H18" s="41">
        <f>'2a.K kiemelt ei.'!BG49</f>
        <v>2154</v>
      </c>
      <c r="I18" s="42">
        <f aca="true" t="shared" si="4" ref="I18:I48">SUM(D18:H18)</f>
        <v>7782</v>
      </c>
      <c r="J18" s="41"/>
      <c r="K18" s="41"/>
      <c r="L18" s="41"/>
      <c r="M18" s="41"/>
      <c r="N18" s="41"/>
      <c r="O18" s="41">
        <f t="shared" si="3"/>
        <v>0</v>
      </c>
      <c r="P18" s="41"/>
      <c r="Q18" s="41"/>
      <c r="R18" s="41"/>
      <c r="S18" s="41"/>
      <c r="T18" s="41"/>
      <c r="U18" s="41">
        <f t="shared" si="1"/>
        <v>0</v>
      </c>
      <c r="V18" s="41">
        <f t="shared" si="0"/>
        <v>3479</v>
      </c>
      <c r="W18" s="41">
        <f t="shared" si="0"/>
        <v>1062</v>
      </c>
      <c r="X18" s="41">
        <f t="shared" si="0"/>
        <v>1087</v>
      </c>
      <c r="Y18" s="41">
        <f t="shared" si="0"/>
        <v>0</v>
      </c>
      <c r="Z18" s="41">
        <f t="shared" si="0"/>
        <v>2154</v>
      </c>
      <c r="AA18" s="42">
        <f t="shared" si="0"/>
        <v>7782</v>
      </c>
    </row>
    <row r="19" spans="1:27" ht="15">
      <c r="A19" s="698">
        <v>15</v>
      </c>
      <c r="B19" s="39">
        <v>562912</v>
      </c>
      <c r="C19" s="40" t="s">
        <v>719</v>
      </c>
      <c r="D19" s="40"/>
      <c r="E19" s="41"/>
      <c r="F19" s="41">
        <f>'2a.K kiemelt ei.'!X43</f>
        <v>3014</v>
      </c>
      <c r="G19" s="41"/>
      <c r="H19" s="41"/>
      <c r="I19" s="42">
        <f t="shared" si="4"/>
        <v>3014</v>
      </c>
      <c r="J19" s="41"/>
      <c r="K19" s="41"/>
      <c r="L19" s="41"/>
      <c r="M19" s="41"/>
      <c r="N19" s="41"/>
      <c r="O19" s="41">
        <f t="shared" si="3"/>
        <v>0</v>
      </c>
      <c r="P19" s="41"/>
      <c r="Q19" s="41"/>
      <c r="R19" s="41"/>
      <c r="S19" s="41"/>
      <c r="T19" s="41"/>
      <c r="U19" s="41">
        <f t="shared" si="1"/>
        <v>0</v>
      </c>
      <c r="V19" s="41">
        <f t="shared" si="0"/>
        <v>0</v>
      </c>
      <c r="W19" s="41">
        <f t="shared" si="0"/>
        <v>0</v>
      </c>
      <c r="X19" s="41">
        <f>R19+L19+F19</f>
        <v>3014</v>
      </c>
      <c r="Y19" s="41">
        <f t="shared" si="0"/>
        <v>0</v>
      </c>
      <c r="Z19" s="41">
        <f t="shared" si="0"/>
        <v>0</v>
      </c>
      <c r="AA19" s="42">
        <f t="shared" si="0"/>
        <v>3014</v>
      </c>
    </row>
    <row r="20" spans="1:27" ht="15">
      <c r="A20" s="698">
        <v>16</v>
      </c>
      <c r="B20" s="39">
        <v>562913</v>
      </c>
      <c r="C20" s="40" t="s">
        <v>720</v>
      </c>
      <c r="D20" s="40">
        <f>'2a.K kiemelt ei.'!J44</f>
        <v>7944</v>
      </c>
      <c r="E20" s="40">
        <f>'2a.K kiemelt ei.'!Q44</f>
        <v>2174</v>
      </c>
      <c r="F20" s="40">
        <f>'2a.K kiemelt ei.'!X44</f>
        <v>13564</v>
      </c>
      <c r="G20" s="41"/>
      <c r="H20" s="41">
        <f>'2a.K kiemelt ei.'!BG44</f>
        <v>526</v>
      </c>
      <c r="I20" s="42">
        <f t="shared" si="4"/>
        <v>24208</v>
      </c>
      <c r="J20" s="41"/>
      <c r="K20" s="41"/>
      <c r="L20" s="41"/>
      <c r="M20" s="41"/>
      <c r="N20" s="41"/>
      <c r="O20" s="41">
        <f t="shared" si="3"/>
        <v>0</v>
      </c>
      <c r="P20" s="41"/>
      <c r="Q20" s="41"/>
      <c r="R20" s="41"/>
      <c r="S20" s="41"/>
      <c r="T20" s="41"/>
      <c r="U20" s="41">
        <f t="shared" si="1"/>
        <v>0</v>
      </c>
      <c r="V20" s="41">
        <f t="shared" si="0"/>
        <v>7944</v>
      </c>
      <c r="W20" s="41">
        <f t="shared" si="0"/>
        <v>2174</v>
      </c>
      <c r="X20" s="41">
        <f t="shared" si="0"/>
        <v>13564</v>
      </c>
      <c r="Y20" s="41">
        <f t="shared" si="0"/>
        <v>0</v>
      </c>
      <c r="Z20" s="41">
        <f t="shared" si="0"/>
        <v>526</v>
      </c>
      <c r="AA20" s="42">
        <f t="shared" si="0"/>
        <v>24208</v>
      </c>
    </row>
    <row r="21" spans="1:27" ht="15">
      <c r="A21" s="698">
        <v>17</v>
      </c>
      <c r="B21" s="39">
        <v>562916</v>
      </c>
      <c r="C21" s="40" t="s">
        <v>756</v>
      </c>
      <c r="D21" s="40"/>
      <c r="E21" s="41"/>
      <c r="F21" s="699"/>
      <c r="G21" s="41"/>
      <c r="H21" s="41"/>
      <c r="I21" s="42">
        <f t="shared" si="4"/>
        <v>0</v>
      </c>
      <c r="J21" s="41"/>
      <c r="K21" s="41"/>
      <c r="L21" s="41">
        <f>'2a.K kiemelt ei.'!X47</f>
        <v>2035</v>
      </c>
      <c r="M21" s="41"/>
      <c r="N21" s="41"/>
      <c r="O21" s="41">
        <f t="shared" si="3"/>
        <v>2035</v>
      </c>
      <c r="P21" s="41"/>
      <c r="Q21" s="41"/>
      <c r="R21" s="41"/>
      <c r="S21" s="41"/>
      <c r="T21" s="41"/>
      <c r="U21" s="41">
        <f t="shared" si="1"/>
        <v>0</v>
      </c>
      <c r="V21" s="41">
        <f t="shared" si="0"/>
        <v>0</v>
      </c>
      <c r="W21" s="41">
        <f t="shared" si="0"/>
        <v>0</v>
      </c>
      <c r="X21" s="41">
        <f t="shared" si="0"/>
        <v>2035</v>
      </c>
      <c r="Y21" s="41">
        <f t="shared" si="0"/>
        <v>0</v>
      </c>
      <c r="Z21" s="41">
        <f t="shared" si="0"/>
        <v>0</v>
      </c>
      <c r="AA21" s="42">
        <f t="shared" si="0"/>
        <v>2035</v>
      </c>
    </row>
    <row r="22" spans="1:27" ht="15">
      <c r="A22" s="698">
        <v>18</v>
      </c>
      <c r="B22" s="39">
        <v>562917</v>
      </c>
      <c r="C22" s="40" t="s">
        <v>558</v>
      </c>
      <c r="D22" s="40"/>
      <c r="E22" s="41"/>
      <c r="F22" s="41"/>
      <c r="G22" s="699"/>
      <c r="H22" s="41"/>
      <c r="I22" s="42">
        <f t="shared" si="4"/>
        <v>0</v>
      </c>
      <c r="J22" s="41"/>
      <c r="K22" s="41"/>
      <c r="L22" s="41">
        <f>'2a.K kiemelt ei.'!X45</f>
        <v>2051</v>
      </c>
      <c r="M22" s="41"/>
      <c r="N22" s="41"/>
      <c r="O22" s="41">
        <f t="shared" si="3"/>
        <v>2051</v>
      </c>
      <c r="P22" s="41"/>
      <c r="Q22" s="41"/>
      <c r="R22" s="41"/>
      <c r="S22" s="41"/>
      <c r="T22" s="41"/>
      <c r="U22" s="41">
        <f t="shared" si="1"/>
        <v>0</v>
      </c>
      <c r="V22" s="41">
        <f t="shared" si="0"/>
        <v>0</v>
      </c>
      <c r="W22" s="41">
        <f t="shared" si="0"/>
        <v>0</v>
      </c>
      <c r="X22" s="41">
        <f t="shared" si="0"/>
        <v>2051</v>
      </c>
      <c r="Y22" s="41">
        <f t="shared" si="0"/>
        <v>0</v>
      </c>
      <c r="Z22" s="41">
        <f t="shared" si="0"/>
        <v>0</v>
      </c>
      <c r="AA22" s="42">
        <f t="shared" si="0"/>
        <v>2051</v>
      </c>
    </row>
    <row r="23" spans="1:27" ht="15">
      <c r="A23" s="698">
        <v>19</v>
      </c>
      <c r="B23" s="39">
        <v>682001</v>
      </c>
      <c r="C23" s="40" t="s">
        <v>757</v>
      </c>
      <c r="D23" s="40"/>
      <c r="E23" s="41"/>
      <c r="F23" s="699">
        <f>'2a.K kiemelt ei.'!X23</f>
        <v>402</v>
      </c>
      <c r="G23" s="41"/>
      <c r="H23" s="41"/>
      <c r="I23" s="42">
        <f t="shared" si="4"/>
        <v>402</v>
      </c>
      <c r="J23" s="41"/>
      <c r="K23" s="41"/>
      <c r="L23" s="41"/>
      <c r="M23" s="41"/>
      <c r="N23" s="41"/>
      <c r="O23" s="41">
        <f t="shared" si="3"/>
        <v>0</v>
      </c>
      <c r="P23" s="41"/>
      <c r="Q23" s="41"/>
      <c r="R23" s="41"/>
      <c r="S23" s="41"/>
      <c r="T23" s="41"/>
      <c r="U23" s="41">
        <f t="shared" si="1"/>
        <v>0</v>
      </c>
      <c r="V23" s="41">
        <f aca="true" t="shared" si="5" ref="V23:AA49">P23+J23+D23</f>
        <v>0</v>
      </c>
      <c r="W23" s="41">
        <f t="shared" si="5"/>
        <v>0</v>
      </c>
      <c r="X23" s="41">
        <f t="shared" si="5"/>
        <v>402</v>
      </c>
      <c r="Y23" s="41">
        <f t="shared" si="5"/>
        <v>0</v>
      </c>
      <c r="Z23" s="41">
        <f t="shared" si="5"/>
        <v>0</v>
      </c>
      <c r="AA23" s="42">
        <f t="shared" si="5"/>
        <v>402</v>
      </c>
    </row>
    <row r="24" spans="1:27" ht="26.25">
      <c r="A24" s="698">
        <v>20</v>
      </c>
      <c r="B24" s="39">
        <v>682002</v>
      </c>
      <c r="C24" s="40" t="s">
        <v>758</v>
      </c>
      <c r="D24" s="40"/>
      <c r="E24" s="41"/>
      <c r="F24" s="699">
        <f>'2a.K kiemelt ei.'!X24</f>
        <v>4753</v>
      </c>
      <c r="G24" s="41"/>
      <c r="H24" s="41"/>
      <c r="I24" s="42">
        <f t="shared" si="4"/>
        <v>4753</v>
      </c>
      <c r="J24" s="41"/>
      <c r="K24" s="41"/>
      <c r="L24" s="41"/>
      <c r="M24" s="41"/>
      <c r="N24" s="41"/>
      <c r="O24" s="41">
        <f t="shared" si="3"/>
        <v>0</v>
      </c>
      <c r="P24" s="41"/>
      <c r="Q24" s="41"/>
      <c r="R24" s="41"/>
      <c r="S24" s="41"/>
      <c r="T24" s="41"/>
      <c r="U24" s="41">
        <f t="shared" si="1"/>
        <v>0</v>
      </c>
      <c r="V24" s="41">
        <f t="shared" si="5"/>
        <v>0</v>
      </c>
      <c r="W24" s="41">
        <f t="shared" si="5"/>
        <v>0</v>
      </c>
      <c r="X24" s="41">
        <f t="shared" si="5"/>
        <v>4753</v>
      </c>
      <c r="Y24" s="41">
        <f t="shared" si="5"/>
        <v>0</v>
      </c>
      <c r="Z24" s="41">
        <f t="shared" si="5"/>
        <v>0</v>
      </c>
      <c r="AA24" s="42">
        <f t="shared" si="5"/>
        <v>4753</v>
      </c>
    </row>
    <row r="25" spans="1:27" ht="15">
      <c r="A25" s="698">
        <v>21</v>
      </c>
      <c r="B25" s="39">
        <v>750000</v>
      </c>
      <c r="C25" s="40" t="s">
        <v>759</v>
      </c>
      <c r="D25" s="40"/>
      <c r="E25" s="41"/>
      <c r="F25" s="41">
        <f>'2a.K kiemelt ei.'!X25</f>
        <v>250</v>
      </c>
      <c r="G25" s="41"/>
      <c r="H25" s="41"/>
      <c r="I25" s="42">
        <f t="shared" si="4"/>
        <v>250</v>
      </c>
      <c r="J25" s="41"/>
      <c r="K25" s="41"/>
      <c r="L25" s="41"/>
      <c r="M25" s="41"/>
      <c r="N25" s="41"/>
      <c r="O25" s="41">
        <f t="shared" si="3"/>
        <v>0</v>
      </c>
      <c r="P25" s="41"/>
      <c r="Q25" s="41"/>
      <c r="R25" s="41"/>
      <c r="S25" s="41"/>
      <c r="T25" s="41"/>
      <c r="U25" s="41">
        <f t="shared" si="1"/>
        <v>0</v>
      </c>
      <c r="V25" s="41">
        <f t="shared" si="5"/>
        <v>0</v>
      </c>
      <c r="W25" s="41">
        <f t="shared" si="5"/>
        <v>0</v>
      </c>
      <c r="X25" s="41">
        <f t="shared" si="5"/>
        <v>250</v>
      </c>
      <c r="Y25" s="41">
        <f t="shared" si="5"/>
        <v>0</v>
      </c>
      <c r="Z25" s="41">
        <f t="shared" si="5"/>
        <v>0</v>
      </c>
      <c r="AA25" s="42">
        <f t="shared" si="5"/>
        <v>250</v>
      </c>
    </row>
    <row r="26" spans="1:27" ht="15">
      <c r="A26" s="698">
        <v>22</v>
      </c>
      <c r="B26" s="39">
        <v>791200</v>
      </c>
      <c r="C26" s="40" t="s">
        <v>760</v>
      </c>
      <c r="D26" s="40"/>
      <c r="E26" s="41"/>
      <c r="F26" s="41"/>
      <c r="G26" s="41"/>
      <c r="H26" s="41"/>
      <c r="I26" s="42">
        <f t="shared" si="4"/>
        <v>0</v>
      </c>
      <c r="J26" s="41"/>
      <c r="K26" s="41"/>
      <c r="L26" s="41"/>
      <c r="M26" s="699">
        <v>3600</v>
      </c>
      <c r="N26" s="41"/>
      <c r="O26" s="41">
        <f t="shared" si="3"/>
        <v>3600</v>
      </c>
      <c r="P26" s="41"/>
      <c r="Q26" s="41"/>
      <c r="R26" s="41"/>
      <c r="S26" s="41"/>
      <c r="T26" s="41"/>
      <c r="U26" s="41">
        <f t="shared" si="1"/>
        <v>0</v>
      </c>
      <c r="V26" s="41">
        <f t="shared" si="5"/>
        <v>0</v>
      </c>
      <c r="W26" s="41">
        <f t="shared" si="5"/>
        <v>0</v>
      </c>
      <c r="X26" s="41">
        <f t="shared" si="5"/>
        <v>0</v>
      </c>
      <c r="Y26" s="41">
        <f t="shared" si="5"/>
        <v>3600</v>
      </c>
      <c r="Z26" s="41">
        <f t="shared" si="5"/>
        <v>0</v>
      </c>
      <c r="AA26" s="42">
        <f t="shared" si="5"/>
        <v>3600</v>
      </c>
    </row>
    <row r="27" spans="1:27" ht="15">
      <c r="A27" s="698">
        <v>23</v>
      </c>
      <c r="B27" s="39">
        <v>811000</v>
      </c>
      <c r="C27" s="40" t="s">
        <v>724</v>
      </c>
      <c r="D27" s="40">
        <f>'2a.K kiemelt ei.'!J50</f>
        <v>5166</v>
      </c>
      <c r="E27" s="40">
        <f>'2a.K kiemelt ei.'!Q50</f>
        <v>1314</v>
      </c>
      <c r="F27" s="40">
        <f>'2a.K kiemelt ei.'!X50</f>
        <v>114</v>
      </c>
      <c r="G27" s="41"/>
      <c r="H27" s="41"/>
      <c r="I27" s="42">
        <f t="shared" si="4"/>
        <v>6594</v>
      </c>
      <c r="J27" s="41"/>
      <c r="K27" s="41"/>
      <c r="L27" s="41"/>
      <c r="M27" s="41"/>
      <c r="N27" s="41"/>
      <c r="O27" s="41">
        <f t="shared" si="3"/>
        <v>0</v>
      </c>
      <c r="P27" s="41"/>
      <c r="Q27" s="41"/>
      <c r="R27" s="41"/>
      <c r="S27" s="41"/>
      <c r="T27" s="41"/>
      <c r="U27" s="41">
        <f t="shared" si="1"/>
        <v>0</v>
      </c>
      <c r="V27" s="41">
        <f t="shared" si="5"/>
        <v>5166</v>
      </c>
      <c r="W27" s="41">
        <f t="shared" si="5"/>
        <v>1314</v>
      </c>
      <c r="X27" s="41">
        <f t="shared" si="5"/>
        <v>114</v>
      </c>
      <c r="Y27" s="41">
        <f t="shared" si="5"/>
        <v>0</v>
      </c>
      <c r="Z27" s="41">
        <f t="shared" si="5"/>
        <v>0</v>
      </c>
      <c r="AA27" s="42">
        <f t="shared" si="5"/>
        <v>6594</v>
      </c>
    </row>
    <row r="28" spans="1:27" ht="15">
      <c r="A28" s="698">
        <v>24</v>
      </c>
      <c r="B28" s="39">
        <v>813000</v>
      </c>
      <c r="C28" s="40" t="s">
        <v>761</v>
      </c>
      <c r="D28" s="40">
        <f>'2a.K kiemelt ei.'!J48</f>
        <v>10781</v>
      </c>
      <c r="E28" s="40">
        <f>'2a.K kiemelt ei.'!Q48</f>
        <v>2920</v>
      </c>
      <c r="F28" s="40">
        <f>'2a.K kiemelt ei.'!X48</f>
        <v>10462</v>
      </c>
      <c r="G28" s="41"/>
      <c r="H28" s="41">
        <f>'2a.K kiemelt ei.'!BG48</f>
        <v>509</v>
      </c>
      <c r="I28" s="42">
        <f t="shared" si="4"/>
        <v>24672</v>
      </c>
      <c r="J28" s="41"/>
      <c r="K28" s="41"/>
      <c r="L28" s="41"/>
      <c r="M28" s="41"/>
      <c r="N28" s="41"/>
      <c r="O28" s="41">
        <f t="shared" si="3"/>
        <v>0</v>
      </c>
      <c r="P28" s="41"/>
      <c r="Q28" s="41"/>
      <c r="R28" s="41"/>
      <c r="S28" s="41"/>
      <c r="T28" s="41"/>
      <c r="U28" s="41">
        <f t="shared" si="1"/>
        <v>0</v>
      </c>
      <c r="V28" s="41">
        <f t="shared" si="5"/>
        <v>10781</v>
      </c>
      <c r="W28" s="41">
        <f t="shared" si="5"/>
        <v>2920</v>
      </c>
      <c r="X28" s="41">
        <f t="shared" si="5"/>
        <v>10462</v>
      </c>
      <c r="Y28" s="41">
        <f t="shared" si="5"/>
        <v>0</v>
      </c>
      <c r="Z28" s="41">
        <f t="shared" si="5"/>
        <v>509</v>
      </c>
      <c r="AA28" s="42">
        <f t="shared" si="5"/>
        <v>24672</v>
      </c>
    </row>
    <row r="29" spans="1:27" ht="15">
      <c r="A29" s="698">
        <v>25</v>
      </c>
      <c r="B29" s="39">
        <v>841146</v>
      </c>
      <c r="C29" s="40" t="s">
        <v>1314</v>
      </c>
      <c r="D29" s="40">
        <f>'2a.K kiemelt ei.'!J28</f>
        <v>14421</v>
      </c>
      <c r="E29" s="40">
        <f>'2a.K kiemelt ei.'!Q28</f>
        <v>5275</v>
      </c>
      <c r="F29" s="40">
        <f>'2a.K kiemelt ei.'!X28</f>
        <v>13311</v>
      </c>
      <c r="G29" s="41"/>
      <c r="H29" s="41">
        <f>'2a.K kiemelt ei.'!BG28</f>
        <v>2714</v>
      </c>
      <c r="I29" s="42">
        <f>SUM(D29:H29)</f>
        <v>35721</v>
      </c>
      <c r="J29" s="41"/>
      <c r="K29" s="41"/>
      <c r="L29" s="41"/>
      <c r="M29" s="41"/>
      <c r="N29" s="41"/>
      <c r="O29" s="41">
        <f t="shared" si="3"/>
        <v>0</v>
      </c>
      <c r="P29" s="41"/>
      <c r="Q29" s="41"/>
      <c r="R29" s="41"/>
      <c r="S29" s="41"/>
      <c r="T29" s="41"/>
      <c r="U29" s="41">
        <f t="shared" si="1"/>
        <v>0</v>
      </c>
      <c r="V29" s="41">
        <f t="shared" si="5"/>
        <v>14421</v>
      </c>
      <c r="W29" s="41">
        <f t="shared" si="5"/>
        <v>5275</v>
      </c>
      <c r="X29" s="41">
        <f t="shared" si="5"/>
        <v>13311</v>
      </c>
      <c r="Y29" s="41">
        <f t="shared" si="5"/>
        <v>0</v>
      </c>
      <c r="Z29" s="41">
        <f t="shared" si="5"/>
        <v>2714</v>
      </c>
      <c r="AA29" s="42">
        <f t="shared" si="5"/>
        <v>35721</v>
      </c>
    </row>
    <row r="30" spans="1:27" ht="15">
      <c r="A30" s="698">
        <v>26</v>
      </c>
      <c r="B30" s="39">
        <v>841402</v>
      </c>
      <c r="C30" s="40" t="s">
        <v>707</v>
      </c>
      <c r="D30" s="40"/>
      <c r="E30" s="41"/>
      <c r="F30" s="41">
        <f>'2a.K kiemelt ei.'!X27</f>
        <v>16771</v>
      </c>
      <c r="G30" s="41"/>
      <c r="H30" s="41"/>
      <c r="I30" s="42">
        <f t="shared" si="4"/>
        <v>16771</v>
      </c>
      <c r="J30" s="41"/>
      <c r="K30" s="41"/>
      <c r="L30" s="41"/>
      <c r="M30" s="41"/>
      <c r="N30" s="41"/>
      <c r="O30" s="41">
        <f t="shared" si="3"/>
        <v>0</v>
      </c>
      <c r="P30" s="41"/>
      <c r="Q30" s="41"/>
      <c r="R30" s="41"/>
      <c r="S30" s="41"/>
      <c r="T30" s="41"/>
      <c r="U30" s="41">
        <f t="shared" si="1"/>
        <v>0</v>
      </c>
      <c r="V30" s="41">
        <f t="shared" si="5"/>
        <v>0</v>
      </c>
      <c r="W30" s="41">
        <f t="shared" si="5"/>
        <v>0</v>
      </c>
      <c r="X30" s="41">
        <f t="shared" si="5"/>
        <v>16771</v>
      </c>
      <c r="Y30" s="41">
        <f t="shared" si="5"/>
        <v>0</v>
      </c>
      <c r="Z30" s="41">
        <f t="shared" si="5"/>
        <v>0</v>
      </c>
      <c r="AA30" s="42">
        <f t="shared" si="5"/>
        <v>16771</v>
      </c>
    </row>
    <row r="31" spans="1:27" ht="26.25">
      <c r="A31" s="698">
        <v>27</v>
      </c>
      <c r="B31" s="39">
        <v>841403</v>
      </c>
      <c r="C31" s="40" t="s">
        <v>1317</v>
      </c>
      <c r="D31" s="40">
        <f>'2a.K kiemelt ei.'!J29</f>
        <v>135</v>
      </c>
      <c r="E31" s="41">
        <f>'2a.K kiemelt ei.'!Q29</f>
        <v>20</v>
      </c>
      <c r="F31" s="41">
        <f>'2a.K kiemelt ei.'!X29</f>
        <v>17023</v>
      </c>
      <c r="G31" s="41"/>
      <c r="H31" s="41">
        <f>'2a.K kiemelt ei.'!AZ29</f>
        <v>9360</v>
      </c>
      <c r="I31" s="42">
        <f t="shared" si="4"/>
        <v>26538</v>
      </c>
      <c r="J31" s="41"/>
      <c r="K31" s="41"/>
      <c r="L31" s="41"/>
      <c r="M31" s="41"/>
      <c r="N31" s="41">
        <v>593</v>
      </c>
      <c r="O31" s="41">
        <f t="shared" si="3"/>
        <v>593</v>
      </c>
      <c r="P31" s="41"/>
      <c r="Q31" s="41"/>
      <c r="R31" s="41"/>
      <c r="S31" s="41"/>
      <c r="T31" s="41"/>
      <c r="U31" s="41">
        <f t="shared" si="1"/>
        <v>0</v>
      </c>
      <c r="V31" s="41">
        <f t="shared" si="5"/>
        <v>135</v>
      </c>
      <c r="W31" s="41">
        <f t="shared" si="5"/>
        <v>20</v>
      </c>
      <c r="X31" s="41">
        <f t="shared" si="5"/>
        <v>17023</v>
      </c>
      <c r="Y31" s="41">
        <f t="shared" si="5"/>
        <v>0</v>
      </c>
      <c r="Z31" s="41">
        <f t="shared" si="5"/>
        <v>9953</v>
      </c>
      <c r="AA31" s="42">
        <f t="shared" si="5"/>
        <v>27131</v>
      </c>
    </row>
    <row r="32" spans="1:27" ht="15">
      <c r="A32" s="698">
        <v>28</v>
      </c>
      <c r="B32" s="39">
        <v>842155</v>
      </c>
      <c r="C32" s="40" t="s">
        <v>709</v>
      </c>
      <c r="D32" s="40"/>
      <c r="E32" s="41"/>
      <c r="F32" s="41"/>
      <c r="G32" s="41"/>
      <c r="H32" s="41"/>
      <c r="I32" s="42">
        <f t="shared" si="4"/>
        <v>0</v>
      </c>
      <c r="J32" s="41"/>
      <c r="K32" s="41"/>
      <c r="L32" s="41">
        <f>'2a.K kiemelt ei.'!X30</f>
        <v>586</v>
      </c>
      <c r="M32" s="41"/>
      <c r="N32" s="41"/>
      <c r="O32" s="41">
        <f t="shared" si="3"/>
        <v>586</v>
      </c>
      <c r="P32" s="41"/>
      <c r="Q32" s="41"/>
      <c r="R32" s="41"/>
      <c r="S32" s="41"/>
      <c r="T32" s="41"/>
      <c r="U32" s="41">
        <f t="shared" si="1"/>
        <v>0</v>
      </c>
      <c r="V32" s="41">
        <f t="shared" si="5"/>
        <v>0</v>
      </c>
      <c r="W32" s="41">
        <f t="shared" si="5"/>
        <v>0</v>
      </c>
      <c r="X32" s="41">
        <f t="shared" si="5"/>
        <v>586</v>
      </c>
      <c r="Y32" s="41">
        <f t="shared" si="5"/>
        <v>0</v>
      </c>
      <c r="Z32" s="41">
        <f t="shared" si="5"/>
        <v>0</v>
      </c>
      <c r="AA32" s="42">
        <f t="shared" si="5"/>
        <v>586</v>
      </c>
    </row>
    <row r="33" spans="1:27" ht="15">
      <c r="A33" s="698">
        <v>29</v>
      </c>
      <c r="B33" s="39">
        <v>852011</v>
      </c>
      <c r="C33" s="40" t="s">
        <v>762</v>
      </c>
      <c r="D33" s="40"/>
      <c r="E33" s="41"/>
      <c r="F33" s="41"/>
      <c r="G33" s="41"/>
      <c r="H33" s="41"/>
      <c r="I33" s="42">
        <f t="shared" si="4"/>
        <v>0</v>
      </c>
      <c r="J33" s="41">
        <f>'2a.K kiemelt ei.'!J35</f>
        <v>2958</v>
      </c>
      <c r="K33" s="41">
        <f>'2a.K kiemelt ei.'!Q35</f>
        <v>803</v>
      </c>
      <c r="L33" s="41">
        <f>'2a.K kiemelt ei.'!X35</f>
        <v>14099</v>
      </c>
      <c r="M33" s="41"/>
      <c r="N33" s="41"/>
      <c r="O33" s="41">
        <f t="shared" si="3"/>
        <v>17860</v>
      </c>
      <c r="P33" s="41"/>
      <c r="Q33" s="41"/>
      <c r="R33" s="41"/>
      <c r="S33" s="41"/>
      <c r="T33" s="41"/>
      <c r="U33" s="41">
        <f t="shared" si="1"/>
        <v>0</v>
      </c>
      <c r="V33" s="41">
        <f t="shared" si="5"/>
        <v>2958</v>
      </c>
      <c r="W33" s="41">
        <f t="shared" si="5"/>
        <v>803</v>
      </c>
      <c r="X33" s="41">
        <f t="shared" si="5"/>
        <v>14099</v>
      </c>
      <c r="Y33" s="41">
        <f t="shared" si="5"/>
        <v>0</v>
      </c>
      <c r="Z33" s="41">
        <f t="shared" si="5"/>
        <v>0</v>
      </c>
      <c r="AA33" s="42">
        <f t="shared" si="5"/>
        <v>17860</v>
      </c>
    </row>
    <row r="34" spans="1:28" s="35" customFormat="1" ht="18.75">
      <c r="A34" s="698">
        <v>30</v>
      </c>
      <c r="B34" s="39">
        <v>862101</v>
      </c>
      <c r="C34" s="40" t="s">
        <v>763</v>
      </c>
      <c r="D34" s="40">
        <f>'2a.K kiemelt ei.'!J39</f>
        <v>2654</v>
      </c>
      <c r="E34" s="40">
        <f>'2a.K kiemelt ei.'!Q39</f>
        <v>592</v>
      </c>
      <c r="F34" s="40">
        <f>'2a.K kiemelt ei.'!X39</f>
        <v>1154</v>
      </c>
      <c r="G34" s="40">
        <v>2400</v>
      </c>
      <c r="H34" s="42">
        <f>'2a.K kiemelt ei.'!BG39</f>
        <v>151</v>
      </c>
      <c r="I34" s="42">
        <f t="shared" si="4"/>
        <v>6951</v>
      </c>
      <c r="J34" s="42"/>
      <c r="K34" s="42"/>
      <c r="L34" s="42"/>
      <c r="M34" s="42"/>
      <c r="N34" s="42"/>
      <c r="O34" s="41">
        <f t="shared" si="3"/>
        <v>0</v>
      </c>
      <c r="P34" s="42"/>
      <c r="Q34" s="42"/>
      <c r="R34" s="42"/>
      <c r="S34" s="42"/>
      <c r="T34" s="42"/>
      <c r="U34" s="41">
        <f t="shared" si="1"/>
        <v>0</v>
      </c>
      <c r="V34" s="41">
        <f t="shared" si="5"/>
        <v>2654</v>
      </c>
      <c r="W34" s="41">
        <f t="shared" si="5"/>
        <v>592</v>
      </c>
      <c r="X34" s="41">
        <f t="shared" si="5"/>
        <v>1154</v>
      </c>
      <c r="Y34" s="41">
        <f t="shared" si="5"/>
        <v>2400</v>
      </c>
      <c r="Z34" s="41">
        <f t="shared" si="5"/>
        <v>151</v>
      </c>
      <c r="AA34" s="42">
        <f t="shared" si="5"/>
        <v>6951</v>
      </c>
      <c r="AB34" s="696"/>
    </row>
    <row r="35" spans="1:27" ht="15">
      <c r="A35" s="698">
        <v>31</v>
      </c>
      <c r="B35" s="39">
        <v>862102</v>
      </c>
      <c r="C35" s="40" t="s">
        <v>718</v>
      </c>
      <c r="D35" s="40"/>
      <c r="E35" s="36"/>
      <c r="F35" s="36">
        <f>'2a.K kiemelt ei.'!X42</f>
        <v>1095</v>
      </c>
      <c r="G35" s="36"/>
      <c r="H35" s="36"/>
      <c r="I35" s="42">
        <f t="shared" si="4"/>
        <v>1095</v>
      </c>
      <c r="J35" s="36"/>
      <c r="K35" s="36"/>
      <c r="L35" s="36"/>
      <c r="M35" s="36"/>
      <c r="N35" s="36"/>
      <c r="O35" s="41">
        <f t="shared" si="3"/>
        <v>0</v>
      </c>
      <c r="P35" s="36"/>
      <c r="Q35" s="36"/>
      <c r="R35" s="36"/>
      <c r="S35" s="36"/>
      <c r="T35" s="36"/>
      <c r="U35" s="41">
        <f t="shared" si="1"/>
        <v>0</v>
      </c>
      <c r="V35" s="41">
        <f t="shared" si="5"/>
        <v>0</v>
      </c>
      <c r="W35" s="41">
        <f t="shared" si="5"/>
        <v>0</v>
      </c>
      <c r="X35" s="41">
        <f t="shared" si="5"/>
        <v>1095</v>
      </c>
      <c r="Y35" s="41">
        <f t="shared" si="5"/>
        <v>0</v>
      </c>
      <c r="Z35" s="41">
        <f t="shared" si="5"/>
        <v>0</v>
      </c>
      <c r="AA35" s="42">
        <f t="shared" si="5"/>
        <v>1095</v>
      </c>
    </row>
    <row r="36" spans="1:28" s="242" customFormat="1" ht="18.75">
      <c r="A36" s="698">
        <v>32</v>
      </c>
      <c r="B36" s="39">
        <v>862231</v>
      </c>
      <c r="C36" s="40" t="s">
        <v>764</v>
      </c>
      <c r="D36" s="40"/>
      <c r="E36" s="41"/>
      <c r="F36" s="41">
        <f>'2a.K kiemelt ei.'!X40</f>
        <v>280</v>
      </c>
      <c r="G36" s="41"/>
      <c r="H36" s="41"/>
      <c r="I36" s="42">
        <f t="shared" si="4"/>
        <v>280</v>
      </c>
      <c r="J36" s="41"/>
      <c r="K36" s="41"/>
      <c r="L36" s="41"/>
      <c r="M36" s="41"/>
      <c r="N36" s="41"/>
      <c r="O36" s="41">
        <f t="shared" si="3"/>
        <v>0</v>
      </c>
      <c r="P36" s="41"/>
      <c r="Q36" s="41"/>
      <c r="R36" s="41"/>
      <c r="S36" s="41"/>
      <c r="T36" s="41"/>
      <c r="U36" s="41">
        <f t="shared" si="1"/>
        <v>0</v>
      </c>
      <c r="V36" s="41">
        <f t="shared" si="5"/>
        <v>0</v>
      </c>
      <c r="W36" s="41">
        <f t="shared" si="5"/>
        <v>0</v>
      </c>
      <c r="X36" s="41">
        <f t="shared" si="5"/>
        <v>280</v>
      </c>
      <c r="Y36" s="41">
        <f t="shared" si="5"/>
        <v>0</v>
      </c>
      <c r="Z36" s="41">
        <f t="shared" si="5"/>
        <v>0</v>
      </c>
      <c r="AA36" s="42">
        <f t="shared" si="5"/>
        <v>280</v>
      </c>
      <c r="AB36" s="696"/>
    </row>
    <row r="37" spans="1:27" ht="15">
      <c r="A37" s="698">
        <v>33</v>
      </c>
      <c r="B37" s="39">
        <v>862301</v>
      </c>
      <c r="C37" s="40" t="s">
        <v>717</v>
      </c>
      <c r="D37" s="40"/>
      <c r="E37" s="41"/>
      <c r="F37" s="41">
        <v>0</v>
      </c>
      <c r="G37" s="41"/>
      <c r="H37" s="41"/>
      <c r="I37" s="42">
        <f t="shared" si="4"/>
        <v>0</v>
      </c>
      <c r="J37" s="41"/>
      <c r="K37" s="41"/>
      <c r="L37" s="41"/>
      <c r="M37" s="41"/>
      <c r="N37" s="41"/>
      <c r="O37" s="41">
        <f t="shared" si="3"/>
        <v>0</v>
      </c>
      <c r="P37" s="41"/>
      <c r="Q37" s="41"/>
      <c r="R37" s="41"/>
      <c r="S37" s="41"/>
      <c r="T37" s="41"/>
      <c r="U37" s="41">
        <f t="shared" si="1"/>
        <v>0</v>
      </c>
      <c r="V37" s="41">
        <f t="shared" si="5"/>
        <v>0</v>
      </c>
      <c r="W37" s="41">
        <f t="shared" si="5"/>
        <v>0</v>
      </c>
      <c r="X37" s="41">
        <f t="shared" si="5"/>
        <v>0</v>
      </c>
      <c r="Y37" s="41">
        <f t="shared" si="5"/>
        <v>0</v>
      </c>
      <c r="Z37" s="41">
        <f t="shared" si="5"/>
        <v>0</v>
      </c>
      <c r="AA37" s="42">
        <f t="shared" si="5"/>
        <v>0</v>
      </c>
    </row>
    <row r="38" spans="1:27" ht="26.25">
      <c r="A38" s="698">
        <v>34</v>
      </c>
      <c r="B38" s="39">
        <v>869041</v>
      </c>
      <c r="C38" s="40" t="s">
        <v>1316</v>
      </c>
      <c r="D38" s="40">
        <f>'2a.K kiemelt ei.'!J38</f>
        <v>2882</v>
      </c>
      <c r="E38" s="40">
        <f>'2a.K kiemelt ei.'!Q38</f>
        <v>737</v>
      </c>
      <c r="F38" s="40">
        <f>'2a.K kiemelt ei.'!X38</f>
        <v>605</v>
      </c>
      <c r="G38" s="41"/>
      <c r="H38" s="41"/>
      <c r="I38" s="42">
        <f t="shared" si="4"/>
        <v>4224</v>
      </c>
      <c r="J38" s="41"/>
      <c r="K38" s="41"/>
      <c r="L38" s="41"/>
      <c r="M38" s="41"/>
      <c r="N38" s="41"/>
      <c r="O38" s="41">
        <f t="shared" si="3"/>
        <v>0</v>
      </c>
      <c r="P38" s="41"/>
      <c r="Q38" s="41"/>
      <c r="R38" s="41"/>
      <c r="S38" s="41"/>
      <c r="T38" s="41"/>
      <c r="U38" s="41">
        <f t="shared" si="1"/>
        <v>0</v>
      </c>
      <c r="V38" s="41">
        <f t="shared" si="5"/>
        <v>2882</v>
      </c>
      <c r="W38" s="41">
        <f t="shared" si="5"/>
        <v>737</v>
      </c>
      <c r="X38" s="41">
        <f t="shared" si="5"/>
        <v>605</v>
      </c>
      <c r="Y38" s="41">
        <f t="shared" si="5"/>
        <v>0</v>
      </c>
      <c r="Z38" s="41">
        <f t="shared" si="5"/>
        <v>0</v>
      </c>
      <c r="AA38" s="42">
        <f t="shared" si="5"/>
        <v>4224</v>
      </c>
    </row>
    <row r="39" spans="1:27" ht="15">
      <c r="A39" s="698">
        <v>35</v>
      </c>
      <c r="B39" s="39">
        <v>889921</v>
      </c>
      <c r="C39" s="40" t="s">
        <v>559</v>
      </c>
      <c r="D39" s="40"/>
      <c r="E39" s="41"/>
      <c r="F39" s="41">
        <f>'2a.K kiemelt ei.'!X46</f>
        <v>949</v>
      </c>
      <c r="G39" s="41"/>
      <c r="H39" s="41"/>
      <c r="I39" s="42">
        <f t="shared" si="4"/>
        <v>949</v>
      </c>
      <c r="J39" s="41"/>
      <c r="K39" s="41"/>
      <c r="L39" s="41"/>
      <c r="M39" s="41"/>
      <c r="N39" s="41"/>
      <c r="O39" s="41">
        <f t="shared" si="3"/>
        <v>0</v>
      </c>
      <c r="P39" s="41"/>
      <c r="Q39" s="41"/>
      <c r="R39" s="41"/>
      <c r="S39" s="41"/>
      <c r="T39" s="41"/>
      <c r="U39" s="41">
        <f t="shared" si="1"/>
        <v>0</v>
      </c>
      <c r="V39" s="41">
        <f t="shared" si="5"/>
        <v>0</v>
      </c>
      <c r="W39" s="41">
        <f t="shared" si="5"/>
        <v>0</v>
      </c>
      <c r="X39" s="41">
        <f t="shared" si="5"/>
        <v>949</v>
      </c>
      <c r="Y39" s="41">
        <f t="shared" si="5"/>
        <v>0</v>
      </c>
      <c r="Z39" s="41">
        <f t="shared" si="5"/>
        <v>0</v>
      </c>
      <c r="AA39" s="42">
        <f t="shared" si="5"/>
        <v>949</v>
      </c>
    </row>
    <row r="40" spans="1:27" ht="15">
      <c r="A40" s="698">
        <v>36</v>
      </c>
      <c r="B40" s="39">
        <v>889924</v>
      </c>
      <c r="C40" s="40" t="s">
        <v>713</v>
      </c>
      <c r="D40" s="40"/>
      <c r="E40" s="41"/>
      <c r="F40" s="41">
        <f>'2a.K kiemelt ei.'!X36</f>
        <v>557</v>
      </c>
      <c r="G40" s="41"/>
      <c r="H40" s="41"/>
      <c r="I40" s="42">
        <f t="shared" si="4"/>
        <v>557</v>
      </c>
      <c r="J40" s="41"/>
      <c r="K40" s="41"/>
      <c r="L40" s="41"/>
      <c r="M40" s="41"/>
      <c r="N40" s="41"/>
      <c r="O40" s="41">
        <f t="shared" si="3"/>
        <v>0</v>
      </c>
      <c r="P40" s="41"/>
      <c r="Q40" s="41"/>
      <c r="R40" s="41"/>
      <c r="S40" s="41"/>
      <c r="T40" s="41"/>
      <c r="U40" s="41">
        <f t="shared" si="1"/>
        <v>0</v>
      </c>
      <c r="V40" s="41">
        <f t="shared" si="5"/>
        <v>0</v>
      </c>
      <c r="W40" s="41">
        <f t="shared" si="5"/>
        <v>0</v>
      </c>
      <c r="X40" s="41">
        <f t="shared" si="5"/>
        <v>557</v>
      </c>
      <c r="Y40" s="41">
        <f t="shared" si="5"/>
        <v>0</v>
      </c>
      <c r="Z40" s="41">
        <f t="shared" si="5"/>
        <v>0</v>
      </c>
      <c r="AA40" s="42">
        <f t="shared" si="5"/>
        <v>557</v>
      </c>
    </row>
    <row r="41" spans="1:27" ht="15">
      <c r="A41" s="698">
        <v>37</v>
      </c>
      <c r="B41" s="39">
        <v>889928</v>
      </c>
      <c r="C41" s="40" t="s">
        <v>765</v>
      </c>
      <c r="D41" s="40">
        <f>'2a.K kiemelt ei.'!J37</f>
        <v>1807</v>
      </c>
      <c r="E41" s="40">
        <f>'2a.K kiemelt ei.'!Q37</f>
        <v>615</v>
      </c>
      <c r="F41" s="40">
        <f>'2a.K kiemelt ei.'!X37</f>
        <v>1562</v>
      </c>
      <c r="G41" s="41"/>
      <c r="H41" s="41"/>
      <c r="I41" s="42">
        <f t="shared" si="4"/>
        <v>3984</v>
      </c>
      <c r="J41" s="41"/>
      <c r="K41" s="41"/>
      <c r="L41" s="41"/>
      <c r="M41" s="41"/>
      <c r="N41" s="41"/>
      <c r="O41" s="41">
        <f t="shared" si="3"/>
        <v>0</v>
      </c>
      <c r="P41" s="41"/>
      <c r="Q41" s="41"/>
      <c r="R41" s="41"/>
      <c r="S41" s="41"/>
      <c r="T41" s="41"/>
      <c r="U41" s="41">
        <f t="shared" si="1"/>
        <v>0</v>
      </c>
      <c r="V41" s="41">
        <f t="shared" si="5"/>
        <v>1807</v>
      </c>
      <c r="W41" s="41">
        <f t="shared" si="5"/>
        <v>615</v>
      </c>
      <c r="X41" s="41">
        <f t="shared" si="5"/>
        <v>1562</v>
      </c>
      <c r="Y41" s="41">
        <f t="shared" si="5"/>
        <v>0</v>
      </c>
      <c r="Z41" s="41">
        <f t="shared" si="5"/>
        <v>0</v>
      </c>
      <c r="AA41" s="42">
        <f t="shared" si="5"/>
        <v>3984</v>
      </c>
    </row>
    <row r="42" spans="1:28" s="242" customFormat="1" ht="18.75">
      <c r="A42" s="698">
        <v>38</v>
      </c>
      <c r="B42" s="39">
        <v>890301</v>
      </c>
      <c r="C42" s="40" t="s">
        <v>712</v>
      </c>
      <c r="D42" s="40"/>
      <c r="E42" s="41"/>
      <c r="F42" s="41"/>
      <c r="G42" s="41"/>
      <c r="H42" s="41"/>
      <c r="I42" s="42">
        <f t="shared" si="4"/>
        <v>0</v>
      </c>
      <c r="J42" s="41"/>
      <c r="K42" s="41"/>
      <c r="L42" s="41"/>
      <c r="M42" s="41">
        <f>'2a.K kiemelt ei.'!AE34</f>
        <v>968</v>
      </c>
      <c r="N42" s="41"/>
      <c r="O42" s="41">
        <f t="shared" si="3"/>
        <v>968</v>
      </c>
      <c r="P42" s="41"/>
      <c r="Q42" s="41"/>
      <c r="R42" s="41"/>
      <c r="S42" s="41"/>
      <c r="T42" s="41"/>
      <c r="U42" s="41">
        <f t="shared" si="1"/>
        <v>0</v>
      </c>
      <c r="V42" s="41">
        <f t="shared" si="5"/>
        <v>0</v>
      </c>
      <c r="W42" s="41">
        <f t="shared" si="5"/>
        <v>0</v>
      </c>
      <c r="X42" s="41">
        <f t="shared" si="5"/>
        <v>0</v>
      </c>
      <c r="Y42" s="41">
        <f t="shared" si="5"/>
        <v>968</v>
      </c>
      <c r="Z42" s="41">
        <f t="shared" si="5"/>
        <v>0</v>
      </c>
      <c r="AA42" s="42">
        <f t="shared" si="5"/>
        <v>968</v>
      </c>
      <c r="AB42" s="696"/>
    </row>
    <row r="43" spans="1:28" s="35" customFormat="1" ht="18.75">
      <c r="A43" s="698">
        <v>39</v>
      </c>
      <c r="B43" s="40">
        <v>890441</v>
      </c>
      <c r="C43" s="40" t="s">
        <v>726</v>
      </c>
      <c r="D43" s="40">
        <f>'2a.K kiemelt ei.'!J53+'2a.K kiemelt ei.'!J54</f>
        <v>5557</v>
      </c>
      <c r="E43" s="40">
        <f>'2a.K kiemelt ei.'!Q53+'2a.K kiemelt ei.'!Q54</f>
        <v>735</v>
      </c>
      <c r="F43" s="40">
        <f>'[7]7.K.részletező'!AU98</f>
        <v>0</v>
      </c>
      <c r="G43" s="45"/>
      <c r="H43" s="45"/>
      <c r="I43" s="42">
        <f t="shared" si="4"/>
        <v>6292</v>
      </c>
      <c r="J43" s="45"/>
      <c r="K43" s="45"/>
      <c r="L43" s="45"/>
      <c r="M43" s="45"/>
      <c r="N43" s="45"/>
      <c r="O43" s="41">
        <f t="shared" si="3"/>
        <v>0</v>
      </c>
      <c r="P43" s="45"/>
      <c r="Q43" s="45"/>
      <c r="R43" s="45"/>
      <c r="S43" s="45"/>
      <c r="T43" s="45"/>
      <c r="U43" s="41">
        <f t="shared" si="1"/>
        <v>0</v>
      </c>
      <c r="V43" s="41">
        <f t="shared" si="5"/>
        <v>5557</v>
      </c>
      <c r="W43" s="41">
        <f t="shared" si="5"/>
        <v>735</v>
      </c>
      <c r="X43" s="41">
        <f t="shared" si="5"/>
        <v>0</v>
      </c>
      <c r="Y43" s="41">
        <f t="shared" si="5"/>
        <v>0</v>
      </c>
      <c r="Z43" s="41">
        <f t="shared" si="5"/>
        <v>0</v>
      </c>
      <c r="AA43" s="42">
        <f t="shared" si="5"/>
        <v>6292</v>
      </c>
      <c r="AB43" s="696"/>
    </row>
    <row r="44" spans="1:27" ht="15">
      <c r="A44" s="698">
        <v>40</v>
      </c>
      <c r="B44" s="39">
        <v>910123</v>
      </c>
      <c r="C44" s="40" t="s">
        <v>766</v>
      </c>
      <c r="D44" s="40">
        <f>'2a.K kiemelt ei.'!J31</f>
        <v>360</v>
      </c>
      <c r="E44" s="40">
        <f>'2a.K kiemelt ei.'!Q31</f>
        <v>87</v>
      </c>
      <c r="F44" s="40">
        <f>'2a.K kiemelt ei.'!X31</f>
        <v>496</v>
      </c>
      <c r="G44" s="40"/>
      <c r="H44" s="699"/>
      <c r="I44" s="42">
        <f t="shared" si="4"/>
        <v>943</v>
      </c>
      <c r="J44" s="699"/>
      <c r="K44" s="699"/>
      <c r="L44" s="699"/>
      <c r="M44" s="699"/>
      <c r="N44" s="699"/>
      <c r="O44" s="41">
        <f t="shared" si="3"/>
        <v>0</v>
      </c>
      <c r="P44" s="699"/>
      <c r="Q44" s="699"/>
      <c r="R44" s="699"/>
      <c r="S44" s="699"/>
      <c r="T44" s="699"/>
      <c r="U44" s="41">
        <f t="shared" si="1"/>
        <v>0</v>
      </c>
      <c r="V44" s="41">
        <f t="shared" si="5"/>
        <v>360</v>
      </c>
      <c r="W44" s="41">
        <f t="shared" si="5"/>
        <v>87</v>
      </c>
      <c r="X44" s="41">
        <f t="shared" si="5"/>
        <v>496</v>
      </c>
      <c r="Y44" s="41">
        <f t="shared" si="5"/>
        <v>0</v>
      </c>
      <c r="Z44" s="41">
        <f t="shared" si="5"/>
        <v>0</v>
      </c>
      <c r="AA44" s="42">
        <f t="shared" si="5"/>
        <v>943</v>
      </c>
    </row>
    <row r="45" spans="1:27" ht="15">
      <c r="A45" s="698">
        <v>41</v>
      </c>
      <c r="B45" s="39">
        <v>910502</v>
      </c>
      <c r="C45" s="40" t="s">
        <v>767</v>
      </c>
      <c r="D45" s="40">
        <f>'2a.K kiemelt ei.'!J32</f>
        <v>1483</v>
      </c>
      <c r="E45" s="40">
        <f>'2a.K kiemelt ei.'!Q32</f>
        <v>404</v>
      </c>
      <c r="F45" s="40">
        <f>'2a.K kiemelt ei.'!X32</f>
        <v>7200</v>
      </c>
      <c r="G45" s="40">
        <v>0</v>
      </c>
      <c r="H45" s="40"/>
      <c r="I45" s="42">
        <f t="shared" si="4"/>
        <v>9087</v>
      </c>
      <c r="J45" s="699"/>
      <c r="K45" s="699"/>
      <c r="L45" s="699"/>
      <c r="M45" s="699"/>
      <c r="N45" s="699"/>
      <c r="O45" s="41">
        <f t="shared" si="3"/>
        <v>0</v>
      </c>
      <c r="P45" s="699"/>
      <c r="Q45" s="699"/>
      <c r="R45" s="699"/>
      <c r="S45" s="699"/>
      <c r="T45" s="699"/>
      <c r="U45" s="41">
        <f t="shared" si="1"/>
        <v>0</v>
      </c>
      <c r="V45" s="41">
        <f t="shared" si="5"/>
        <v>1483</v>
      </c>
      <c r="W45" s="41">
        <f t="shared" si="5"/>
        <v>404</v>
      </c>
      <c r="X45" s="41">
        <f t="shared" si="5"/>
        <v>7200</v>
      </c>
      <c r="Y45" s="41">
        <f t="shared" si="5"/>
        <v>0</v>
      </c>
      <c r="Z45" s="41">
        <f t="shared" si="5"/>
        <v>0</v>
      </c>
      <c r="AA45" s="42">
        <f t="shared" si="5"/>
        <v>9087</v>
      </c>
    </row>
    <row r="46" spans="1:27" ht="15">
      <c r="A46" s="698">
        <v>42</v>
      </c>
      <c r="B46" s="39">
        <v>932911</v>
      </c>
      <c r="C46" s="40" t="s">
        <v>768</v>
      </c>
      <c r="D46" s="40"/>
      <c r="E46" s="699"/>
      <c r="F46" s="699"/>
      <c r="G46" s="699"/>
      <c r="H46" s="699"/>
      <c r="I46" s="42">
        <f t="shared" si="4"/>
        <v>0</v>
      </c>
      <c r="J46" s="699"/>
      <c r="K46" s="699"/>
      <c r="L46" s="699">
        <f>'2a.K kiemelt ei.'!X55</f>
        <v>207</v>
      </c>
      <c r="M46" s="699"/>
      <c r="N46" s="699"/>
      <c r="O46" s="41">
        <f t="shared" si="3"/>
        <v>207</v>
      </c>
      <c r="P46" s="699"/>
      <c r="Q46" s="699"/>
      <c r="R46" s="699"/>
      <c r="S46" s="699"/>
      <c r="T46" s="699"/>
      <c r="U46" s="41">
        <f t="shared" si="1"/>
        <v>0</v>
      </c>
      <c r="V46" s="41">
        <f t="shared" si="5"/>
        <v>0</v>
      </c>
      <c r="W46" s="41">
        <f t="shared" si="5"/>
        <v>0</v>
      </c>
      <c r="X46" s="41">
        <f t="shared" si="5"/>
        <v>207</v>
      </c>
      <c r="Y46" s="41">
        <f t="shared" si="5"/>
        <v>0</v>
      </c>
      <c r="Z46" s="41">
        <f t="shared" si="5"/>
        <v>0</v>
      </c>
      <c r="AA46" s="42">
        <f t="shared" si="5"/>
        <v>207</v>
      </c>
    </row>
    <row r="47" spans="1:27" ht="15">
      <c r="A47" s="698">
        <v>43</v>
      </c>
      <c r="B47" s="39">
        <v>940000</v>
      </c>
      <c r="C47" s="40" t="s">
        <v>769</v>
      </c>
      <c r="D47" s="40"/>
      <c r="E47" s="699"/>
      <c r="F47" s="699"/>
      <c r="G47" s="699"/>
      <c r="H47" s="699"/>
      <c r="I47" s="42">
        <f t="shared" si="4"/>
        <v>0</v>
      </c>
      <c r="J47" s="699"/>
      <c r="K47" s="699"/>
      <c r="L47" s="699"/>
      <c r="M47" s="699"/>
      <c r="N47" s="699"/>
      <c r="O47" s="41">
        <f t="shared" si="3"/>
        <v>0</v>
      </c>
      <c r="P47" s="699">
        <f>'2a.K kiemelt ei.'!J33</f>
        <v>308</v>
      </c>
      <c r="Q47" s="699">
        <f>'2a.K kiemelt ei.'!Q33</f>
        <v>75</v>
      </c>
      <c r="R47" s="699">
        <f>'2a.K kiemelt ei.'!X33</f>
        <v>123</v>
      </c>
      <c r="S47" s="699"/>
      <c r="T47" s="699"/>
      <c r="U47" s="41">
        <f t="shared" si="1"/>
        <v>506</v>
      </c>
      <c r="V47" s="41">
        <f t="shared" si="5"/>
        <v>308</v>
      </c>
      <c r="W47" s="41">
        <f t="shared" si="5"/>
        <v>75</v>
      </c>
      <c r="X47" s="41">
        <f t="shared" si="5"/>
        <v>123</v>
      </c>
      <c r="Y47" s="41">
        <f t="shared" si="5"/>
        <v>0</v>
      </c>
      <c r="Z47" s="41">
        <f t="shared" si="5"/>
        <v>0</v>
      </c>
      <c r="AA47" s="42">
        <f t="shared" si="5"/>
        <v>506</v>
      </c>
    </row>
    <row r="48" spans="1:27" ht="15">
      <c r="A48" s="698">
        <v>44</v>
      </c>
      <c r="B48" s="39">
        <v>960302</v>
      </c>
      <c r="C48" s="40" t="s">
        <v>561</v>
      </c>
      <c r="D48" s="40">
        <f>'2a.K kiemelt ei.'!J51</f>
        <v>62</v>
      </c>
      <c r="E48" s="40">
        <f>'2a.K kiemelt ei.'!Q51</f>
        <v>15</v>
      </c>
      <c r="F48" s="40">
        <f>'2a.K kiemelt ei.'!X51</f>
        <v>37</v>
      </c>
      <c r="G48" s="699"/>
      <c r="H48" s="699">
        <f>'2a.K kiemelt ei.'!BG51</f>
        <v>544</v>
      </c>
      <c r="I48" s="42">
        <f t="shared" si="4"/>
        <v>658</v>
      </c>
      <c r="J48" s="699"/>
      <c r="K48" s="699"/>
      <c r="L48" s="699"/>
      <c r="M48" s="699"/>
      <c r="N48" s="699"/>
      <c r="O48" s="41">
        <f t="shared" si="3"/>
        <v>0</v>
      </c>
      <c r="P48" s="699"/>
      <c r="Q48" s="699"/>
      <c r="R48" s="699"/>
      <c r="S48" s="699"/>
      <c r="T48" s="699"/>
      <c r="U48" s="41">
        <f t="shared" si="1"/>
        <v>0</v>
      </c>
      <c r="V48" s="41">
        <f t="shared" si="5"/>
        <v>62</v>
      </c>
      <c r="W48" s="41">
        <f t="shared" si="5"/>
        <v>15</v>
      </c>
      <c r="X48" s="41">
        <f t="shared" si="5"/>
        <v>37</v>
      </c>
      <c r="Y48" s="41">
        <f t="shared" si="5"/>
        <v>0</v>
      </c>
      <c r="Z48" s="41">
        <f t="shared" si="5"/>
        <v>544</v>
      </c>
      <c r="AA48" s="42">
        <f t="shared" si="5"/>
        <v>658</v>
      </c>
    </row>
    <row r="49" spans="1:27" ht="15">
      <c r="A49" s="698">
        <v>45</v>
      </c>
      <c r="B49" s="43"/>
      <c r="C49" s="44" t="s">
        <v>598</v>
      </c>
      <c r="D49" s="44">
        <f>SUM(D16:D48)</f>
        <v>61771</v>
      </c>
      <c r="E49" s="44">
        <f>SUM(E16:E48)</f>
        <v>17354</v>
      </c>
      <c r="F49" s="44">
        <f>SUM(F16:F48)</f>
        <v>112903</v>
      </c>
      <c r="G49" s="44">
        <f>SUM(G16:G48)</f>
        <v>2400</v>
      </c>
      <c r="H49" s="44">
        <f>SUM(H16:H48)</f>
        <v>15958</v>
      </c>
      <c r="I49" s="42">
        <f>SUM(D49:H49)</f>
        <v>210386</v>
      </c>
      <c r="J49" s="699">
        <f>SUM(J16:J48)</f>
        <v>2958</v>
      </c>
      <c r="K49" s="699">
        <f>SUM(K16:K48)</f>
        <v>803</v>
      </c>
      <c r="L49" s="699">
        <f>SUM(L16:L48)</f>
        <v>18978</v>
      </c>
      <c r="M49" s="699">
        <f>SUM(M16:M48)</f>
        <v>4568</v>
      </c>
      <c r="N49" s="699">
        <f>SUM(N16:N48)</f>
        <v>593</v>
      </c>
      <c r="O49" s="41">
        <f t="shared" si="3"/>
        <v>27900</v>
      </c>
      <c r="P49" s="699">
        <f>SUM(P16:P48)</f>
        <v>308</v>
      </c>
      <c r="Q49" s="699">
        <f>SUM(Q16:Q48)</f>
        <v>75</v>
      </c>
      <c r="R49" s="699">
        <f>SUM(R16:R48)</f>
        <v>123</v>
      </c>
      <c r="S49" s="699">
        <f>SUM(S16:S48)</f>
        <v>0</v>
      </c>
      <c r="T49" s="699">
        <f>SUM(T16:T48)</f>
        <v>0</v>
      </c>
      <c r="U49" s="41">
        <f t="shared" si="1"/>
        <v>506</v>
      </c>
      <c r="V49" s="41">
        <f t="shared" si="5"/>
        <v>65037</v>
      </c>
      <c r="W49" s="41">
        <f t="shared" si="5"/>
        <v>18232</v>
      </c>
      <c r="X49" s="41">
        <f t="shared" si="5"/>
        <v>132004</v>
      </c>
      <c r="Y49" s="41">
        <f t="shared" si="5"/>
        <v>6968</v>
      </c>
      <c r="Z49" s="41">
        <f t="shared" si="5"/>
        <v>16551</v>
      </c>
      <c r="AA49" s="42">
        <f t="shared" si="5"/>
        <v>238792</v>
      </c>
    </row>
    <row r="50" spans="1:27" ht="15">
      <c r="A50" s="698">
        <v>46</v>
      </c>
      <c r="B50" s="39"/>
      <c r="C50" s="40"/>
      <c r="D50" s="40"/>
      <c r="E50" s="699"/>
      <c r="F50" s="699"/>
      <c r="G50" s="699"/>
      <c r="H50" s="699"/>
      <c r="I50" s="42"/>
      <c r="J50" s="699"/>
      <c r="K50" s="699"/>
      <c r="L50" s="699"/>
      <c r="M50" s="699"/>
      <c r="N50" s="699"/>
      <c r="O50" s="41"/>
      <c r="P50" s="699"/>
      <c r="Q50" s="699"/>
      <c r="R50" s="699"/>
      <c r="S50" s="699"/>
      <c r="T50" s="699"/>
      <c r="U50" s="41"/>
      <c r="V50" s="41"/>
      <c r="W50" s="41"/>
      <c r="X50" s="41"/>
      <c r="Y50" s="41"/>
      <c r="Z50" s="41"/>
      <c r="AA50" s="42"/>
    </row>
    <row r="51" spans="1:27" ht="15">
      <c r="A51" s="698">
        <v>47</v>
      </c>
      <c r="B51" s="39"/>
      <c r="C51" s="44" t="s">
        <v>563</v>
      </c>
      <c r="D51" s="44">
        <f>D49+D12+D7</f>
        <v>87494</v>
      </c>
      <c r="E51" s="44">
        <f aca="true" t="shared" si="6" ref="E51:U51">E49+E12+E7</f>
        <v>24294</v>
      </c>
      <c r="F51" s="44">
        <f t="shared" si="6"/>
        <v>120079</v>
      </c>
      <c r="G51" s="44">
        <f t="shared" si="6"/>
        <v>36931</v>
      </c>
      <c r="H51" s="44">
        <f t="shared" si="6"/>
        <v>36221</v>
      </c>
      <c r="I51" s="44">
        <f t="shared" si="6"/>
        <v>305019</v>
      </c>
      <c r="J51" s="44">
        <f t="shared" si="6"/>
        <v>2958</v>
      </c>
      <c r="K51" s="44">
        <f t="shared" si="6"/>
        <v>803</v>
      </c>
      <c r="L51" s="44">
        <f t="shared" si="6"/>
        <v>18978</v>
      </c>
      <c r="M51" s="44">
        <f t="shared" si="6"/>
        <v>338568</v>
      </c>
      <c r="N51" s="44">
        <f t="shared" si="6"/>
        <v>593</v>
      </c>
      <c r="O51" s="44">
        <f t="shared" si="6"/>
        <v>361900</v>
      </c>
      <c r="P51" s="44">
        <f t="shared" si="6"/>
        <v>308</v>
      </c>
      <c r="Q51" s="44">
        <f t="shared" si="6"/>
        <v>75</v>
      </c>
      <c r="R51" s="44">
        <f t="shared" si="6"/>
        <v>123</v>
      </c>
      <c r="S51" s="44">
        <f t="shared" si="6"/>
        <v>0</v>
      </c>
      <c r="T51" s="44">
        <f t="shared" si="6"/>
        <v>0</v>
      </c>
      <c r="U51" s="44">
        <f t="shared" si="6"/>
        <v>506</v>
      </c>
      <c r="V51" s="44">
        <f aca="true" t="shared" si="7" ref="V51:AA51">V49+V12+V9</f>
        <v>90760</v>
      </c>
      <c r="W51" s="44">
        <f t="shared" si="7"/>
        <v>25172</v>
      </c>
      <c r="X51" s="44">
        <f t="shared" si="7"/>
        <v>139180</v>
      </c>
      <c r="Y51" s="44">
        <f t="shared" si="7"/>
        <v>398932</v>
      </c>
      <c r="Z51" s="44">
        <f t="shared" si="7"/>
        <v>36814</v>
      </c>
      <c r="AA51" s="44">
        <f t="shared" si="7"/>
        <v>690858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E142"/>
  <sheetViews>
    <sheetView view="pageBreakPreview" zoomScale="80" zoomScaleSheetLayoutView="80" zoomScalePageLayoutView="0" workbookViewId="0" topLeftCell="A1">
      <pane xSplit="2" ySplit="8" topLeftCell="BC1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E145" sqref="BE145"/>
    </sheetView>
  </sheetViews>
  <sheetFormatPr defaultColWidth="9.140625" defaultRowHeight="15"/>
  <cols>
    <col min="1" max="1" width="9.28125" style="221" bestFit="1" customWidth="1"/>
    <col min="2" max="2" width="33.8515625" style="227" bestFit="1" customWidth="1"/>
    <col min="3" max="3" width="10.140625" style="227" customWidth="1"/>
    <col min="4" max="4" width="9.7109375" style="228" customWidth="1"/>
    <col min="5" max="5" width="9.8515625" style="227" bestFit="1" customWidth="1"/>
    <col min="6" max="6" width="9.57421875" style="227" customWidth="1"/>
    <col min="7" max="7" width="10.00390625" style="227" customWidth="1"/>
    <col min="8" max="8" width="9.421875" style="227" customWidth="1"/>
    <col min="9" max="9" width="9.7109375" style="227" customWidth="1"/>
    <col min="10" max="10" width="9.421875" style="227" customWidth="1"/>
    <col min="11" max="11" width="9.7109375" style="227" customWidth="1"/>
    <col min="12" max="12" width="9.57421875" style="227" customWidth="1"/>
    <col min="13" max="13" width="9.8515625" style="227" customWidth="1"/>
    <col min="14" max="14" width="9.421875" style="227" customWidth="1"/>
    <col min="15" max="15" width="10.140625" style="227" customWidth="1"/>
    <col min="16" max="16" width="10.00390625" style="227" bestFit="1" customWidth="1"/>
    <col min="17" max="17" width="9.7109375" style="227" customWidth="1"/>
    <col min="18" max="18" width="10.8515625" style="227" customWidth="1"/>
    <col min="19" max="19" width="10.7109375" style="265" customWidth="1"/>
    <col min="20" max="20" width="10.421875" style="227" customWidth="1"/>
    <col min="21" max="21" width="10.57421875" style="227" customWidth="1"/>
    <col min="22" max="23" width="9.8515625" style="227" customWidth="1"/>
    <col min="24" max="24" width="10.00390625" style="227" customWidth="1"/>
    <col min="25" max="25" width="9.421875" style="227" customWidth="1"/>
    <col min="26" max="26" width="10.140625" style="227" customWidth="1"/>
    <col min="27" max="27" width="9.7109375" style="227" customWidth="1"/>
    <col min="28" max="28" width="9.421875" style="227" customWidth="1"/>
    <col min="29" max="29" width="9.7109375" style="227" customWidth="1"/>
    <col min="30" max="30" width="10.421875" style="227" customWidth="1"/>
    <col min="31" max="31" width="10.8515625" style="227" customWidth="1"/>
    <col min="32" max="32" width="9.7109375" style="227" customWidth="1"/>
    <col min="33" max="33" width="10.00390625" style="227" customWidth="1"/>
    <col min="34" max="34" width="12.00390625" style="227" customWidth="1"/>
    <col min="35" max="35" width="10.57421875" style="227" customWidth="1"/>
    <col min="36" max="36" width="11.140625" style="227" customWidth="1"/>
    <col min="37" max="37" width="11.00390625" style="227" customWidth="1"/>
    <col min="38" max="38" width="9.8515625" style="227" customWidth="1"/>
    <col min="39" max="39" width="10.8515625" style="227" customWidth="1"/>
    <col min="40" max="40" width="10.57421875" style="227" customWidth="1"/>
    <col min="41" max="41" width="10.140625" style="227" customWidth="1"/>
    <col min="42" max="42" width="10.8515625" style="227" customWidth="1"/>
    <col min="43" max="43" width="10.00390625" style="227" customWidth="1"/>
    <col min="44" max="44" width="10.140625" style="227" customWidth="1"/>
    <col min="45" max="45" width="9.8515625" style="227" customWidth="1"/>
    <col min="46" max="46" width="9.7109375" style="227" customWidth="1"/>
    <col min="47" max="47" width="10.140625" style="227" customWidth="1"/>
    <col min="48" max="48" width="10.28125" style="227" customWidth="1"/>
    <col min="49" max="49" width="9.8515625" style="227" customWidth="1"/>
    <col min="50" max="51" width="9.7109375" style="227" customWidth="1"/>
    <col min="52" max="52" width="9.8515625" style="227" customWidth="1"/>
    <col min="53" max="53" width="10.28125" style="227" customWidth="1"/>
    <col min="54" max="54" width="10.421875" style="227" customWidth="1"/>
    <col min="55" max="55" width="11.00390625" style="226" customWidth="1"/>
    <col min="56" max="56" width="10.8515625" style="227" bestFit="1" customWidth="1"/>
    <col min="57" max="16384" width="9.140625" style="227" customWidth="1"/>
  </cols>
  <sheetData>
    <row r="1" spans="1:84" s="218" customFormat="1" ht="21.75" customHeight="1">
      <c r="A1" s="46" t="s">
        <v>444</v>
      </c>
      <c r="B1" s="46"/>
      <c r="C1" s="691"/>
      <c r="D1" s="47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215"/>
      <c r="S1" s="267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693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7"/>
    </row>
    <row r="2" spans="1:55" s="215" customFormat="1" ht="21.75" customHeight="1">
      <c r="A2" s="219"/>
      <c r="D2" s="216"/>
      <c r="S2" s="267"/>
      <c r="BC2" s="693"/>
    </row>
    <row r="3" spans="1:55" s="215" customFormat="1" ht="21.75" customHeight="1">
      <c r="A3" s="219"/>
      <c r="B3" s="215" t="s">
        <v>688</v>
      </c>
      <c r="D3" s="216"/>
      <c r="S3" s="267"/>
      <c r="BC3" s="693"/>
    </row>
    <row r="4" spans="1:55" s="215" customFormat="1" ht="21.75" customHeight="1">
      <c r="A4" s="219"/>
      <c r="D4" s="216"/>
      <c r="S4" s="267"/>
      <c r="BC4" s="693"/>
    </row>
    <row r="5" spans="1:55" s="215" customFormat="1" ht="21.75" customHeight="1">
      <c r="A5" s="219"/>
      <c r="D5" s="216"/>
      <c r="S5" s="267" t="s">
        <v>1467</v>
      </c>
      <c r="BC5" s="693"/>
    </row>
    <row r="6" spans="2:55" s="220" customFormat="1" ht="21.75" customHeight="1">
      <c r="B6" s="220" t="s">
        <v>564</v>
      </c>
      <c r="C6" s="220" t="s">
        <v>565</v>
      </c>
      <c r="D6" s="220" t="s">
        <v>566</v>
      </c>
      <c r="E6" s="220" t="s">
        <v>567</v>
      </c>
      <c r="F6" s="220" t="s">
        <v>568</v>
      </c>
      <c r="G6" s="220" t="s">
        <v>689</v>
      </c>
      <c r="H6" s="220" t="s">
        <v>599</v>
      </c>
      <c r="I6" s="220" t="s">
        <v>600</v>
      </c>
      <c r="J6" s="220" t="s">
        <v>601</v>
      </c>
      <c r="K6" s="220" t="s">
        <v>602</v>
      </c>
      <c r="L6" s="220" t="s">
        <v>603</v>
      </c>
      <c r="M6" s="220" t="s">
        <v>604</v>
      </c>
      <c r="N6" s="220" t="s">
        <v>605</v>
      </c>
      <c r="O6" s="220" t="s">
        <v>606</v>
      </c>
      <c r="P6" s="220" t="s">
        <v>730</v>
      </c>
      <c r="Q6" s="220" t="s">
        <v>607</v>
      </c>
      <c r="R6" s="220" t="s">
        <v>731</v>
      </c>
      <c r="S6" s="268" t="s">
        <v>608</v>
      </c>
      <c r="T6" s="220" t="s">
        <v>609</v>
      </c>
      <c r="U6" s="220" t="s">
        <v>610</v>
      </c>
      <c r="V6" s="220" t="s">
        <v>611</v>
      </c>
      <c r="W6" s="220" t="s">
        <v>612</v>
      </c>
      <c r="X6" s="220" t="s">
        <v>613</v>
      </c>
      <c r="Y6" s="220" t="s">
        <v>614</v>
      </c>
      <c r="Z6" s="220" t="s">
        <v>615</v>
      </c>
      <c r="AA6" s="220" t="s">
        <v>616</v>
      </c>
      <c r="AB6" s="220" t="s">
        <v>1250</v>
      </c>
      <c r="AC6" s="220" t="s">
        <v>770</v>
      </c>
      <c r="AD6" s="220" t="s">
        <v>771</v>
      </c>
      <c r="AE6" s="220" t="s">
        <v>772</v>
      </c>
      <c r="AF6" s="220" t="s">
        <v>773</v>
      </c>
      <c r="AG6" s="220" t="s">
        <v>774</v>
      </c>
      <c r="AH6" s="220" t="s">
        <v>1251</v>
      </c>
      <c r="AI6" s="220" t="s">
        <v>1252</v>
      </c>
      <c r="AJ6" s="220" t="s">
        <v>1253</v>
      </c>
      <c r="AK6" s="220" t="s">
        <v>1254</v>
      </c>
      <c r="AL6" s="220" t="s">
        <v>1255</v>
      </c>
      <c r="AM6" s="220" t="s">
        <v>1256</v>
      </c>
      <c r="AN6" s="220" t="s">
        <v>1257</v>
      </c>
      <c r="AO6" s="220" t="s">
        <v>1258</v>
      </c>
      <c r="AP6" s="220" t="s">
        <v>1259</v>
      </c>
      <c r="AQ6" s="220" t="s">
        <v>775</v>
      </c>
      <c r="AR6" s="220" t="s">
        <v>776</v>
      </c>
      <c r="AS6" s="220" t="s">
        <v>777</v>
      </c>
      <c r="AT6" s="220" t="s">
        <v>1260</v>
      </c>
      <c r="AU6" s="220" t="s">
        <v>778</v>
      </c>
      <c r="AV6" s="220" t="s">
        <v>779</v>
      </c>
      <c r="AW6" s="220" t="s">
        <v>780</v>
      </c>
      <c r="AX6" s="220" t="s">
        <v>781</v>
      </c>
      <c r="AY6" s="220" t="s">
        <v>1318</v>
      </c>
      <c r="AZ6" s="220" t="s">
        <v>1319</v>
      </c>
      <c r="BA6" s="220" t="s">
        <v>782</v>
      </c>
      <c r="BB6" s="220" t="s">
        <v>783</v>
      </c>
      <c r="BC6" s="692" t="s">
        <v>784</v>
      </c>
    </row>
    <row r="7" spans="1:55" s="221" customFormat="1" ht="21.75" customHeight="1">
      <c r="A7" s="221">
        <v>1</v>
      </c>
      <c r="B7" s="223"/>
      <c r="C7" s="685" t="s">
        <v>785</v>
      </c>
      <c r="D7" s="222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90"/>
      <c r="S7" s="269" t="s">
        <v>701</v>
      </c>
      <c r="T7" s="685" t="s">
        <v>752</v>
      </c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90"/>
      <c r="BC7" s="224"/>
    </row>
    <row r="8" spans="1:55" s="226" customFormat="1" ht="74.25" customHeight="1">
      <c r="A8" s="224">
        <v>2</v>
      </c>
      <c r="B8" s="273" t="s">
        <v>617</v>
      </c>
      <c r="C8" s="686" t="s">
        <v>575</v>
      </c>
      <c r="D8" s="225" t="s">
        <v>786</v>
      </c>
      <c r="E8" s="686" t="s">
        <v>787</v>
      </c>
      <c r="F8" s="686" t="s">
        <v>788</v>
      </c>
      <c r="G8" s="686" t="s">
        <v>789</v>
      </c>
      <c r="H8" s="686" t="s">
        <v>790</v>
      </c>
      <c r="I8" s="686" t="s">
        <v>791</v>
      </c>
      <c r="J8" s="686" t="s">
        <v>792</v>
      </c>
      <c r="K8" s="686" t="s">
        <v>793</v>
      </c>
      <c r="L8" s="686" t="s">
        <v>794</v>
      </c>
      <c r="M8" s="686" t="s">
        <v>795</v>
      </c>
      <c r="N8" s="686" t="s">
        <v>796</v>
      </c>
      <c r="O8" s="686" t="s">
        <v>797</v>
      </c>
      <c r="P8" s="686" t="s">
        <v>798</v>
      </c>
      <c r="Q8" s="686" t="s">
        <v>1424</v>
      </c>
      <c r="R8" s="686" t="s">
        <v>799</v>
      </c>
      <c r="S8" s="270" t="s">
        <v>800</v>
      </c>
      <c r="T8" s="686" t="s">
        <v>801</v>
      </c>
      <c r="U8" s="686" t="s">
        <v>626</v>
      </c>
      <c r="V8" s="686" t="s">
        <v>802</v>
      </c>
      <c r="W8" s="686" t="s">
        <v>803</v>
      </c>
      <c r="X8" s="686" t="s">
        <v>804</v>
      </c>
      <c r="Y8" s="686" t="s">
        <v>805</v>
      </c>
      <c r="Z8" s="686" t="s">
        <v>806</v>
      </c>
      <c r="AA8" s="686" t="s">
        <v>1702</v>
      </c>
      <c r="AB8" s="686" t="s">
        <v>1703</v>
      </c>
      <c r="AC8" s="686" t="s">
        <v>807</v>
      </c>
      <c r="AD8" s="686" t="s">
        <v>1320</v>
      </c>
      <c r="AE8" s="686" t="s">
        <v>808</v>
      </c>
      <c r="AF8" s="686" t="s">
        <v>809</v>
      </c>
      <c r="AG8" s="686" t="s">
        <v>810</v>
      </c>
      <c r="AH8" s="686" t="s">
        <v>811</v>
      </c>
      <c r="AI8" s="686" t="s">
        <v>812</v>
      </c>
      <c r="AJ8" s="686" t="s">
        <v>813</v>
      </c>
      <c r="AK8" s="686" t="s">
        <v>814</v>
      </c>
      <c r="AL8" s="686" t="s">
        <v>815</v>
      </c>
      <c r="AM8" s="686" t="s">
        <v>816</v>
      </c>
      <c r="AN8" s="686" t="s">
        <v>817</v>
      </c>
      <c r="AO8" s="686" t="s">
        <v>818</v>
      </c>
      <c r="AP8" s="686" t="s">
        <v>819</v>
      </c>
      <c r="AQ8" s="686" t="s">
        <v>820</v>
      </c>
      <c r="AR8" s="686" t="s">
        <v>821</v>
      </c>
      <c r="AS8" s="686" t="s">
        <v>822</v>
      </c>
      <c r="AT8" s="686" t="s">
        <v>823</v>
      </c>
      <c r="AU8" s="686" t="s">
        <v>824</v>
      </c>
      <c r="AV8" s="686" t="s">
        <v>825</v>
      </c>
      <c r="AW8" s="686" t="s">
        <v>826</v>
      </c>
      <c r="AX8" s="686" t="s">
        <v>827</v>
      </c>
      <c r="AY8" s="686" t="s">
        <v>828</v>
      </c>
      <c r="AZ8" s="686" t="s">
        <v>829</v>
      </c>
      <c r="BA8" s="686" t="s">
        <v>830</v>
      </c>
      <c r="BB8" s="686" t="s">
        <v>831</v>
      </c>
      <c r="BC8" s="694" t="s">
        <v>832</v>
      </c>
    </row>
    <row r="9" spans="1:55" ht="21.75" customHeight="1">
      <c r="A9" s="221">
        <v>3</v>
      </c>
      <c r="B9" s="227" t="s">
        <v>833</v>
      </c>
      <c r="R9" s="227">
        <f aca="true" t="shared" si="0" ref="R9:R22">SUM(C9:Q9)</f>
        <v>0</v>
      </c>
      <c r="S9" s="265">
        <v>16101</v>
      </c>
      <c r="U9" s="227">
        <v>4197</v>
      </c>
      <c r="V9" s="227">
        <v>2920</v>
      </c>
      <c r="X9" s="227">
        <v>6136</v>
      </c>
      <c r="AE9" s="227">
        <v>4283</v>
      </c>
      <c r="AF9" s="227">
        <v>8711</v>
      </c>
      <c r="AG9" s="227">
        <f>9720+39</f>
        <v>9759</v>
      </c>
      <c r="AK9" s="227">
        <v>2243</v>
      </c>
      <c r="AL9" s="227">
        <v>1887</v>
      </c>
      <c r="AP9" s="227">
        <v>1771</v>
      </c>
      <c r="AS9" s="227">
        <v>1409</v>
      </c>
      <c r="AU9" s="227">
        <v>4071</v>
      </c>
      <c r="AV9" s="227">
        <v>1486</v>
      </c>
      <c r="AX9" s="227">
        <v>1213</v>
      </c>
      <c r="BB9" s="227">
        <f aca="true" t="shared" si="1" ref="BB9:BB59">SUM(T9:BA9)</f>
        <v>50086</v>
      </c>
      <c r="BC9" s="226">
        <f>BB9+R9+S9</f>
        <v>66187</v>
      </c>
    </row>
    <row r="10" spans="1:55" ht="21.75" customHeight="1">
      <c r="A10" s="221">
        <v>4</v>
      </c>
      <c r="B10" s="227" t="s">
        <v>834</v>
      </c>
      <c r="R10" s="227">
        <f t="shared" si="0"/>
        <v>0</v>
      </c>
      <c r="BB10" s="227">
        <f t="shared" si="1"/>
        <v>0</v>
      </c>
      <c r="BC10" s="226">
        <f aca="true" t="shared" si="2" ref="BC10:BC73">BB10+R10+S10</f>
        <v>0</v>
      </c>
    </row>
    <row r="11" spans="1:55" ht="21.75" customHeight="1">
      <c r="A11" s="221">
        <v>5</v>
      </c>
      <c r="B11" s="227" t="s">
        <v>835</v>
      </c>
      <c r="R11" s="227">
        <f t="shared" si="0"/>
        <v>0</v>
      </c>
      <c r="BB11" s="227">
        <f t="shared" si="1"/>
        <v>0</v>
      </c>
      <c r="BC11" s="226">
        <f t="shared" si="2"/>
        <v>0</v>
      </c>
    </row>
    <row r="12" spans="1:55" ht="21.75" customHeight="1">
      <c r="A12" s="224">
        <v>6</v>
      </c>
      <c r="B12" s="227" t="s">
        <v>836</v>
      </c>
      <c r="R12" s="227">
        <f t="shared" si="0"/>
        <v>0</v>
      </c>
      <c r="S12" s="265">
        <v>756</v>
      </c>
      <c r="X12" s="227">
        <v>360</v>
      </c>
      <c r="AF12" s="227">
        <v>471</v>
      </c>
      <c r="AG12" s="227">
        <v>480</v>
      </c>
      <c r="BB12" s="227">
        <f t="shared" si="1"/>
        <v>1311</v>
      </c>
      <c r="BC12" s="226">
        <f t="shared" si="2"/>
        <v>2067</v>
      </c>
    </row>
    <row r="13" spans="1:55" ht="21.75" customHeight="1">
      <c r="A13" s="221">
        <v>7</v>
      </c>
      <c r="B13" s="227" t="s">
        <v>837</v>
      </c>
      <c r="R13" s="227">
        <f t="shared" si="0"/>
        <v>0</v>
      </c>
      <c r="S13" s="265">
        <v>76</v>
      </c>
      <c r="AL13" s="227">
        <v>160</v>
      </c>
      <c r="AP13" s="227">
        <v>163</v>
      </c>
      <c r="AS13" s="227">
        <v>127</v>
      </c>
      <c r="BB13" s="227">
        <f t="shared" si="1"/>
        <v>450</v>
      </c>
      <c r="BC13" s="226">
        <f t="shared" si="2"/>
        <v>526</v>
      </c>
    </row>
    <row r="14" spans="1:55" ht="21.75" customHeight="1">
      <c r="A14" s="221">
        <v>8</v>
      </c>
      <c r="B14" s="227" t="s">
        <v>838</v>
      </c>
      <c r="R14" s="227">
        <f t="shared" si="0"/>
        <v>0</v>
      </c>
      <c r="AI14" s="227">
        <v>120</v>
      </c>
      <c r="BB14" s="227">
        <f t="shared" si="1"/>
        <v>120</v>
      </c>
      <c r="BC14" s="226">
        <f t="shared" si="2"/>
        <v>120</v>
      </c>
    </row>
    <row r="15" spans="1:55" s="226" customFormat="1" ht="21.75" customHeight="1">
      <c r="A15" s="221">
        <v>9</v>
      </c>
      <c r="B15" s="226" t="s">
        <v>839</v>
      </c>
      <c r="C15" s="226">
        <f>SUM(C9:C14)</f>
        <v>0</v>
      </c>
      <c r="D15" s="229"/>
      <c r="R15" s="227">
        <f t="shared" si="0"/>
        <v>0</v>
      </c>
      <c r="S15" s="266">
        <f>SUM(S9:S14)</f>
        <v>16933</v>
      </c>
      <c r="T15" s="226">
        <f>SUM(T9:T14)</f>
        <v>0</v>
      </c>
      <c r="U15" s="226">
        <f aca="true" t="shared" si="3" ref="U15:AN15">SUM(U9:U14)</f>
        <v>4197</v>
      </c>
      <c r="V15" s="226">
        <f t="shared" si="3"/>
        <v>2920</v>
      </c>
      <c r="W15" s="226">
        <f t="shared" si="3"/>
        <v>0</v>
      </c>
      <c r="X15" s="226">
        <f t="shared" si="3"/>
        <v>6496</v>
      </c>
      <c r="Y15" s="226">
        <f t="shared" si="3"/>
        <v>0</v>
      </c>
      <c r="Z15" s="226">
        <f t="shared" si="3"/>
        <v>0</v>
      </c>
      <c r="AA15" s="226">
        <f t="shared" si="3"/>
        <v>0</v>
      </c>
      <c r="AB15" s="226">
        <f t="shared" si="3"/>
        <v>0</v>
      </c>
      <c r="AC15" s="226">
        <f t="shared" si="3"/>
        <v>0</v>
      </c>
      <c r="AD15" s="226">
        <f t="shared" si="3"/>
        <v>0</v>
      </c>
      <c r="AE15" s="226">
        <f t="shared" si="3"/>
        <v>4283</v>
      </c>
      <c r="AF15" s="226">
        <f t="shared" si="3"/>
        <v>9182</v>
      </c>
      <c r="AG15" s="226">
        <f t="shared" si="3"/>
        <v>10239</v>
      </c>
      <c r="AH15" s="226">
        <f t="shared" si="3"/>
        <v>0</v>
      </c>
      <c r="AI15" s="226">
        <f t="shared" si="3"/>
        <v>120</v>
      </c>
      <c r="AJ15" s="226">
        <f t="shared" si="3"/>
        <v>0</v>
      </c>
      <c r="AK15" s="226">
        <f t="shared" si="3"/>
        <v>2243</v>
      </c>
      <c r="AL15" s="226">
        <f t="shared" si="3"/>
        <v>2047</v>
      </c>
      <c r="AM15" s="226">
        <f t="shared" si="3"/>
        <v>0</v>
      </c>
      <c r="AN15" s="226">
        <f t="shared" si="3"/>
        <v>0</v>
      </c>
      <c r="AP15" s="226">
        <f>SUM(AP9:AP14)</f>
        <v>1934</v>
      </c>
      <c r="AQ15" s="226">
        <f aca="true" t="shared" si="4" ref="AQ15:BA15">SUM(AQ9:AQ14)</f>
        <v>0</v>
      </c>
      <c r="AR15" s="226">
        <f t="shared" si="4"/>
        <v>0</v>
      </c>
      <c r="AS15" s="226">
        <f t="shared" si="4"/>
        <v>1536</v>
      </c>
      <c r="AT15" s="226">
        <f t="shared" si="4"/>
        <v>0</v>
      </c>
      <c r="AU15" s="226">
        <f t="shared" si="4"/>
        <v>4071</v>
      </c>
      <c r="AV15" s="226">
        <f t="shared" si="4"/>
        <v>1486</v>
      </c>
      <c r="AW15" s="226">
        <f t="shared" si="4"/>
        <v>0</v>
      </c>
      <c r="AX15" s="226">
        <f t="shared" si="4"/>
        <v>1213</v>
      </c>
      <c r="AY15" s="226">
        <f t="shared" si="4"/>
        <v>0</v>
      </c>
      <c r="AZ15" s="226">
        <f t="shared" si="4"/>
        <v>0</v>
      </c>
      <c r="BA15" s="226">
        <f t="shared" si="4"/>
        <v>0</v>
      </c>
      <c r="BB15" s="227">
        <f t="shared" si="1"/>
        <v>51967</v>
      </c>
      <c r="BC15" s="226">
        <f t="shared" si="2"/>
        <v>68900</v>
      </c>
    </row>
    <row r="16" spans="1:55" ht="21.75" customHeight="1">
      <c r="A16" s="224">
        <v>10</v>
      </c>
      <c r="B16" s="227" t="s">
        <v>840</v>
      </c>
      <c r="R16" s="227">
        <f t="shared" si="0"/>
        <v>0</v>
      </c>
      <c r="BB16" s="227">
        <f t="shared" si="1"/>
        <v>0</v>
      </c>
      <c r="BC16" s="226">
        <f t="shared" si="2"/>
        <v>0</v>
      </c>
    </row>
    <row r="17" spans="1:55" s="226" customFormat="1" ht="21.75" customHeight="1">
      <c r="A17" s="221">
        <v>11</v>
      </c>
      <c r="B17" s="226" t="s">
        <v>841</v>
      </c>
      <c r="C17" s="226">
        <f>SUM(C15:C16)</f>
        <v>0</v>
      </c>
      <c r="D17" s="229"/>
      <c r="R17" s="227">
        <f t="shared" si="0"/>
        <v>0</v>
      </c>
      <c r="S17" s="266">
        <f>SUM(S15:S16)</f>
        <v>16933</v>
      </c>
      <c r="T17" s="226">
        <f>SUM(T15:T16)</f>
        <v>0</v>
      </c>
      <c r="U17" s="226">
        <f aca="true" t="shared" si="5" ref="U17:AN17">SUM(U15:U16)</f>
        <v>4197</v>
      </c>
      <c r="V17" s="226">
        <f t="shared" si="5"/>
        <v>2920</v>
      </c>
      <c r="W17" s="226">
        <f t="shared" si="5"/>
        <v>0</v>
      </c>
      <c r="X17" s="226">
        <f t="shared" si="5"/>
        <v>6496</v>
      </c>
      <c r="Y17" s="226">
        <f t="shared" si="5"/>
        <v>0</v>
      </c>
      <c r="Z17" s="226">
        <f t="shared" si="5"/>
        <v>0</v>
      </c>
      <c r="AA17" s="226">
        <f t="shared" si="5"/>
        <v>0</v>
      </c>
      <c r="AB17" s="226">
        <f t="shared" si="5"/>
        <v>0</v>
      </c>
      <c r="AC17" s="226">
        <f t="shared" si="5"/>
        <v>0</v>
      </c>
      <c r="AD17" s="226">
        <f t="shared" si="5"/>
        <v>0</v>
      </c>
      <c r="AE17" s="226">
        <f t="shared" si="5"/>
        <v>4283</v>
      </c>
      <c r="AF17" s="226">
        <f t="shared" si="5"/>
        <v>9182</v>
      </c>
      <c r="AG17" s="226">
        <f t="shared" si="5"/>
        <v>10239</v>
      </c>
      <c r="AH17" s="226">
        <f t="shared" si="5"/>
        <v>0</v>
      </c>
      <c r="AI17" s="226">
        <f t="shared" si="5"/>
        <v>120</v>
      </c>
      <c r="AJ17" s="226">
        <f t="shared" si="5"/>
        <v>0</v>
      </c>
      <c r="AK17" s="226">
        <f t="shared" si="5"/>
        <v>2243</v>
      </c>
      <c r="AL17" s="226">
        <f t="shared" si="5"/>
        <v>2047</v>
      </c>
      <c r="AM17" s="226">
        <f t="shared" si="5"/>
        <v>0</v>
      </c>
      <c r="AN17" s="226">
        <f t="shared" si="5"/>
        <v>0</v>
      </c>
      <c r="AP17" s="226">
        <f>SUM(AP15:AP16)</f>
        <v>1934</v>
      </c>
      <c r="AQ17" s="226">
        <f aca="true" t="shared" si="6" ref="AQ17:BA17">SUM(AQ15:AQ16)</f>
        <v>0</v>
      </c>
      <c r="AR17" s="226">
        <f t="shared" si="6"/>
        <v>0</v>
      </c>
      <c r="AS17" s="226">
        <f t="shared" si="6"/>
        <v>1536</v>
      </c>
      <c r="AT17" s="226">
        <f t="shared" si="6"/>
        <v>0</v>
      </c>
      <c r="AU17" s="226">
        <f t="shared" si="6"/>
        <v>4071</v>
      </c>
      <c r="AV17" s="226">
        <f t="shared" si="6"/>
        <v>1486</v>
      </c>
      <c r="AW17" s="226">
        <f t="shared" si="6"/>
        <v>0</v>
      </c>
      <c r="AX17" s="226">
        <f t="shared" si="6"/>
        <v>1213</v>
      </c>
      <c r="AY17" s="226">
        <f t="shared" si="6"/>
        <v>0</v>
      </c>
      <c r="AZ17" s="226">
        <f t="shared" si="6"/>
        <v>0</v>
      </c>
      <c r="BA17" s="226">
        <f t="shared" si="6"/>
        <v>0</v>
      </c>
      <c r="BB17" s="227">
        <f t="shared" si="1"/>
        <v>51967</v>
      </c>
      <c r="BC17" s="226">
        <f t="shared" si="2"/>
        <v>68900</v>
      </c>
    </row>
    <row r="18" spans="1:55" ht="21.75" customHeight="1">
      <c r="A18" s="221">
        <v>12</v>
      </c>
      <c r="B18" s="227" t="s">
        <v>1321</v>
      </c>
      <c r="C18" s="227">
        <f>SUM(C17)</f>
        <v>0</v>
      </c>
      <c r="R18" s="227">
        <f t="shared" si="0"/>
        <v>0</v>
      </c>
      <c r="S18" s="265">
        <v>0</v>
      </c>
      <c r="X18" s="227">
        <v>0</v>
      </c>
      <c r="AE18" s="227">
        <f>'[3]községgazd'!$E$9</f>
        <v>0</v>
      </c>
      <c r="AS18" s="227">
        <v>0</v>
      </c>
      <c r="BB18" s="227">
        <f t="shared" si="1"/>
        <v>0</v>
      </c>
      <c r="BC18" s="226">
        <f t="shared" si="2"/>
        <v>0</v>
      </c>
    </row>
    <row r="19" spans="1:55" ht="33.75" customHeight="1">
      <c r="A19" s="221">
        <v>13</v>
      </c>
      <c r="B19" s="256" t="s">
        <v>1425</v>
      </c>
      <c r="R19" s="227">
        <f t="shared" si="0"/>
        <v>0</v>
      </c>
      <c r="U19" s="227">
        <v>340</v>
      </c>
      <c r="V19" s="227">
        <v>156</v>
      </c>
      <c r="X19" s="227">
        <v>285</v>
      </c>
      <c r="AE19" s="227">
        <v>347</v>
      </c>
      <c r="AF19" s="227">
        <v>347</v>
      </c>
      <c r="AG19" s="227">
        <v>399</v>
      </c>
      <c r="AK19" s="227">
        <v>140</v>
      </c>
      <c r="AL19" s="227">
        <v>170</v>
      </c>
      <c r="AP19" s="227">
        <v>10</v>
      </c>
      <c r="AS19" s="227">
        <v>67</v>
      </c>
      <c r="AX19" s="227">
        <v>144</v>
      </c>
      <c r="BB19" s="227">
        <f t="shared" si="1"/>
        <v>2405</v>
      </c>
      <c r="BC19" s="226">
        <f t="shared" si="2"/>
        <v>2405</v>
      </c>
    </row>
    <row r="20" spans="1:55" s="226" customFormat="1" ht="21.75" customHeight="1">
      <c r="A20" s="224">
        <v>14</v>
      </c>
      <c r="B20" s="226" t="s">
        <v>842</v>
      </c>
      <c r="C20" s="226">
        <f>SUM(C18:C19)</f>
        <v>0</v>
      </c>
      <c r="D20" s="229"/>
      <c r="R20" s="227">
        <f t="shared" si="0"/>
        <v>0</v>
      </c>
      <c r="S20" s="266">
        <f>SUM(S18:S19)</f>
        <v>0</v>
      </c>
      <c r="T20" s="226">
        <f>SUM(T18:T19)</f>
        <v>0</v>
      </c>
      <c r="U20" s="226">
        <f aca="true" t="shared" si="7" ref="U20:AN20">SUM(U18:U19)</f>
        <v>340</v>
      </c>
      <c r="V20" s="226">
        <f t="shared" si="7"/>
        <v>156</v>
      </c>
      <c r="W20" s="226">
        <f t="shared" si="7"/>
        <v>0</v>
      </c>
      <c r="X20" s="226">
        <f t="shared" si="7"/>
        <v>285</v>
      </c>
      <c r="Y20" s="226">
        <f t="shared" si="7"/>
        <v>0</v>
      </c>
      <c r="Z20" s="226">
        <f t="shared" si="7"/>
        <v>0</v>
      </c>
      <c r="AA20" s="226">
        <f t="shared" si="7"/>
        <v>0</v>
      </c>
      <c r="AB20" s="226">
        <f t="shared" si="7"/>
        <v>0</v>
      </c>
      <c r="AC20" s="226">
        <f t="shared" si="7"/>
        <v>0</v>
      </c>
      <c r="AD20" s="226">
        <f t="shared" si="7"/>
        <v>0</v>
      </c>
      <c r="AE20" s="226">
        <f t="shared" si="7"/>
        <v>347</v>
      </c>
      <c r="AF20" s="226">
        <f t="shared" si="7"/>
        <v>347</v>
      </c>
      <c r="AG20" s="226">
        <f t="shared" si="7"/>
        <v>399</v>
      </c>
      <c r="AH20" s="226">
        <f t="shared" si="7"/>
        <v>0</v>
      </c>
      <c r="AI20" s="226">
        <f t="shared" si="7"/>
        <v>0</v>
      </c>
      <c r="AJ20" s="226">
        <f t="shared" si="7"/>
        <v>0</v>
      </c>
      <c r="AK20" s="226">
        <f t="shared" si="7"/>
        <v>140</v>
      </c>
      <c r="AL20" s="226">
        <f t="shared" si="7"/>
        <v>170</v>
      </c>
      <c r="AM20" s="226">
        <f t="shared" si="7"/>
        <v>0</v>
      </c>
      <c r="AN20" s="226">
        <f t="shared" si="7"/>
        <v>0</v>
      </c>
      <c r="AP20" s="226">
        <f>SUM(AP18:AP19)</f>
        <v>10</v>
      </c>
      <c r="AQ20" s="226">
        <f aca="true" t="shared" si="8" ref="AQ20:BA20">SUM(AQ18:AQ19)</f>
        <v>0</v>
      </c>
      <c r="AR20" s="226">
        <f t="shared" si="8"/>
        <v>0</v>
      </c>
      <c r="AS20" s="226">
        <f t="shared" si="8"/>
        <v>67</v>
      </c>
      <c r="AT20" s="226">
        <f t="shared" si="8"/>
        <v>0</v>
      </c>
      <c r="AU20" s="226">
        <f t="shared" si="8"/>
        <v>0</v>
      </c>
      <c r="AV20" s="226">
        <f t="shared" si="8"/>
        <v>0</v>
      </c>
      <c r="AW20" s="226">
        <f t="shared" si="8"/>
        <v>0</v>
      </c>
      <c r="AX20" s="226">
        <f t="shared" si="8"/>
        <v>144</v>
      </c>
      <c r="AY20" s="226">
        <f t="shared" si="8"/>
        <v>0</v>
      </c>
      <c r="AZ20" s="226">
        <f t="shared" si="8"/>
        <v>0</v>
      </c>
      <c r="BA20" s="226">
        <f t="shared" si="8"/>
        <v>0</v>
      </c>
      <c r="BB20" s="227">
        <f t="shared" si="1"/>
        <v>2405</v>
      </c>
      <c r="BC20" s="226">
        <f t="shared" si="2"/>
        <v>2405</v>
      </c>
    </row>
    <row r="21" spans="1:55" ht="21.75" customHeight="1">
      <c r="A21" s="221">
        <v>15</v>
      </c>
      <c r="B21" s="227" t="s">
        <v>1322</v>
      </c>
      <c r="R21" s="227">
        <f t="shared" si="0"/>
        <v>0</v>
      </c>
      <c r="AD21" s="227">
        <v>0</v>
      </c>
      <c r="BB21" s="227">
        <f t="shared" si="1"/>
        <v>0</v>
      </c>
      <c r="BC21" s="226">
        <f t="shared" si="2"/>
        <v>0</v>
      </c>
    </row>
    <row r="22" spans="1:55" s="226" customFormat="1" ht="21.75" customHeight="1">
      <c r="A22" s="221">
        <v>16</v>
      </c>
      <c r="B22" s="226" t="s">
        <v>842</v>
      </c>
      <c r="C22" s="226">
        <f>SUM(C20:C21)</f>
        <v>0</v>
      </c>
      <c r="D22" s="229"/>
      <c r="R22" s="227">
        <f t="shared" si="0"/>
        <v>0</v>
      </c>
      <c r="S22" s="266">
        <f>SUM(S20:S21)</f>
        <v>0</v>
      </c>
      <c r="T22" s="226">
        <f>SUM(T20:T21)</f>
        <v>0</v>
      </c>
      <c r="U22" s="226">
        <f aca="true" t="shared" si="9" ref="U22:AN22">SUM(U20:U21)</f>
        <v>340</v>
      </c>
      <c r="V22" s="226">
        <f t="shared" si="9"/>
        <v>156</v>
      </c>
      <c r="W22" s="226">
        <f t="shared" si="9"/>
        <v>0</v>
      </c>
      <c r="X22" s="226">
        <f t="shared" si="9"/>
        <v>285</v>
      </c>
      <c r="Y22" s="226">
        <f t="shared" si="9"/>
        <v>0</v>
      </c>
      <c r="Z22" s="226">
        <f t="shared" si="9"/>
        <v>0</v>
      </c>
      <c r="AA22" s="226">
        <f t="shared" si="9"/>
        <v>0</v>
      </c>
      <c r="AB22" s="226">
        <f t="shared" si="9"/>
        <v>0</v>
      </c>
      <c r="AC22" s="226">
        <f t="shared" si="9"/>
        <v>0</v>
      </c>
      <c r="AD22" s="226">
        <f t="shared" si="9"/>
        <v>0</v>
      </c>
      <c r="AE22" s="226">
        <f t="shared" si="9"/>
        <v>347</v>
      </c>
      <c r="AF22" s="226">
        <f t="shared" si="9"/>
        <v>347</v>
      </c>
      <c r="AG22" s="226">
        <f t="shared" si="9"/>
        <v>399</v>
      </c>
      <c r="AH22" s="226">
        <f t="shared" si="9"/>
        <v>0</v>
      </c>
      <c r="AI22" s="226">
        <f t="shared" si="9"/>
        <v>0</v>
      </c>
      <c r="AJ22" s="226">
        <f t="shared" si="9"/>
        <v>0</v>
      </c>
      <c r="AK22" s="226">
        <f t="shared" si="9"/>
        <v>140</v>
      </c>
      <c r="AL22" s="226">
        <f t="shared" si="9"/>
        <v>170</v>
      </c>
      <c r="AM22" s="226">
        <f t="shared" si="9"/>
        <v>0</v>
      </c>
      <c r="AN22" s="226">
        <f t="shared" si="9"/>
        <v>0</v>
      </c>
      <c r="AP22" s="226">
        <f>SUM(AP20:AP21)</f>
        <v>10</v>
      </c>
      <c r="AQ22" s="226">
        <f aca="true" t="shared" si="10" ref="AQ22:BA22">SUM(AQ20:AQ21)</f>
        <v>0</v>
      </c>
      <c r="AR22" s="226">
        <f t="shared" si="10"/>
        <v>0</v>
      </c>
      <c r="AS22" s="226">
        <f t="shared" si="10"/>
        <v>67</v>
      </c>
      <c r="AT22" s="226">
        <f t="shared" si="10"/>
        <v>0</v>
      </c>
      <c r="AU22" s="226">
        <f t="shared" si="10"/>
        <v>0</v>
      </c>
      <c r="AV22" s="226">
        <f t="shared" si="10"/>
        <v>0</v>
      </c>
      <c r="AW22" s="226">
        <f t="shared" si="10"/>
        <v>0</v>
      </c>
      <c r="AX22" s="226">
        <f t="shared" si="10"/>
        <v>144</v>
      </c>
      <c r="AY22" s="226">
        <f t="shared" si="10"/>
        <v>0</v>
      </c>
      <c r="AZ22" s="226">
        <f t="shared" si="10"/>
        <v>0</v>
      </c>
      <c r="BA22" s="226">
        <f t="shared" si="10"/>
        <v>0</v>
      </c>
      <c r="BB22" s="227">
        <f t="shared" si="1"/>
        <v>2405</v>
      </c>
      <c r="BC22" s="226">
        <f t="shared" si="2"/>
        <v>2405</v>
      </c>
    </row>
    <row r="23" spans="1:55" s="226" customFormat="1" ht="21.75" customHeight="1">
      <c r="A23" s="221">
        <v>17</v>
      </c>
      <c r="B23" s="226" t="s">
        <v>843</v>
      </c>
      <c r="D23" s="229"/>
      <c r="R23" s="227"/>
      <c r="S23" s="266">
        <v>766</v>
      </c>
      <c r="U23" s="226">
        <v>233</v>
      </c>
      <c r="V23" s="226">
        <f>20+124</f>
        <v>144</v>
      </c>
      <c r="X23" s="226">
        <v>330</v>
      </c>
      <c r="AE23" s="226">
        <v>286</v>
      </c>
      <c r="AF23" s="226">
        <v>494</v>
      </c>
      <c r="AG23" s="226">
        <v>684</v>
      </c>
      <c r="AK23" s="226">
        <v>86</v>
      </c>
      <c r="AL23" s="226">
        <f>83+45</f>
        <v>128</v>
      </c>
      <c r="AP23" s="226">
        <v>40</v>
      </c>
      <c r="AS23" s="226">
        <f>15+59</f>
        <v>74</v>
      </c>
      <c r="AX23" s="226">
        <f>15+51</f>
        <v>66</v>
      </c>
      <c r="BB23" s="227">
        <f t="shared" si="1"/>
        <v>2565</v>
      </c>
      <c r="BC23" s="226">
        <f t="shared" si="2"/>
        <v>3331</v>
      </c>
    </row>
    <row r="24" spans="1:55" ht="21.75" customHeight="1">
      <c r="A24" s="224">
        <v>18</v>
      </c>
      <c r="B24" s="227" t="s">
        <v>844</v>
      </c>
      <c r="R24" s="227">
        <f aca="true" t="shared" si="11" ref="R24:R55">SUM(C24:Q24)</f>
        <v>0</v>
      </c>
      <c r="S24" s="265">
        <v>1533</v>
      </c>
      <c r="AE24" s="227">
        <f>'[3]községgazd'!$C$10</f>
        <v>0</v>
      </c>
      <c r="AG24" s="227">
        <v>1934</v>
      </c>
      <c r="AP24" s="227">
        <v>491</v>
      </c>
      <c r="BB24" s="227">
        <f t="shared" si="1"/>
        <v>2425</v>
      </c>
      <c r="BC24" s="226">
        <f t="shared" si="2"/>
        <v>3958</v>
      </c>
    </row>
    <row r="25" spans="1:55" ht="21.75" customHeight="1">
      <c r="A25" s="221">
        <v>19</v>
      </c>
      <c r="B25" s="227" t="s">
        <v>1426</v>
      </c>
      <c r="R25" s="227">
        <f t="shared" si="11"/>
        <v>0</v>
      </c>
      <c r="AF25" s="227">
        <v>258</v>
      </c>
      <c r="BB25" s="227">
        <f t="shared" si="1"/>
        <v>258</v>
      </c>
      <c r="BC25" s="226">
        <f t="shared" si="2"/>
        <v>258</v>
      </c>
    </row>
    <row r="26" spans="1:55" ht="21.75" customHeight="1">
      <c r="A26" s="221">
        <v>20</v>
      </c>
      <c r="B26" s="227" t="s">
        <v>1323</v>
      </c>
      <c r="R26" s="227">
        <f t="shared" si="11"/>
        <v>0</v>
      </c>
      <c r="BB26" s="227">
        <f t="shared" si="1"/>
        <v>0</v>
      </c>
      <c r="BC26" s="226">
        <f t="shared" si="2"/>
        <v>0</v>
      </c>
    </row>
    <row r="27" spans="1:55" ht="21.75" customHeight="1">
      <c r="A27" s="221">
        <v>21</v>
      </c>
      <c r="B27" s="227" t="s">
        <v>1324</v>
      </c>
      <c r="R27" s="227">
        <f t="shared" si="11"/>
        <v>0</v>
      </c>
      <c r="V27" s="227">
        <v>64</v>
      </c>
      <c r="AG27" s="227">
        <v>82</v>
      </c>
      <c r="AK27" s="227">
        <v>33</v>
      </c>
      <c r="BB27" s="227">
        <f t="shared" si="1"/>
        <v>179</v>
      </c>
      <c r="BC27" s="226">
        <f t="shared" si="2"/>
        <v>179</v>
      </c>
    </row>
    <row r="28" spans="1:55" s="226" customFormat="1" ht="21.75" customHeight="1">
      <c r="A28" s="224">
        <v>22</v>
      </c>
      <c r="B28" s="226" t="s">
        <v>845</v>
      </c>
      <c r="C28" s="226">
        <f>SUM(C24:C27)</f>
        <v>0</v>
      </c>
      <c r="D28" s="229"/>
      <c r="R28" s="227">
        <f t="shared" si="11"/>
        <v>0</v>
      </c>
      <c r="S28" s="266">
        <f>SUM(S23:S27)</f>
        <v>2299</v>
      </c>
      <c r="T28" s="226">
        <f aca="true" t="shared" si="12" ref="T28:BB28">SUM(T23:T27)</f>
        <v>0</v>
      </c>
      <c r="U28" s="226">
        <f t="shared" si="12"/>
        <v>233</v>
      </c>
      <c r="V28" s="226">
        <f t="shared" si="12"/>
        <v>208</v>
      </c>
      <c r="W28" s="226">
        <f t="shared" si="12"/>
        <v>0</v>
      </c>
      <c r="X28" s="226">
        <f t="shared" si="12"/>
        <v>330</v>
      </c>
      <c r="Y28" s="226">
        <f t="shared" si="12"/>
        <v>0</v>
      </c>
      <c r="Z28" s="226">
        <f t="shared" si="12"/>
        <v>0</v>
      </c>
      <c r="AA28" s="226">
        <f t="shared" si="12"/>
        <v>0</v>
      </c>
      <c r="AB28" s="226">
        <f t="shared" si="12"/>
        <v>0</v>
      </c>
      <c r="AC28" s="226">
        <f t="shared" si="12"/>
        <v>0</v>
      </c>
      <c r="AD28" s="226">
        <f t="shared" si="12"/>
        <v>0</v>
      </c>
      <c r="AE28" s="226">
        <f t="shared" si="12"/>
        <v>286</v>
      </c>
      <c r="AF28" s="226">
        <f t="shared" si="12"/>
        <v>752</v>
      </c>
      <c r="AG28" s="226">
        <f t="shared" si="12"/>
        <v>2700</v>
      </c>
      <c r="AH28" s="226">
        <f t="shared" si="12"/>
        <v>0</v>
      </c>
      <c r="AI28" s="226">
        <f t="shared" si="12"/>
        <v>0</v>
      </c>
      <c r="AJ28" s="226">
        <f t="shared" si="12"/>
        <v>0</v>
      </c>
      <c r="AK28" s="226">
        <f t="shared" si="12"/>
        <v>119</v>
      </c>
      <c r="AL28" s="226">
        <f t="shared" si="12"/>
        <v>128</v>
      </c>
      <c r="AM28" s="226">
        <f t="shared" si="12"/>
        <v>0</v>
      </c>
      <c r="AN28" s="226">
        <f t="shared" si="12"/>
        <v>0</v>
      </c>
      <c r="AO28" s="226">
        <f t="shared" si="12"/>
        <v>0</v>
      </c>
      <c r="AP28" s="226">
        <f t="shared" si="12"/>
        <v>531</v>
      </c>
      <c r="AQ28" s="226">
        <f t="shared" si="12"/>
        <v>0</v>
      </c>
      <c r="AR28" s="226">
        <f t="shared" si="12"/>
        <v>0</v>
      </c>
      <c r="AS28" s="226">
        <f t="shared" si="12"/>
        <v>74</v>
      </c>
      <c r="AT28" s="226">
        <f t="shared" si="12"/>
        <v>0</v>
      </c>
      <c r="AU28" s="226">
        <f t="shared" si="12"/>
        <v>0</v>
      </c>
      <c r="AV28" s="226">
        <f t="shared" si="12"/>
        <v>0</v>
      </c>
      <c r="AW28" s="226">
        <f t="shared" si="12"/>
        <v>0</v>
      </c>
      <c r="AX28" s="226">
        <f t="shared" si="12"/>
        <v>66</v>
      </c>
      <c r="AY28" s="226">
        <f t="shared" si="12"/>
        <v>0</v>
      </c>
      <c r="AZ28" s="226">
        <f t="shared" si="12"/>
        <v>0</v>
      </c>
      <c r="BA28" s="226">
        <f t="shared" si="12"/>
        <v>0</v>
      </c>
      <c r="BB28" s="226">
        <f t="shared" si="12"/>
        <v>5427</v>
      </c>
      <c r="BC28" s="226">
        <f t="shared" si="2"/>
        <v>7726</v>
      </c>
    </row>
    <row r="29" spans="1:55" ht="21.75" customHeight="1">
      <c r="A29" s="221">
        <v>23</v>
      </c>
      <c r="B29" s="227" t="s">
        <v>846</v>
      </c>
      <c r="R29" s="227">
        <f t="shared" si="11"/>
        <v>0</v>
      </c>
      <c r="BB29" s="227">
        <f t="shared" si="1"/>
        <v>0</v>
      </c>
      <c r="BC29" s="226">
        <f t="shared" si="2"/>
        <v>0</v>
      </c>
    </row>
    <row r="30" spans="1:55" s="226" customFormat="1" ht="21.75" customHeight="1">
      <c r="A30" s="221">
        <v>24</v>
      </c>
      <c r="B30" s="226" t="s">
        <v>847</v>
      </c>
      <c r="C30" s="226">
        <f>SUM(C28:C29)</f>
        <v>0</v>
      </c>
      <c r="D30" s="229"/>
      <c r="R30" s="227">
        <f t="shared" si="11"/>
        <v>0</v>
      </c>
      <c r="S30" s="266">
        <f>SUM(S28:S29)</f>
        <v>2299</v>
      </c>
      <c r="T30" s="226">
        <f>SUM(T28:T29)</f>
        <v>0</v>
      </c>
      <c r="U30" s="226">
        <f aca="true" t="shared" si="13" ref="U30:AI30">SUM(U28:U29)</f>
        <v>233</v>
      </c>
      <c r="V30" s="226">
        <f t="shared" si="13"/>
        <v>208</v>
      </c>
      <c r="W30" s="226">
        <f t="shared" si="13"/>
        <v>0</v>
      </c>
      <c r="X30" s="226">
        <f t="shared" si="13"/>
        <v>330</v>
      </c>
      <c r="Y30" s="226">
        <f t="shared" si="13"/>
        <v>0</v>
      </c>
      <c r="Z30" s="226">
        <f t="shared" si="13"/>
        <v>0</v>
      </c>
      <c r="AA30" s="226">
        <f t="shared" si="13"/>
        <v>0</v>
      </c>
      <c r="AB30" s="226">
        <f t="shared" si="13"/>
        <v>0</v>
      </c>
      <c r="AC30" s="226">
        <f t="shared" si="13"/>
        <v>0</v>
      </c>
      <c r="AD30" s="226">
        <f t="shared" si="13"/>
        <v>0</v>
      </c>
      <c r="AE30" s="226">
        <f t="shared" si="13"/>
        <v>286</v>
      </c>
      <c r="AF30" s="226">
        <f t="shared" si="13"/>
        <v>752</v>
      </c>
      <c r="AG30" s="226">
        <f t="shared" si="13"/>
        <v>2700</v>
      </c>
      <c r="AH30" s="226">
        <f t="shared" si="13"/>
        <v>0</v>
      </c>
      <c r="AI30" s="226">
        <f t="shared" si="13"/>
        <v>0</v>
      </c>
      <c r="AJ30" s="226">
        <f>SUM(AJ28:AJ29)</f>
        <v>0</v>
      </c>
      <c r="AK30" s="226">
        <f>SUM(AK28:AK29)</f>
        <v>119</v>
      </c>
      <c r="AL30" s="226">
        <f>SUM(AL28:AL29)</f>
        <v>128</v>
      </c>
      <c r="AM30" s="226">
        <f>SUM(AM28:AM29)</f>
        <v>0</v>
      </c>
      <c r="AN30" s="226">
        <f>SUM(AN28:AN29)</f>
        <v>0</v>
      </c>
      <c r="AP30" s="226">
        <f>SUM(AP28:AP29)</f>
        <v>531</v>
      </c>
      <c r="AQ30" s="226">
        <f aca="true" t="shared" si="14" ref="AQ30:BA30">SUM(AQ28:AQ29)</f>
        <v>0</v>
      </c>
      <c r="AR30" s="226">
        <f t="shared" si="14"/>
        <v>0</v>
      </c>
      <c r="AS30" s="226">
        <f t="shared" si="14"/>
        <v>74</v>
      </c>
      <c r="AT30" s="226">
        <f t="shared" si="14"/>
        <v>0</v>
      </c>
      <c r="AU30" s="226">
        <f t="shared" si="14"/>
        <v>0</v>
      </c>
      <c r="AV30" s="226">
        <f t="shared" si="14"/>
        <v>0</v>
      </c>
      <c r="AW30" s="226">
        <f t="shared" si="14"/>
        <v>0</v>
      </c>
      <c r="AX30" s="226">
        <f t="shared" si="14"/>
        <v>66</v>
      </c>
      <c r="AY30" s="226">
        <f t="shared" si="14"/>
        <v>0</v>
      </c>
      <c r="AZ30" s="226">
        <f t="shared" si="14"/>
        <v>0</v>
      </c>
      <c r="BA30" s="226">
        <f t="shared" si="14"/>
        <v>0</v>
      </c>
      <c r="BB30" s="227">
        <f t="shared" si="1"/>
        <v>5427</v>
      </c>
      <c r="BC30" s="226">
        <f t="shared" si="2"/>
        <v>7726</v>
      </c>
    </row>
    <row r="31" spans="1:55" ht="21.75" customHeight="1">
      <c r="A31" s="221">
        <v>25</v>
      </c>
      <c r="B31" s="227" t="s">
        <v>848</v>
      </c>
      <c r="R31" s="227">
        <f t="shared" si="11"/>
        <v>0</v>
      </c>
      <c r="AF31" s="227">
        <f>'[3]kisegmg'!$C$12</f>
        <v>0</v>
      </c>
      <c r="BB31" s="227">
        <f t="shared" si="1"/>
        <v>0</v>
      </c>
      <c r="BC31" s="226">
        <f t="shared" si="2"/>
        <v>0</v>
      </c>
    </row>
    <row r="32" spans="1:55" ht="21.75" customHeight="1">
      <c r="A32" s="224">
        <v>26</v>
      </c>
      <c r="B32" s="227" t="s">
        <v>849</v>
      </c>
      <c r="R32" s="227">
        <f t="shared" si="11"/>
        <v>0</v>
      </c>
      <c r="S32" s="265">
        <v>51</v>
      </c>
      <c r="AG32" s="227">
        <v>100</v>
      </c>
      <c r="AK32" s="227">
        <v>26</v>
      </c>
      <c r="AL32" s="227">
        <v>37</v>
      </c>
      <c r="AP32" s="227">
        <v>128</v>
      </c>
      <c r="BB32" s="227">
        <f t="shared" si="1"/>
        <v>291</v>
      </c>
      <c r="BC32" s="226">
        <f t="shared" si="2"/>
        <v>342</v>
      </c>
    </row>
    <row r="33" spans="1:55" ht="21.75" customHeight="1">
      <c r="A33" s="221">
        <v>27</v>
      </c>
      <c r="B33" s="227" t="s">
        <v>850</v>
      </c>
      <c r="R33" s="227">
        <f t="shared" si="11"/>
        <v>0</v>
      </c>
      <c r="S33" s="265">
        <v>865</v>
      </c>
      <c r="U33" s="227">
        <v>270</v>
      </c>
      <c r="V33" s="227">
        <v>195</v>
      </c>
      <c r="X33" s="227">
        <v>475</v>
      </c>
      <c r="AE33" s="227">
        <v>250</v>
      </c>
      <c r="AF33" s="227">
        <v>500</v>
      </c>
      <c r="AG33" s="227">
        <v>689</v>
      </c>
      <c r="AK33" s="227">
        <v>200</v>
      </c>
      <c r="AL33" s="227">
        <v>55</v>
      </c>
      <c r="AP33" s="227">
        <v>120</v>
      </c>
      <c r="AS33" s="227">
        <v>130</v>
      </c>
      <c r="AX33" s="227">
        <v>60</v>
      </c>
      <c r="BB33" s="227">
        <f t="shared" si="1"/>
        <v>2944</v>
      </c>
      <c r="BC33" s="226">
        <f t="shared" si="2"/>
        <v>3809</v>
      </c>
    </row>
    <row r="34" spans="1:55" ht="21.75" customHeight="1">
      <c r="A34" s="221">
        <v>28</v>
      </c>
      <c r="B34" s="227" t="s">
        <v>1325</v>
      </c>
      <c r="R34" s="227">
        <f t="shared" si="11"/>
        <v>0</v>
      </c>
      <c r="BB34" s="227">
        <f t="shared" si="1"/>
        <v>0</v>
      </c>
      <c r="BC34" s="226">
        <f t="shared" si="2"/>
        <v>0</v>
      </c>
    </row>
    <row r="35" spans="1:55" ht="21.75" customHeight="1">
      <c r="A35" s="221">
        <v>29</v>
      </c>
      <c r="B35" s="227" t="s">
        <v>1326</v>
      </c>
      <c r="R35" s="227">
        <f t="shared" si="11"/>
        <v>0</v>
      </c>
      <c r="AF35" s="227">
        <f>'[3]kisegmg'!$C$14</f>
        <v>0</v>
      </c>
      <c r="AG35" s="227">
        <v>90</v>
      </c>
      <c r="BB35" s="227">
        <f t="shared" si="1"/>
        <v>90</v>
      </c>
      <c r="BC35" s="226">
        <f t="shared" si="2"/>
        <v>90</v>
      </c>
    </row>
    <row r="36" spans="1:55" s="226" customFormat="1" ht="21.75" customHeight="1">
      <c r="A36" s="224">
        <v>30</v>
      </c>
      <c r="B36" s="226" t="s">
        <v>851</v>
      </c>
      <c r="C36" s="226">
        <f>SUM(C31:C35)</f>
        <v>0</v>
      </c>
      <c r="D36" s="229"/>
      <c r="R36" s="227">
        <f t="shared" si="11"/>
        <v>0</v>
      </c>
      <c r="S36" s="266">
        <f aca="true" t="shared" si="15" ref="S36:AK36">SUM(S31:S35)</f>
        <v>916</v>
      </c>
      <c r="T36" s="226">
        <f t="shared" si="15"/>
        <v>0</v>
      </c>
      <c r="U36" s="226">
        <f t="shared" si="15"/>
        <v>270</v>
      </c>
      <c r="V36" s="226">
        <f t="shared" si="15"/>
        <v>195</v>
      </c>
      <c r="W36" s="226">
        <f t="shared" si="15"/>
        <v>0</v>
      </c>
      <c r="X36" s="226">
        <f t="shared" si="15"/>
        <v>475</v>
      </c>
      <c r="Y36" s="226">
        <f t="shared" si="15"/>
        <v>0</v>
      </c>
      <c r="Z36" s="226">
        <f t="shared" si="15"/>
        <v>0</v>
      </c>
      <c r="AA36" s="226">
        <f t="shared" si="15"/>
        <v>0</v>
      </c>
      <c r="AB36" s="226">
        <f t="shared" si="15"/>
        <v>0</v>
      </c>
      <c r="AC36" s="226">
        <f t="shared" si="15"/>
        <v>0</v>
      </c>
      <c r="AD36" s="226">
        <f t="shared" si="15"/>
        <v>0</v>
      </c>
      <c r="AE36" s="226">
        <f t="shared" si="15"/>
        <v>250</v>
      </c>
      <c r="AF36" s="226">
        <f t="shared" si="15"/>
        <v>500</v>
      </c>
      <c r="AG36" s="226">
        <f t="shared" si="15"/>
        <v>879</v>
      </c>
      <c r="AH36" s="226">
        <f t="shared" si="15"/>
        <v>0</v>
      </c>
      <c r="AI36" s="226">
        <f t="shared" si="15"/>
        <v>0</v>
      </c>
      <c r="AJ36" s="226">
        <f t="shared" si="15"/>
        <v>0</v>
      </c>
      <c r="AK36" s="226">
        <f t="shared" si="15"/>
        <v>226</v>
      </c>
      <c r="AL36" s="226">
        <f>SUM(AL31:AL35)</f>
        <v>92</v>
      </c>
      <c r="AM36" s="226">
        <f>SUM(AM31:AM35)</f>
        <v>0</v>
      </c>
      <c r="AN36" s="226">
        <f>SUM(AN31:AN35)</f>
        <v>0</v>
      </c>
      <c r="AP36" s="226">
        <f>SUM(AP31:AP35)</f>
        <v>248</v>
      </c>
      <c r="AQ36" s="226">
        <f aca="true" t="shared" si="16" ref="AQ36:BA36">SUM(AQ31:AQ35)</f>
        <v>0</v>
      </c>
      <c r="AR36" s="226">
        <f t="shared" si="16"/>
        <v>0</v>
      </c>
      <c r="AS36" s="226">
        <f t="shared" si="16"/>
        <v>130</v>
      </c>
      <c r="AT36" s="226">
        <f t="shared" si="16"/>
        <v>0</v>
      </c>
      <c r="AU36" s="226">
        <f t="shared" si="16"/>
        <v>0</v>
      </c>
      <c r="AV36" s="226">
        <f t="shared" si="16"/>
        <v>0</v>
      </c>
      <c r="AW36" s="226">
        <f t="shared" si="16"/>
        <v>0</v>
      </c>
      <c r="AX36" s="226">
        <f t="shared" si="16"/>
        <v>60</v>
      </c>
      <c r="AY36" s="226">
        <f t="shared" si="16"/>
        <v>0</v>
      </c>
      <c r="AZ36" s="226">
        <f t="shared" si="16"/>
        <v>0</v>
      </c>
      <c r="BA36" s="226">
        <f t="shared" si="16"/>
        <v>0</v>
      </c>
      <c r="BB36" s="227">
        <f t="shared" si="1"/>
        <v>3325</v>
      </c>
      <c r="BC36" s="226">
        <f t="shared" si="2"/>
        <v>4241</v>
      </c>
    </row>
    <row r="37" spans="1:55" ht="21.75" customHeight="1">
      <c r="A37" s="221">
        <v>31</v>
      </c>
      <c r="B37" s="227" t="s">
        <v>852</v>
      </c>
      <c r="R37" s="227">
        <f t="shared" si="11"/>
        <v>0</v>
      </c>
      <c r="BB37" s="227">
        <f t="shared" si="1"/>
        <v>0</v>
      </c>
      <c r="BC37" s="226">
        <f t="shared" si="2"/>
        <v>0</v>
      </c>
    </row>
    <row r="38" spans="1:55" s="226" customFormat="1" ht="21.75" customHeight="1">
      <c r="A38" s="221">
        <v>32</v>
      </c>
      <c r="B38" s="226" t="s">
        <v>853</v>
      </c>
      <c r="C38" s="226">
        <f>SUM(C36:C37)</f>
        <v>0</v>
      </c>
      <c r="D38" s="229"/>
      <c r="R38" s="227">
        <f t="shared" si="11"/>
        <v>0</v>
      </c>
      <c r="S38" s="266">
        <f>SUM(S36,S37)</f>
        <v>916</v>
      </c>
      <c r="T38" s="226">
        <f>SUM(T36,T37)</f>
        <v>0</v>
      </c>
      <c r="U38" s="226">
        <f aca="true" t="shared" si="17" ref="U38:AK38">SUM(U36,U37)</f>
        <v>270</v>
      </c>
      <c r="V38" s="226">
        <f t="shared" si="17"/>
        <v>195</v>
      </c>
      <c r="W38" s="226">
        <f t="shared" si="17"/>
        <v>0</v>
      </c>
      <c r="X38" s="226">
        <f t="shared" si="17"/>
        <v>475</v>
      </c>
      <c r="Y38" s="226">
        <f t="shared" si="17"/>
        <v>0</v>
      </c>
      <c r="Z38" s="226">
        <f t="shared" si="17"/>
        <v>0</v>
      </c>
      <c r="AA38" s="226">
        <f t="shared" si="17"/>
        <v>0</v>
      </c>
      <c r="AB38" s="226">
        <f t="shared" si="17"/>
        <v>0</v>
      </c>
      <c r="AC38" s="226">
        <f t="shared" si="17"/>
        <v>0</v>
      </c>
      <c r="AD38" s="226">
        <f t="shared" si="17"/>
        <v>0</v>
      </c>
      <c r="AE38" s="226">
        <f t="shared" si="17"/>
        <v>250</v>
      </c>
      <c r="AF38" s="226">
        <f t="shared" si="17"/>
        <v>500</v>
      </c>
      <c r="AG38" s="226">
        <f t="shared" si="17"/>
        <v>879</v>
      </c>
      <c r="AH38" s="226">
        <f t="shared" si="17"/>
        <v>0</v>
      </c>
      <c r="AI38" s="226">
        <f t="shared" si="17"/>
        <v>0</v>
      </c>
      <c r="AJ38" s="226">
        <f t="shared" si="17"/>
        <v>0</v>
      </c>
      <c r="AK38" s="226">
        <f t="shared" si="17"/>
        <v>226</v>
      </c>
      <c r="AL38" s="226">
        <f>SUM(AL36,AL37)</f>
        <v>92</v>
      </c>
      <c r="AM38" s="226">
        <f>SUM(AM36,AM37)</f>
        <v>0</v>
      </c>
      <c r="AN38" s="226">
        <f>SUM(AN36,AN37)</f>
        <v>0</v>
      </c>
      <c r="AP38" s="226">
        <f>SUM(AP36,AP37)</f>
        <v>248</v>
      </c>
      <c r="AQ38" s="226">
        <f aca="true" t="shared" si="18" ref="AQ38:BA38">SUM(AQ36,AQ37)</f>
        <v>0</v>
      </c>
      <c r="AR38" s="226">
        <f t="shared" si="18"/>
        <v>0</v>
      </c>
      <c r="AS38" s="226">
        <f t="shared" si="18"/>
        <v>130</v>
      </c>
      <c r="AT38" s="226">
        <f t="shared" si="18"/>
        <v>0</v>
      </c>
      <c r="AU38" s="226">
        <f t="shared" si="18"/>
        <v>0</v>
      </c>
      <c r="AV38" s="226">
        <f t="shared" si="18"/>
        <v>0</v>
      </c>
      <c r="AW38" s="226">
        <f t="shared" si="18"/>
        <v>0</v>
      </c>
      <c r="AX38" s="226">
        <f t="shared" si="18"/>
        <v>60</v>
      </c>
      <c r="AY38" s="226">
        <f t="shared" si="18"/>
        <v>0</v>
      </c>
      <c r="AZ38" s="226">
        <f t="shared" si="18"/>
        <v>0</v>
      </c>
      <c r="BA38" s="226">
        <f t="shared" si="18"/>
        <v>0</v>
      </c>
      <c r="BB38" s="227">
        <f t="shared" si="1"/>
        <v>3325</v>
      </c>
      <c r="BC38" s="226">
        <f t="shared" si="2"/>
        <v>4241</v>
      </c>
    </row>
    <row r="39" spans="1:55" ht="21.75" customHeight="1">
      <c r="A39" s="221">
        <v>33</v>
      </c>
      <c r="B39" s="227" t="s">
        <v>854</v>
      </c>
      <c r="R39" s="227">
        <f t="shared" si="11"/>
        <v>0</v>
      </c>
      <c r="BB39" s="227">
        <f t="shared" si="1"/>
        <v>0</v>
      </c>
      <c r="BC39" s="226">
        <f t="shared" si="2"/>
        <v>0</v>
      </c>
    </row>
    <row r="40" spans="1:55" ht="21.75" customHeight="1">
      <c r="A40" s="224">
        <v>34</v>
      </c>
      <c r="B40" s="227" t="s">
        <v>855</v>
      </c>
      <c r="R40" s="227">
        <f t="shared" si="11"/>
        <v>0</v>
      </c>
      <c r="BB40" s="227">
        <f t="shared" si="1"/>
        <v>0</v>
      </c>
      <c r="BC40" s="226">
        <f t="shared" si="2"/>
        <v>0</v>
      </c>
    </row>
    <row r="41" spans="1:55" s="226" customFormat="1" ht="21.75" customHeight="1">
      <c r="A41" s="221">
        <v>35</v>
      </c>
      <c r="B41" s="226" t="s">
        <v>856</v>
      </c>
      <c r="C41" s="226">
        <f>SUM(C39:C40)</f>
        <v>0</v>
      </c>
      <c r="D41" s="229"/>
      <c r="R41" s="227">
        <f t="shared" si="11"/>
        <v>0</v>
      </c>
      <c r="S41" s="266"/>
      <c r="T41" s="226">
        <f>SUM(T39:T40)</f>
        <v>0</v>
      </c>
      <c r="U41" s="226">
        <f aca="true" t="shared" si="19" ref="U41:AK41">SUM(U39:U40)</f>
        <v>0</v>
      </c>
      <c r="V41" s="226">
        <f t="shared" si="19"/>
        <v>0</v>
      </c>
      <c r="W41" s="226">
        <f t="shared" si="19"/>
        <v>0</v>
      </c>
      <c r="X41" s="226">
        <f t="shared" si="19"/>
        <v>0</v>
      </c>
      <c r="Y41" s="226">
        <f t="shared" si="19"/>
        <v>0</v>
      </c>
      <c r="Z41" s="226">
        <f t="shared" si="19"/>
        <v>0</v>
      </c>
      <c r="AA41" s="226">
        <f t="shared" si="19"/>
        <v>0</v>
      </c>
      <c r="AB41" s="226">
        <f t="shared" si="19"/>
        <v>0</v>
      </c>
      <c r="AC41" s="226">
        <f t="shared" si="19"/>
        <v>0</v>
      </c>
      <c r="AD41" s="226">
        <f t="shared" si="19"/>
        <v>0</v>
      </c>
      <c r="AE41" s="226">
        <f t="shared" si="19"/>
        <v>0</v>
      </c>
      <c r="AF41" s="226">
        <f t="shared" si="19"/>
        <v>0</v>
      </c>
      <c r="AG41" s="226">
        <f t="shared" si="19"/>
        <v>0</v>
      </c>
      <c r="AH41" s="226">
        <f t="shared" si="19"/>
        <v>0</v>
      </c>
      <c r="AI41" s="226">
        <f t="shared" si="19"/>
        <v>0</v>
      </c>
      <c r="AJ41" s="226">
        <f t="shared" si="19"/>
        <v>0</v>
      </c>
      <c r="AK41" s="226">
        <f t="shared" si="19"/>
        <v>0</v>
      </c>
      <c r="AL41" s="226">
        <f>SUM(AL39:AL40)</f>
        <v>0</v>
      </c>
      <c r="AM41" s="226">
        <f>SUM(AM39:AM40)</f>
        <v>0</v>
      </c>
      <c r="AN41" s="226">
        <f>SUM(AN39:AN40)</f>
        <v>0</v>
      </c>
      <c r="AP41" s="226">
        <f>SUM(AP39:AP40)</f>
        <v>0</v>
      </c>
      <c r="AQ41" s="226">
        <f aca="true" t="shared" si="20" ref="AQ41:BA41">SUM(AQ39:AQ40)</f>
        <v>0</v>
      </c>
      <c r="AR41" s="226">
        <f t="shared" si="20"/>
        <v>0</v>
      </c>
      <c r="AS41" s="226">
        <f t="shared" si="20"/>
        <v>0</v>
      </c>
      <c r="AT41" s="226">
        <f t="shared" si="20"/>
        <v>0</v>
      </c>
      <c r="AU41" s="226">
        <f t="shared" si="20"/>
        <v>0</v>
      </c>
      <c r="AV41" s="226">
        <f t="shared" si="20"/>
        <v>0</v>
      </c>
      <c r="AW41" s="226">
        <f t="shared" si="20"/>
        <v>0</v>
      </c>
      <c r="AX41" s="226">
        <f t="shared" si="20"/>
        <v>0</v>
      </c>
      <c r="AY41" s="226">
        <f t="shared" si="20"/>
        <v>0</v>
      </c>
      <c r="AZ41" s="226">
        <f t="shared" si="20"/>
        <v>0</v>
      </c>
      <c r="BA41" s="226">
        <f t="shared" si="20"/>
        <v>0</v>
      </c>
      <c r="BB41" s="227">
        <f t="shared" si="1"/>
        <v>0</v>
      </c>
      <c r="BC41" s="226">
        <f t="shared" si="2"/>
        <v>0</v>
      </c>
    </row>
    <row r="42" spans="1:55" ht="21.75" customHeight="1">
      <c r="A42" s="221">
        <v>36</v>
      </c>
      <c r="B42" s="227" t="s">
        <v>1701</v>
      </c>
      <c r="R42" s="227">
        <f t="shared" si="11"/>
        <v>0</v>
      </c>
      <c r="S42" s="265">
        <v>263</v>
      </c>
      <c r="BB42" s="227">
        <f t="shared" si="1"/>
        <v>0</v>
      </c>
      <c r="BC42" s="226">
        <f t="shared" si="2"/>
        <v>263</v>
      </c>
    </row>
    <row r="43" spans="1:55" ht="21.75" customHeight="1">
      <c r="A43" s="221">
        <v>37</v>
      </c>
      <c r="B43" s="227" t="s">
        <v>857</v>
      </c>
      <c r="R43" s="227">
        <f t="shared" si="11"/>
        <v>0</v>
      </c>
      <c r="BB43" s="227">
        <f t="shared" si="1"/>
        <v>0</v>
      </c>
      <c r="BC43" s="226">
        <f t="shared" si="2"/>
        <v>0</v>
      </c>
    </row>
    <row r="44" spans="1:55" ht="21.75" customHeight="1">
      <c r="A44" s="224">
        <v>38</v>
      </c>
      <c r="B44" s="227" t="s">
        <v>1327</v>
      </c>
      <c r="C44" s="227">
        <f>SUM(C42:C43)</f>
        <v>0</v>
      </c>
      <c r="R44" s="227">
        <f t="shared" si="11"/>
        <v>0</v>
      </c>
      <c r="S44" s="266">
        <f aca="true" t="shared" si="21" ref="S44:AN44">SUM(S42:S43)</f>
        <v>263</v>
      </c>
      <c r="T44" s="226">
        <f t="shared" si="21"/>
        <v>0</v>
      </c>
      <c r="U44" s="226">
        <f t="shared" si="21"/>
        <v>0</v>
      </c>
      <c r="V44" s="226">
        <f t="shared" si="21"/>
        <v>0</v>
      </c>
      <c r="W44" s="226">
        <f t="shared" si="21"/>
        <v>0</v>
      </c>
      <c r="X44" s="226">
        <f t="shared" si="21"/>
        <v>0</v>
      </c>
      <c r="Y44" s="226">
        <f t="shared" si="21"/>
        <v>0</v>
      </c>
      <c r="Z44" s="226">
        <f t="shared" si="21"/>
        <v>0</v>
      </c>
      <c r="AA44" s="226">
        <f t="shared" si="21"/>
        <v>0</v>
      </c>
      <c r="AB44" s="226">
        <f t="shared" si="21"/>
        <v>0</v>
      </c>
      <c r="AC44" s="226">
        <f t="shared" si="21"/>
        <v>0</v>
      </c>
      <c r="AD44" s="226">
        <f t="shared" si="21"/>
        <v>0</v>
      </c>
      <c r="AE44" s="226">
        <f t="shared" si="21"/>
        <v>0</v>
      </c>
      <c r="AF44" s="226">
        <f t="shared" si="21"/>
        <v>0</v>
      </c>
      <c r="AG44" s="226">
        <f t="shared" si="21"/>
        <v>0</v>
      </c>
      <c r="AH44" s="226">
        <f t="shared" si="21"/>
        <v>0</v>
      </c>
      <c r="AI44" s="226">
        <f t="shared" si="21"/>
        <v>0</v>
      </c>
      <c r="AJ44" s="226">
        <f t="shared" si="21"/>
        <v>0</v>
      </c>
      <c r="AK44" s="226">
        <f t="shared" si="21"/>
        <v>0</v>
      </c>
      <c r="AL44" s="226">
        <f t="shared" si="21"/>
        <v>0</v>
      </c>
      <c r="AM44" s="226">
        <f t="shared" si="21"/>
        <v>0</v>
      </c>
      <c r="AN44" s="226">
        <f t="shared" si="21"/>
        <v>0</v>
      </c>
      <c r="AO44" s="226"/>
      <c r="AP44" s="226">
        <f>SUM(AP42:AP43)</f>
        <v>0</v>
      </c>
      <c r="AQ44" s="226">
        <f aca="true" t="shared" si="22" ref="AQ44:BA44">SUM(AQ42:AQ43)</f>
        <v>0</v>
      </c>
      <c r="AR44" s="226">
        <f t="shared" si="22"/>
        <v>0</v>
      </c>
      <c r="AS44" s="226">
        <f t="shared" si="22"/>
        <v>0</v>
      </c>
      <c r="AT44" s="226">
        <f t="shared" si="22"/>
        <v>0</v>
      </c>
      <c r="AU44" s="226">
        <f t="shared" si="22"/>
        <v>0</v>
      </c>
      <c r="AV44" s="226">
        <f t="shared" si="22"/>
        <v>0</v>
      </c>
      <c r="AW44" s="226">
        <f t="shared" si="22"/>
        <v>0</v>
      </c>
      <c r="AX44" s="226">
        <f t="shared" si="22"/>
        <v>0</v>
      </c>
      <c r="AY44" s="226">
        <f t="shared" si="22"/>
        <v>0</v>
      </c>
      <c r="AZ44" s="226">
        <f t="shared" si="22"/>
        <v>0</v>
      </c>
      <c r="BA44" s="226">
        <f t="shared" si="22"/>
        <v>0</v>
      </c>
      <c r="BB44" s="227">
        <f t="shared" si="1"/>
        <v>0</v>
      </c>
      <c r="BC44" s="226">
        <f t="shared" si="2"/>
        <v>263</v>
      </c>
    </row>
    <row r="45" spans="1:55" s="226" customFormat="1" ht="21.75" customHeight="1">
      <c r="A45" s="221">
        <v>39</v>
      </c>
      <c r="B45" s="226" t="s">
        <v>858</v>
      </c>
      <c r="C45" s="226">
        <f>C44+C41+C38+C30+C22</f>
        <v>0</v>
      </c>
      <c r="D45" s="229"/>
      <c r="R45" s="227">
        <f t="shared" si="11"/>
        <v>0</v>
      </c>
      <c r="S45" s="266">
        <f>SUM(S44,S41,S38,S30,S22)</f>
        <v>3478</v>
      </c>
      <c r="T45" s="226">
        <f>SUM(T44,T41,T38,T30,T22)</f>
        <v>0</v>
      </c>
      <c r="U45" s="226">
        <f aca="true" t="shared" si="23" ref="U45:AJ45">SUM(U44,U41,U38,U30,U22)</f>
        <v>843</v>
      </c>
      <c r="V45" s="226">
        <f t="shared" si="23"/>
        <v>559</v>
      </c>
      <c r="W45" s="226">
        <f t="shared" si="23"/>
        <v>0</v>
      </c>
      <c r="X45" s="226">
        <f t="shared" si="23"/>
        <v>1090</v>
      </c>
      <c r="Y45" s="226">
        <f t="shared" si="23"/>
        <v>0</v>
      </c>
      <c r="Z45" s="226">
        <f t="shared" si="23"/>
        <v>0</v>
      </c>
      <c r="AA45" s="226">
        <f t="shared" si="23"/>
        <v>0</v>
      </c>
      <c r="AB45" s="226">
        <f t="shared" si="23"/>
        <v>0</v>
      </c>
      <c r="AC45" s="226">
        <f t="shared" si="23"/>
        <v>0</v>
      </c>
      <c r="AD45" s="226">
        <f t="shared" si="23"/>
        <v>0</v>
      </c>
      <c r="AE45" s="226">
        <f t="shared" si="23"/>
        <v>883</v>
      </c>
      <c r="AF45" s="226">
        <f t="shared" si="23"/>
        <v>1599</v>
      </c>
      <c r="AG45" s="226">
        <f t="shared" si="23"/>
        <v>3978</v>
      </c>
      <c r="AH45" s="226">
        <f t="shared" si="23"/>
        <v>0</v>
      </c>
      <c r="AI45" s="226">
        <f t="shared" si="23"/>
        <v>0</v>
      </c>
      <c r="AJ45" s="226">
        <f t="shared" si="23"/>
        <v>0</v>
      </c>
      <c r="AK45" s="226">
        <f>SUM(AK44,AK41,AK38,AK30,AK22)</f>
        <v>485</v>
      </c>
      <c r="AL45" s="226">
        <f>SUM(AL44,AL41,AL38,AL30,AL22)</f>
        <v>390</v>
      </c>
      <c r="AM45" s="226">
        <f>SUM(AM44,AM41,AM38,AM30,AM22)</f>
        <v>0</v>
      </c>
      <c r="AN45" s="226">
        <f>SUM(AN44,AN41,AN38,AN30,AN22)</f>
        <v>0</v>
      </c>
      <c r="AP45" s="226">
        <f>SUM(AP44,AP41,AP38,AP30,AP22)</f>
        <v>789</v>
      </c>
      <c r="AQ45" s="226">
        <f aca="true" t="shared" si="24" ref="AQ45:BA45">SUM(AQ44,AQ41,AQ38,AQ30,AQ22)</f>
        <v>0</v>
      </c>
      <c r="AR45" s="226">
        <f t="shared" si="24"/>
        <v>0</v>
      </c>
      <c r="AS45" s="226">
        <f t="shared" si="24"/>
        <v>271</v>
      </c>
      <c r="AT45" s="226">
        <f t="shared" si="24"/>
        <v>0</v>
      </c>
      <c r="AU45" s="226">
        <f t="shared" si="24"/>
        <v>0</v>
      </c>
      <c r="AV45" s="226">
        <f t="shared" si="24"/>
        <v>0</v>
      </c>
      <c r="AW45" s="226">
        <f t="shared" si="24"/>
        <v>0</v>
      </c>
      <c r="AX45" s="226">
        <f t="shared" si="24"/>
        <v>270</v>
      </c>
      <c r="AY45" s="226">
        <f t="shared" si="24"/>
        <v>0</v>
      </c>
      <c r="AZ45" s="226">
        <f t="shared" si="24"/>
        <v>0</v>
      </c>
      <c r="BA45" s="226">
        <f t="shared" si="24"/>
        <v>0</v>
      </c>
      <c r="BB45" s="227">
        <f t="shared" si="1"/>
        <v>11157</v>
      </c>
      <c r="BC45" s="226">
        <f t="shared" si="2"/>
        <v>14635</v>
      </c>
    </row>
    <row r="46" spans="1:55" ht="21.75" customHeight="1">
      <c r="A46" s="221">
        <v>40</v>
      </c>
      <c r="B46" s="227" t="s">
        <v>859</v>
      </c>
      <c r="C46" s="227">
        <v>0</v>
      </c>
      <c r="R46" s="227">
        <f t="shared" si="11"/>
        <v>0</v>
      </c>
      <c r="X46" s="227">
        <v>203</v>
      </c>
      <c r="AG46" s="227">
        <v>204</v>
      </c>
      <c r="AK46" s="227">
        <v>230</v>
      </c>
      <c r="AP46" s="227">
        <v>159</v>
      </c>
      <c r="AW46" s="227">
        <v>360</v>
      </c>
      <c r="AZ46" s="227">
        <f>250+58</f>
        <v>308</v>
      </c>
      <c r="BB46" s="227">
        <f t="shared" si="1"/>
        <v>1464</v>
      </c>
      <c r="BC46" s="226">
        <f t="shared" si="2"/>
        <v>1464</v>
      </c>
    </row>
    <row r="47" spans="1:55" ht="21.75" customHeight="1">
      <c r="A47" s="221">
        <v>41</v>
      </c>
      <c r="B47" s="227" t="s">
        <v>860</v>
      </c>
      <c r="R47" s="227">
        <f t="shared" si="11"/>
        <v>0</v>
      </c>
      <c r="X47" s="227">
        <v>155</v>
      </c>
      <c r="AC47" s="227">
        <f>'[5]750000'!G7</f>
        <v>0</v>
      </c>
      <c r="AG47" s="227">
        <v>0</v>
      </c>
      <c r="AL47" s="227">
        <v>217</v>
      </c>
      <c r="AP47" s="227">
        <v>0</v>
      </c>
      <c r="AW47" s="227">
        <v>0</v>
      </c>
      <c r="AX47" s="227">
        <v>0</v>
      </c>
      <c r="BA47" s="227">
        <v>62</v>
      </c>
      <c r="BB47" s="227">
        <f t="shared" si="1"/>
        <v>434</v>
      </c>
      <c r="BC47" s="226">
        <f t="shared" si="2"/>
        <v>434</v>
      </c>
    </row>
    <row r="48" spans="1:55" ht="21.75" customHeight="1">
      <c r="A48" s="224">
        <v>42</v>
      </c>
      <c r="B48" s="227" t="s">
        <v>1427</v>
      </c>
      <c r="R48" s="227">
        <f t="shared" si="11"/>
        <v>0</v>
      </c>
      <c r="AI48" s="227">
        <v>15</v>
      </c>
      <c r="BB48" s="227">
        <f t="shared" si="1"/>
        <v>15</v>
      </c>
      <c r="BC48" s="226">
        <f t="shared" si="2"/>
        <v>15</v>
      </c>
    </row>
    <row r="49" spans="1:55" ht="21.75" customHeight="1">
      <c r="A49" s="221">
        <v>43</v>
      </c>
      <c r="B49" s="227" t="s">
        <v>861</v>
      </c>
      <c r="C49" s="227">
        <f>'[4]841112'!$H$36</f>
        <v>2400</v>
      </c>
      <c r="R49" s="227">
        <f t="shared" si="11"/>
        <v>2400</v>
      </c>
      <c r="BB49" s="227">
        <f t="shared" si="1"/>
        <v>0</v>
      </c>
      <c r="BC49" s="226">
        <f t="shared" si="2"/>
        <v>2400</v>
      </c>
    </row>
    <row r="50" spans="1:55" ht="21.75" customHeight="1">
      <c r="A50" s="221">
        <v>44</v>
      </c>
      <c r="B50" s="227" t="s">
        <v>862</v>
      </c>
      <c r="C50" s="227">
        <v>2912</v>
      </c>
      <c r="R50" s="227">
        <f t="shared" si="11"/>
        <v>2912</v>
      </c>
      <c r="BB50" s="227">
        <f t="shared" si="1"/>
        <v>0</v>
      </c>
      <c r="BC50" s="226">
        <f t="shared" si="2"/>
        <v>2912</v>
      </c>
    </row>
    <row r="51" spans="1:55" s="230" customFormat="1" ht="21.75" customHeight="1">
      <c r="A51" s="221">
        <v>45</v>
      </c>
      <c r="B51" s="230" t="s">
        <v>863</v>
      </c>
      <c r="C51" s="226">
        <f>SUM(C46:C50)</f>
        <v>5312</v>
      </c>
      <c r="D51" s="231">
        <f aca="true" t="shared" si="25" ref="D51:Q51">SUM(D46:D50)</f>
        <v>0</v>
      </c>
      <c r="E51" s="226">
        <f t="shared" si="25"/>
        <v>0</v>
      </c>
      <c r="F51" s="230">
        <f t="shared" si="25"/>
        <v>0</v>
      </c>
      <c r="G51" s="230">
        <f t="shared" si="25"/>
        <v>0</v>
      </c>
      <c r="H51" s="230">
        <f t="shared" si="25"/>
        <v>0</v>
      </c>
      <c r="I51" s="230">
        <f t="shared" si="25"/>
        <v>0</v>
      </c>
      <c r="J51" s="230">
        <f t="shared" si="25"/>
        <v>0</v>
      </c>
      <c r="K51" s="230">
        <f t="shared" si="25"/>
        <v>0</v>
      </c>
      <c r="L51" s="230">
        <f t="shared" si="25"/>
        <v>0</v>
      </c>
      <c r="M51" s="230">
        <f t="shared" si="25"/>
        <v>0</v>
      </c>
      <c r="N51" s="230">
        <f t="shared" si="25"/>
        <v>0</v>
      </c>
      <c r="O51" s="230">
        <f t="shared" si="25"/>
        <v>0</v>
      </c>
      <c r="P51" s="230">
        <f t="shared" si="25"/>
        <v>0</v>
      </c>
      <c r="Q51" s="230">
        <f t="shared" si="25"/>
        <v>0</v>
      </c>
      <c r="R51" s="226">
        <f t="shared" si="11"/>
        <v>5312</v>
      </c>
      <c r="S51" s="266"/>
      <c r="T51" s="226"/>
      <c r="U51" s="226">
        <f aca="true" t="shared" si="26" ref="U51:AI51">SUM(U46:U50)</f>
        <v>0</v>
      </c>
      <c r="V51" s="226">
        <f t="shared" si="26"/>
        <v>0</v>
      </c>
      <c r="W51" s="226">
        <f t="shared" si="26"/>
        <v>0</v>
      </c>
      <c r="X51" s="226">
        <f t="shared" si="26"/>
        <v>358</v>
      </c>
      <c r="Y51" s="226">
        <f t="shared" si="26"/>
        <v>0</v>
      </c>
      <c r="Z51" s="226">
        <f t="shared" si="26"/>
        <v>0</v>
      </c>
      <c r="AA51" s="226">
        <f t="shared" si="26"/>
        <v>0</v>
      </c>
      <c r="AB51" s="226">
        <f t="shared" si="26"/>
        <v>0</v>
      </c>
      <c r="AC51" s="226">
        <f t="shared" si="26"/>
        <v>0</v>
      </c>
      <c r="AD51" s="226">
        <f t="shared" si="26"/>
        <v>0</v>
      </c>
      <c r="AE51" s="226">
        <f t="shared" si="26"/>
        <v>0</v>
      </c>
      <c r="AF51" s="226">
        <f t="shared" si="26"/>
        <v>0</v>
      </c>
      <c r="AG51" s="226">
        <f t="shared" si="26"/>
        <v>204</v>
      </c>
      <c r="AH51" s="226">
        <f t="shared" si="26"/>
        <v>0</v>
      </c>
      <c r="AI51" s="226">
        <f t="shared" si="26"/>
        <v>15</v>
      </c>
      <c r="AJ51" s="226">
        <f>SUM(AJ46:AJ50)</f>
        <v>0</v>
      </c>
      <c r="AK51" s="226">
        <f>SUM(AK46:AK50)</f>
        <v>230</v>
      </c>
      <c r="AL51" s="226">
        <f>SUM(AL46:AL50)</f>
        <v>217</v>
      </c>
      <c r="AM51" s="226">
        <f>SUM(AM46:AM50)</f>
        <v>0</v>
      </c>
      <c r="AN51" s="226">
        <f>SUM(AN46:AN50)</f>
        <v>0</v>
      </c>
      <c r="AO51" s="226"/>
      <c r="AP51" s="226">
        <f>SUM(AP46:AP50)</f>
        <v>159</v>
      </c>
      <c r="AQ51" s="226">
        <f aca="true" t="shared" si="27" ref="AQ51:BA51">SUM(AQ46:AQ50)</f>
        <v>0</v>
      </c>
      <c r="AR51" s="226">
        <f t="shared" si="27"/>
        <v>0</v>
      </c>
      <c r="AS51" s="226">
        <f t="shared" si="27"/>
        <v>0</v>
      </c>
      <c r="AT51" s="226">
        <f t="shared" si="27"/>
        <v>0</v>
      </c>
      <c r="AU51" s="226">
        <f t="shared" si="27"/>
        <v>0</v>
      </c>
      <c r="AV51" s="226">
        <f t="shared" si="27"/>
        <v>0</v>
      </c>
      <c r="AW51" s="226">
        <f t="shared" si="27"/>
        <v>360</v>
      </c>
      <c r="AX51" s="226">
        <f t="shared" si="27"/>
        <v>0</v>
      </c>
      <c r="AY51" s="226">
        <f t="shared" si="27"/>
        <v>0</v>
      </c>
      <c r="AZ51" s="226">
        <f t="shared" si="27"/>
        <v>308</v>
      </c>
      <c r="BA51" s="226">
        <f t="shared" si="27"/>
        <v>62</v>
      </c>
      <c r="BB51" s="226">
        <f t="shared" si="1"/>
        <v>1913</v>
      </c>
      <c r="BC51" s="226">
        <f t="shared" si="2"/>
        <v>7225</v>
      </c>
    </row>
    <row r="52" spans="1:55" s="226" customFormat="1" ht="21.75" customHeight="1">
      <c r="A52" s="224">
        <v>46</v>
      </c>
      <c r="B52" s="688" t="s">
        <v>745</v>
      </c>
      <c r="C52" s="226">
        <f>SUM(C51,C45,C17)</f>
        <v>5312</v>
      </c>
      <c r="D52" s="229">
        <f>SUM(D51,D45,D17)</f>
        <v>0</v>
      </c>
      <c r="E52" s="226">
        <f>SUM(E51,E45,E17)</f>
        <v>0</v>
      </c>
      <c r="R52" s="226">
        <f t="shared" si="11"/>
        <v>5312</v>
      </c>
      <c r="S52" s="266">
        <f>SUM(S51,S45,S17)</f>
        <v>20411</v>
      </c>
      <c r="T52" s="226">
        <f>SUM(T51,T45,T17)</f>
        <v>0</v>
      </c>
      <c r="U52" s="226">
        <f aca="true" t="shared" si="28" ref="U52:BA52">SUM(U51,U45,U17)</f>
        <v>5040</v>
      </c>
      <c r="V52" s="226">
        <f t="shared" si="28"/>
        <v>3479</v>
      </c>
      <c r="W52" s="226">
        <f t="shared" si="28"/>
        <v>0</v>
      </c>
      <c r="X52" s="226">
        <f t="shared" si="28"/>
        <v>7944</v>
      </c>
      <c r="Y52" s="226">
        <f t="shared" si="28"/>
        <v>0</v>
      </c>
      <c r="Z52" s="226">
        <f t="shared" si="28"/>
        <v>0</v>
      </c>
      <c r="AA52" s="226">
        <f t="shared" si="28"/>
        <v>0</v>
      </c>
      <c r="AB52" s="226">
        <f t="shared" si="28"/>
        <v>0</v>
      </c>
      <c r="AC52" s="226">
        <f t="shared" si="28"/>
        <v>0</v>
      </c>
      <c r="AD52" s="226">
        <f t="shared" si="28"/>
        <v>0</v>
      </c>
      <c r="AE52" s="226">
        <f t="shared" si="28"/>
        <v>5166</v>
      </c>
      <c r="AF52" s="226">
        <f t="shared" si="28"/>
        <v>10781</v>
      </c>
      <c r="AG52" s="226">
        <f t="shared" si="28"/>
        <v>14421</v>
      </c>
      <c r="AH52" s="226">
        <f t="shared" si="28"/>
        <v>0</v>
      </c>
      <c r="AI52" s="226">
        <f t="shared" si="28"/>
        <v>135</v>
      </c>
      <c r="AJ52" s="226">
        <f t="shared" si="28"/>
        <v>0</v>
      </c>
      <c r="AK52" s="226">
        <f>SUM(AK51,AK45,AK17)</f>
        <v>2958</v>
      </c>
      <c r="AL52" s="226">
        <f t="shared" si="28"/>
        <v>2654</v>
      </c>
      <c r="AM52" s="226">
        <f t="shared" si="28"/>
        <v>0</v>
      </c>
      <c r="AN52" s="226">
        <f t="shared" si="28"/>
        <v>0</v>
      </c>
      <c r="AO52" s="226">
        <f t="shared" si="28"/>
        <v>0</v>
      </c>
      <c r="AP52" s="226">
        <f t="shared" si="28"/>
        <v>2882</v>
      </c>
      <c r="AQ52" s="226">
        <f t="shared" si="28"/>
        <v>0</v>
      </c>
      <c r="AR52" s="226">
        <f t="shared" si="28"/>
        <v>0</v>
      </c>
      <c r="AS52" s="226">
        <f t="shared" si="28"/>
        <v>1807</v>
      </c>
      <c r="AT52" s="226">
        <f t="shared" si="28"/>
        <v>0</v>
      </c>
      <c r="AU52" s="226">
        <f t="shared" si="28"/>
        <v>4071</v>
      </c>
      <c r="AV52" s="226">
        <f t="shared" si="28"/>
        <v>1486</v>
      </c>
      <c r="AW52" s="226">
        <f t="shared" si="28"/>
        <v>360</v>
      </c>
      <c r="AX52" s="226">
        <f t="shared" si="28"/>
        <v>1483</v>
      </c>
      <c r="AY52" s="226">
        <f t="shared" si="28"/>
        <v>0</v>
      </c>
      <c r="AZ52" s="226">
        <f t="shared" si="28"/>
        <v>308</v>
      </c>
      <c r="BA52" s="226">
        <f t="shared" si="28"/>
        <v>62</v>
      </c>
      <c r="BB52" s="227">
        <f t="shared" si="1"/>
        <v>65037</v>
      </c>
      <c r="BC52" s="226">
        <f t="shared" si="2"/>
        <v>90760</v>
      </c>
    </row>
    <row r="53" spans="1:55" ht="21.75" customHeight="1">
      <c r="A53" s="221">
        <v>47</v>
      </c>
      <c r="B53" s="227" t="s">
        <v>864</v>
      </c>
      <c r="C53" s="227">
        <v>1351</v>
      </c>
      <c r="R53" s="227">
        <f t="shared" si="11"/>
        <v>1351</v>
      </c>
      <c r="S53" s="265">
        <v>5272</v>
      </c>
      <c r="U53" s="227">
        <v>1307</v>
      </c>
      <c r="V53" s="227">
        <v>994</v>
      </c>
      <c r="X53" s="227">
        <v>2004</v>
      </c>
      <c r="AE53" s="227">
        <v>1223</v>
      </c>
      <c r="AF53" s="227">
        <v>2735</v>
      </c>
      <c r="AG53" s="227">
        <v>3668</v>
      </c>
      <c r="AI53" s="227">
        <v>20</v>
      </c>
      <c r="AK53" s="227">
        <v>726</v>
      </c>
      <c r="AL53" s="227">
        <v>572</v>
      </c>
      <c r="AP53" s="227">
        <v>694</v>
      </c>
      <c r="AS53" s="227">
        <v>569</v>
      </c>
      <c r="AU53" s="227">
        <v>534</v>
      </c>
      <c r="AV53" s="227">
        <v>201</v>
      </c>
      <c r="AW53" s="227">
        <v>87</v>
      </c>
      <c r="AX53" s="227">
        <v>382</v>
      </c>
      <c r="AZ53" s="227">
        <f>68+7</f>
        <v>75</v>
      </c>
      <c r="BA53" s="227">
        <v>15</v>
      </c>
      <c r="BB53" s="227">
        <f>SUM(T53:BA53)</f>
        <v>15806</v>
      </c>
      <c r="BC53" s="226">
        <f t="shared" si="2"/>
        <v>22429</v>
      </c>
    </row>
    <row r="54" spans="1:55" ht="21.75" customHeight="1">
      <c r="A54" s="221">
        <v>48</v>
      </c>
      <c r="B54" s="227" t="s">
        <v>865</v>
      </c>
      <c r="R54" s="227">
        <f t="shared" si="11"/>
        <v>0</v>
      </c>
      <c r="S54" s="265">
        <v>144</v>
      </c>
      <c r="U54" s="227">
        <v>45</v>
      </c>
      <c r="V54" s="227">
        <v>32</v>
      </c>
      <c r="X54" s="227">
        <v>79</v>
      </c>
      <c r="AE54" s="227">
        <v>42</v>
      </c>
      <c r="AF54" s="227">
        <v>83</v>
      </c>
      <c r="AG54" s="227">
        <v>114</v>
      </c>
      <c r="AK54" s="227">
        <v>36</v>
      </c>
      <c r="AL54" s="227">
        <v>9</v>
      </c>
      <c r="AP54" s="227">
        <v>20</v>
      </c>
      <c r="AS54" s="227">
        <v>21</v>
      </c>
      <c r="AX54" s="227">
        <v>10</v>
      </c>
      <c r="BB54" s="227">
        <f t="shared" si="1"/>
        <v>491</v>
      </c>
      <c r="BC54" s="226">
        <f t="shared" si="2"/>
        <v>635</v>
      </c>
    </row>
    <row r="55" spans="1:55" ht="21.75" customHeight="1">
      <c r="A55" s="221">
        <v>49</v>
      </c>
      <c r="B55" s="227" t="s">
        <v>866</v>
      </c>
      <c r="R55" s="227">
        <f t="shared" si="11"/>
        <v>0</v>
      </c>
      <c r="S55" s="265">
        <v>8</v>
      </c>
      <c r="AF55" s="227">
        <v>5</v>
      </c>
      <c r="AG55" s="227">
        <v>2</v>
      </c>
      <c r="BB55" s="227">
        <f t="shared" si="1"/>
        <v>7</v>
      </c>
      <c r="BC55" s="226">
        <f t="shared" si="2"/>
        <v>15</v>
      </c>
    </row>
    <row r="56" spans="1:55" ht="21.75" customHeight="1">
      <c r="A56" s="224">
        <v>50</v>
      </c>
      <c r="B56" s="227" t="s">
        <v>890</v>
      </c>
      <c r="S56" s="265">
        <v>165</v>
      </c>
      <c r="U56" s="227">
        <v>52</v>
      </c>
      <c r="V56" s="227">
        <v>36</v>
      </c>
      <c r="X56" s="227">
        <v>91</v>
      </c>
      <c r="AE56" s="227">
        <v>49</v>
      </c>
      <c r="AF56" s="227">
        <v>97</v>
      </c>
      <c r="AG56" s="227">
        <v>131</v>
      </c>
      <c r="AK56" s="227">
        <v>41</v>
      </c>
      <c r="AL56" s="227">
        <v>11</v>
      </c>
      <c r="AP56" s="227">
        <v>23</v>
      </c>
      <c r="AS56" s="227">
        <v>25</v>
      </c>
      <c r="AX56" s="227">
        <v>12</v>
      </c>
      <c r="BB56" s="227">
        <f t="shared" si="1"/>
        <v>568</v>
      </c>
      <c r="BC56" s="226">
        <f t="shared" si="2"/>
        <v>733</v>
      </c>
    </row>
    <row r="57" spans="1:55" ht="21.75" customHeight="1">
      <c r="A57" s="221">
        <v>51</v>
      </c>
      <c r="B57" s="227" t="s">
        <v>1328</v>
      </c>
      <c r="R57" s="227">
        <f aca="true" t="shared" si="29" ref="R57:R75">SUM(C57:Q57)</f>
        <v>0</v>
      </c>
      <c r="AG57" s="227">
        <f>2372-1012</f>
        <v>1360</v>
      </c>
      <c r="BB57" s="227">
        <f t="shared" si="1"/>
        <v>1360</v>
      </c>
      <c r="BC57" s="226">
        <f t="shared" si="2"/>
        <v>1360</v>
      </c>
    </row>
    <row r="58" spans="1:55" s="226" customFormat="1" ht="21.75" customHeight="1">
      <c r="A58" s="221">
        <v>52</v>
      </c>
      <c r="B58" s="688" t="s">
        <v>867</v>
      </c>
      <c r="C58" s="226">
        <f>SUM(C53:C57)</f>
        <v>1351</v>
      </c>
      <c r="D58" s="229">
        <f aca="true" t="shared" si="30" ref="D58:Q58">SUM(D53:D57)</f>
        <v>0</v>
      </c>
      <c r="E58" s="226">
        <f t="shared" si="30"/>
        <v>0</v>
      </c>
      <c r="F58" s="226">
        <f t="shared" si="30"/>
        <v>0</v>
      </c>
      <c r="G58" s="226">
        <f t="shared" si="30"/>
        <v>0</v>
      </c>
      <c r="H58" s="226">
        <f t="shared" si="30"/>
        <v>0</v>
      </c>
      <c r="I58" s="226">
        <f t="shared" si="30"/>
        <v>0</v>
      </c>
      <c r="J58" s="226">
        <f t="shared" si="30"/>
        <v>0</v>
      </c>
      <c r="K58" s="226">
        <f t="shared" si="30"/>
        <v>0</v>
      </c>
      <c r="L58" s="226">
        <f t="shared" si="30"/>
        <v>0</v>
      </c>
      <c r="M58" s="226">
        <f t="shared" si="30"/>
        <v>0</v>
      </c>
      <c r="N58" s="226">
        <f t="shared" si="30"/>
        <v>0</v>
      </c>
      <c r="O58" s="226">
        <f t="shared" si="30"/>
        <v>0</v>
      </c>
      <c r="P58" s="226">
        <f t="shared" si="30"/>
        <v>0</v>
      </c>
      <c r="Q58" s="226">
        <f t="shared" si="30"/>
        <v>0</v>
      </c>
      <c r="R58" s="227">
        <f t="shared" si="29"/>
        <v>1351</v>
      </c>
      <c r="S58" s="266">
        <f>SUM(S53:S57)</f>
        <v>5589</v>
      </c>
      <c r="T58" s="226">
        <f>SUM(T53:T57)</f>
        <v>0</v>
      </c>
      <c r="U58" s="226">
        <f aca="true" t="shared" si="31" ref="U58:BA58">SUM(U53:U57)</f>
        <v>1404</v>
      </c>
      <c r="V58" s="226">
        <f t="shared" si="31"/>
        <v>1062</v>
      </c>
      <c r="W58" s="226">
        <f t="shared" si="31"/>
        <v>0</v>
      </c>
      <c r="X58" s="226">
        <f t="shared" si="31"/>
        <v>2174</v>
      </c>
      <c r="Y58" s="226">
        <f t="shared" si="31"/>
        <v>0</v>
      </c>
      <c r="Z58" s="226">
        <f t="shared" si="31"/>
        <v>0</v>
      </c>
      <c r="AA58" s="226">
        <f t="shared" si="31"/>
        <v>0</v>
      </c>
      <c r="AB58" s="226">
        <f t="shared" si="31"/>
        <v>0</v>
      </c>
      <c r="AC58" s="226">
        <f t="shared" si="31"/>
        <v>0</v>
      </c>
      <c r="AD58" s="226">
        <f t="shared" si="31"/>
        <v>0</v>
      </c>
      <c r="AE58" s="226">
        <f t="shared" si="31"/>
        <v>1314</v>
      </c>
      <c r="AF58" s="226">
        <f t="shared" si="31"/>
        <v>2920</v>
      </c>
      <c r="AG58" s="226">
        <f t="shared" si="31"/>
        <v>5275</v>
      </c>
      <c r="AH58" s="226">
        <f t="shared" si="31"/>
        <v>0</v>
      </c>
      <c r="AI58" s="226">
        <f t="shared" si="31"/>
        <v>20</v>
      </c>
      <c r="AJ58" s="226">
        <f t="shared" si="31"/>
        <v>0</v>
      </c>
      <c r="AK58" s="226">
        <f t="shared" si="31"/>
        <v>803</v>
      </c>
      <c r="AL58" s="226">
        <f t="shared" si="31"/>
        <v>592</v>
      </c>
      <c r="AM58" s="226">
        <f t="shared" si="31"/>
        <v>0</v>
      </c>
      <c r="AN58" s="226">
        <f t="shared" si="31"/>
        <v>0</v>
      </c>
      <c r="AO58" s="226">
        <f t="shared" si="31"/>
        <v>0</v>
      </c>
      <c r="AP58" s="226">
        <f t="shared" si="31"/>
        <v>737</v>
      </c>
      <c r="AQ58" s="226">
        <f t="shared" si="31"/>
        <v>0</v>
      </c>
      <c r="AR58" s="226">
        <f t="shared" si="31"/>
        <v>0</v>
      </c>
      <c r="AS58" s="226">
        <f t="shared" si="31"/>
        <v>615</v>
      </c>
      <c r="AT58" s="226">
        <f t="shared" si="31"/>
        <v>0</v>
      </c>
      <c r="AU58" s="226">
        <f t="shared" si="31"/>
        <v>534</v>
      </c>
      <c r="AV58" s="226">
        <f t="shared" si="31"/>
        <v>201</v>
      </c>
      <c r="AW58" s="226">
        <f t="shared" si="31"/>
        <v>87</v>
      </c>
      <c r="AX58" s="226">
        <f t="shared" si="31"/>
        <v>404</v>
      </c>
      <c r="AY58" s="226">
        <f t="shared" si="31"/>
        <v>0</v>
      </c>
      <c r="AZ58" s="226">
        <f t="shared" si="31"/>
        <v>75</v>
      </c>
      <c r="BA58" s="226">
        <f t="shared" si="31"/>
        <v>15</v>
      </c>
      <c r="BB58" s="227">
        <f t="shared" si="1"/>
        <v>18232</v>
      </c>
      <c r="BC58" s="226">
        <f t="shared" si="2"/>
        <v>25172</v>
      </c>
    </row>
    <row r="59" spans="1:55" ht="21.75" customHeight="1">
      <c r="A59" s="221">
        <v>53</v>
      </c>
      <c r="R59" s="227">
        <f t="shared" si="29"/>
        <v>0</v>
      </c>
      <c r="BB59" s="227">
        <f t="shared" si="1"/>
        <v>0</v>
      </c>
      <c r="BC59" s="226">
        <f t="shared" si="2"/>
        <v>0</v>
      </c>
    </row>
    <row r="60" spans="1:54" s="232" customFormat="1" ht="21.75" customHeight="1">
      <c r="A60" s="224">
        <v>54</v>
      </c>
      <c r="B60" s="232" t="s">
        <v>617</v>
      </c>
      <c r="C60" s="232">
        <v>841112</v>
      </c>
      <c r="D60" s="233"/>
      <c r="R60" s="695">
        <f t="shared" si="29"/>
        <v>841112</v>
      </c>
      <c r="S60" s="271">
        <v>801115</v>
      </c>
      <c r="T60" s="232">
        <v>370000</v>
      </c>
      <c r="U60" s="232">
        <v>381103</v>
      </c>
      <c r="V60" s="232">
        <v>522110</v>
      </c>
      <c r="W60" s="232">
        <v>562912</v>
      </c>
      <c r="X60" s="232">
        <v>562913</v>
      </c>
      <c r="Y60" s="232">
        <v>562917</v>
      </c>
      <c r="Z60" s="232">
        <v>562916</v>
      </c>
      <c r="AA60" s="232">
        <v>682001</v>
      </c>
      <c r="AB60" s="232">
        <v>682002</v>
      </c>
      <c r="AC60" s="232">
        <v>750000</v>
      </c>
      <c r="AD60" s="232">
        <v>791200</v>
      </c>
      <c r="AE60" s="232">
        <v>811000</v>
      </c>
      <c r="AF60" s="232">
        <v>813000</v>
      </c>
      <c r="AG60" s="232">
        <v>841154</v>
      </c>
      <c r="AH60" s="232">
        <v>841402</v>
      </c>
      <c r="AI60" s="232">
        <v>841403</v>
      </c>
      <c r="AJ60" s="232">
        <v>842155</v>
      </c>
      <c r="AK60" s="232">
        <v>850001</v>
      </c>
      <c r="AL60" s="232">
        <v>862101</v>
      </c>
      <c r="AM60" s="232">
        <v>862102</v>
      </c>
      <c r="AN60" s="232">
        <v>862231</v>
      </c>
      <c r="AO60" s="232">
        <v>862231</v>
      </c>
      <c r="AP60" s="232">
        <v>851297</v>
      </c>
      <c r="AQ60" s="232">
        <v>889921</v>
      </c>
      <c r="AR60" s="232">
        <v>889924</v>
      </c>
      <c r="AS60" s="232">
        <v>889928</v>
      </c>
      <c r="AT60" s="232">
        <v>890301</v>
      </c>
      <c r="AU60" s="232">
        <v>853322</v>
      </c>
      <c r="AV60" s="232">
        <v>890444</v>
      </c>
      <c r="AW60" s="232">
        <v>910123</v>
      </c>
      <c r="AX60" s="232">
        <v>910502</v>
      </c>
      <c r="AY60" s="232">
        <v>932911</v>
      </c>
      <c r="AZ60" s="232">
        <v>949900</v>
      </c>
      <c r="BA60" s="232">
        <v>960302</v>
      </c>
      <c r="BB60" s="232" t="s">
        <v>831</v>
      </c>
    </row>
    <row r="61" spans="1:55" s="226" customFormat="1" ht="21.75" customHeight="1">
      <c r="A61" s="221">
        <v>55</v>
      </c>
      <c r="B61" s="227" t="s">
        <v>868</v>
      </c>
      <c r="C61" s="227"/>
      <c r="D61" s="228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>
        <f t="shared" si="29"/>
        <v>0</v>
      </c>
      <c r="S61" s="265"/>
      <c r="T61" s="227"/>
      <c r="W61" s="227">
        <v>2419</v>
      </c>
      <c r="X61" s="227">
        <v>7551</v>
      </c>
      <c r="Y61" s="227">
        <v>1646</v>
      </c>
      <c r="Z61" s="227">
        <v>1631</v>
      </c>
      <c r="AA61" s="227"/>
      <c r="AQ61" s="227">
        <v>761</v>
      </c>
      <c r="BB61" s="227">
        <f aca="true" t="shared" si="32" ref="BB61:BB115">SUM(T61:BA61)</f>
        <v>14008</v>
      </c>
      <c r="BC61" s="226">
        <f t="shared" si="2"/>
        <v>14008</v>
      </c>
    </row>
    <row r="62" spans="1:55" s="226" customFormat="1" ht="21.75" customHeight="1">
      <c r="A62" s="221">
        <v>56</v>
      </c>
      <c r="B62" s="227" t="s">
        <v>1428</v>
      </c>
      <c r="C62" s="227"/>
      <c r="D62" s="228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>
        <f t="shared" si="29"/>
        <v>0</v>
      </c>
      <c r="S62" s="265">
        <v>7</v>
      </c>
      <c r="T62" s="227"/>
      <c r="W62" s="227"/>
      <c r="X62" s="227">
        <v>16</v>
      </c>
      <c r="Y62" s="227"/>
      <c r="Z62" s="227"/>
      <c r="AA62" s="227"/>
      <c r="AG62" s="226">
        <v>12</v>
      </c>
      <c r="AK62" s="226">
        <v>0</v>
      </c>
      <c r="AQ62" s="227"/>
      <c r="BB62" s="227">
        <f t="shared" si="32"/>
        <v>28</v>
      </c>
      <c r="BC62" s="226">
        <f t="shared" si="2"/>
        <v>35</v>
      </c>
    </row>
    <row r="63" spans="1:55" ht="21.75" customHeight="1">
      <c r="A63" s="221">
        <v>57</v>
      </c>
      <c r="B63" s="227" t="s">
        <v>1329</v>
      </c>
      <c r="R63" s="227">
        <f t="shared" si="29"/>
        <v>0</v>
      </c>
      <c r="S63" s="265">
        <v>21</v>
      </c>
      <c r="X63" s="227">
        <v>29</v>
      </c>
      <c r="AF63" s="227">
        <v>61</v>
      </c>
      <c r="AG63" s="227">
        <v>931</v>
      </c>
      <c r="AK63" s="227">
        <v>0</v>
      </c>
      <c r="AL63" s="227">
        <v>73</v>
      </c>
      <c r="AP63" s="227">
        <v>12</v>
      </c>
      <c r="AS63" s="227">
        <v>3</v>
      </c>
      <c r="AW63" s="227">
        <v>22</v>
      </c>
      <c r="AZ63" s="227">
        <v>89</v>
      </c>
      <c r="BB63" s="227">
        <f t="shared" si="32"/>
        <v>1220</v>
      </c>
      <c r="BC63" s="226">
        <f t="shared" si="2"/>
        <v>1241</v>
      </c>
    </row>
    <row r="64" spans="1:55" ht="21.75" customHeight="1">
      <c r="A64" s="224">
        <v>58</v>
      </c>
      <c r="B64" s="227" t="s">
        <v>869</v>
      </c>
      <c r="R64" s="227">
        <f t="shared" si="29"/>
        <v>0</v>
      </c>
      <c r="S64" s="265">
        <v>26</v>
      </c>
      <c r="X64" s="227">
        <v>5</v>
      </c>
      <c r="AG64" s="227">
        <f>81+405</f>
        <v>486</v>
      </c>
      <c r="AW64" s="227">
        <v>91</v>
      </c>
      <c r="AX64" s="227">
        <v>0</v>
      </c>
      <c r="AZ64" s="227">
        <v>8</v>
      </c>
      <c r="BB64" s="227">
        <f t="shared" si="32"/>
        <v>590</v>
      </c>
      <c r="BC64" s="226">
        <f t="shared" si="2"/>
        <v>616</v>
      </c>
    </row>
    <row r="65" spans="1:55" ht="21.75" customHeight="1">
      <c r="A65" s="221">
        <v>59</v>
      </c>
      <c r="B65" s="227" t="s">
        <v>870</v>
      </c>
      <c r="R65" s="227">
        <f t="shared" si="29"/>
        <v>0</v>
      </c>
      <c r="BB65" s="227">
        <f t="shared" si="32"/>
        <v>0</v>
      </c>
      <c r="BC65" s="226">
        <f t="shared" si="2"/>
        <v>0</v>
      </c>
    </row>
    <row r="66" spans="1:55" ht="21.75" customHeight="1">
      <c r="A66" s="221">
        <v>60</v>
      </c>
      <c r="B66" s="227" t="s">
        <v>1330</v>
      </c>
      <c r="R66" s="227">
        <f t="shared" si="29"/>
        <v>0</v>
      </c>
      <c r="U66" s="227">
        <v>1558</v>
      </c>
      <c r="AF66" s="227">
        <v>3245</v>
      </c>
      <c r="AS66" s="227">
        <v>786</v>
      </c>
      <c r="BB66" s="227">
        <f t="shared" si="32"/>
        <v>5589</v>
      </c>
      <c r="BC66" s="226">
        <f t="shared" si="2"/>
        <v>5589</v>
      </c>
    </row>
    <row r="67" spans="1:55" ht="21.75" customHeight="1">
      <c r="A67" s="221">
        <v>61</v>
      </c>
      <c r="B67" s="227" t="s">
        <v>1331</v>
      </c>
      <c r="R67" s="227">
        <f t="shared" si="29"/>
        <v>0</v>
      </c>
      <c r="S67" s="265">
        <f>316-23</f>
        <v>293</v>
      </c>
      <c r="X67" s="227">
        <v>0</v>
      </c>
      <c r="AF67" s="227">
        <f>28+16-28</f>
        <v>16</v>
      </c>
      <c r="AG67" s="227">
        <v>28</v>
      </c>
      <c r="AK67" s="227">
        <v>36</v>
      </c>
      <c r="AL67" s="227">
        <v>0</v>
      </c>
      <c r="AP67" s="227">
        <v>22</v>
      </c>
      <c r="AS67" s="227">
        <v>29</v>
      </c>
      <c r="AW67" s="227">
        <v>82</v>
      </c>
      <c r="AX67" s="227">
        <v>88</v>
      </c>
      <c r="AY67" s="227">
        <v>83</v>
      </c>
      <c r="AZ67" s="227">
        <v>1</v>
      </c>
      <c r="BB67" s="227">
        <f t="shared" si="32"/>
        <v>385</v>
      </c>
      <c r="BC67" s="226">
        <f t="shared" si="2"/>
        <v>678</v>
      </c>
    </row>
    <row r="68" spans="1:55" ht="21.75" customHeight="1">
      <c r="A68" s="224">
        <v>62</v>
      </c>
      <c r="B68" s="227" t="s">
        <v>1332</v>
      </c>
      <c r="R68" s="227">
        <f t="shared" si="29"/>
        <v>0</v>
      </c>
      <c r="S68" s="265">
        <v>23</v>
      </c>
      <c r="X68" s="227">
        <v>0</v>
      </c>
      <c r="AK68" s="227">
        <v>0</v>
      </c>
      <c r="AP68" s="227">
        <v>0</v>
      </c>
      <c r="AX68" s="227">
        <v>0</v>
      </c>
      <c r="BB68" s="227">
        <f t="shared" si="32"/>
        <v>0</v>
      </c>
      <c r="BC68" s="226">
        <f t="shared" si="2"/>
        <v>23</v>
      </c>
    </row>
    <row r="69" spans="1:55" ht="21.75" customHeight="1">
      <c r="A69" s="221">
        <v>63</v>
      </c>
      <c r="B69" s="227" t="s">
        <v>1333</v>
      </c>
      <c r="R69" s="227">
        <f t="shared" si="29"/>
        <v>0</v>
      </c>
      <c r="S69" s="265">
        <v>72</v>
      </c>
      <c r="U69" s="227">
        <v>90</v>
      </c>
      <c r="V69" s="227">
        <v>60</v>
      </c>
      <c r="X69" s="227">
        <v>54</v>
      </c>
      <c r="AE69" s="227">
        <v>90</v>
      </c>
      <c r="AF69" s="227">
        <v>34</v>
      </c>
      <c r="AK69" s="227">
        <v>12</v>
      </c>
      <c r="AL69" s="227">
        <v>20</v>
      </c>
      <c r="AP69" s="227">
        <v>0</v>
      </c>
      <c r="AS69" s="227">
        <v>39</v>
      </c>
      <c r="AX69" s="227">
        <v>0</v>
      </c>
      <c r="BB69" s="227">
        <f t="shared" si="32"/>
        <v>399</v>
      </c>
      <c r="BC69" s="226">
        <f t="shared" si="2"/>
        <v>471</v>
      </c>
    </row>
    <row r="70" spans="1:55" ht="21.75" customHeight="1">
      <c r="A70" s="221">
        <v>64</v>
      </c>
      <c r="B70" s="227" t="s">
        <v>1334</v>
      </c>
      <c r="R70" s="227">
        <f t="shared" si="29"/>
        <v>0</v>
      </c>
      <c r="S70" s="265">
        <v>139</v>
      </c>
      <c r="U70" s="227">
        <v>234</v>
      </c>
      <c r="V70" s="227">
        <v>392</v>
      </c>
      <c r="X70" s="227">
        <v>506</v>
      </c>
      <c r="AA70" s="227">
        <v>102</v>
      </c>
      <c r="AB70" s="227">
        <v>171</v>
      </c>
      <c r="AF70" s="227">
        <v>2542</v>
      </c>
      <c r="AG70" s="227">
        <v>708</v>
      </c>
      <c r="AI70" s="227">
        <v>305</v>
      </c>
      <c r="AK70" s="227">
        <v>676</v>
      </c>
      <c r="AL70" s="227">
        <v>21</v>
      </c>
      <c r="AP70" s="227">
        <f>50-50</f>
        <v>0</v>
      </c>
      <c r="AS70" s="227">
        <v>0</v>
      </c>
      <c r="AU70" s="227">
        <f>45-45</f>
        <v>0</v>
      </c>
      <c r="AX70" s="227">
        <v>0</v>
      </c>
      <c r="AY70" s="227">
        <v>0</v>
      </c>
      <c r="BA70" s="227">
        <v>0</v>
      </c>
      <c r="BB70" s="227">
        <f t="shared" si="32"/>
        <v>5657</v>
      </c>
      <c r="BC70" s="226">
        <f t="shared" si="2"/>
        <v>5796</v>
      </c>
    </row>
    <row r="71" spans="1:55" s="226" customFormat="1" ht="21.75" customHeight="1">
      <c r="A71" s="221">
        <v>65</v>
      </c>
      <c r="B71" s="226" t="s">
        <v>871</v>
      </c>
      <c r="C71" s="226">
        <f>SUM(C61:C70)</f>
        <v>0</v>
      </c>
      <c r="D71" s="229">
        <f aca="true" t="shared" si="33" ref="D71:Q71">SUM(D61:D70)</f>
        <v>0</v>
      </c>
      <c r="E71" s="226">
        <f t="shared" si="33"/>
        <v>0</v>
      </c>
      <c r="F71" s="226">
        <f t="shared" si="33"/>
        <v>0</v>
      </c>
      <c r="G71" s="226">
        <f t="shared" si="33"/>
        <v>0</v>
      </c>
      <c r="H71" s="226">
        <f t="shared" si="33"/>
        <v>0</v>
      </c>
      <c r="I71" s="226">
        <f t="shared" si="33"/>
        <v>0</v>
      </c>
      <c r="J71" s="226">
        <f t="shared" si="33"/>
        <v>0</v>
      </c>
      <c r="K71" s="226">
        <f t="shared" si="33"/>
        <v>0</v>
      </c>
      <c r="L71" s="226">
        <f t="shared" si="33"/>
        <v>0</v>
      </c>
      <c r="M71" s="226">
        <f t="shared" si="33"/>
        <v>0</v>
      </c>
      <c r="N71" s="226">
        <f t="shared" si="33"/>
        <v>0</v>
      </c>
      <c r="O71" s="226">
        <f t="shared" si="33"/>
        <v>0</v>
      </c>
      <c r="P71" s="226">
        <f t="shared" si="33"/>
        <v>0</v>
      </c>
      <c r="Q71" s="226">
        <f t="shared" si="33"/>
        <v>0</v>
      </c>
      <c r="R71" s="227">
        <f t="shared" si="29"/>
        <v>0</v>
      </c>
      <c r="S71" s="266">
        <f>SUM(S61:S70)</f>
        <v>581</v>
      </c>
      <c r="T71" s="226">
        <f>SUM(T61:T70)</f>
        <v>0</v>
      </c>
      <c r="U71" s="226">
        <f aca="true" t="shared" si="34" ref="U71:BA71">SUM(U61:U70)</f>
        <v>1882</v>
      </c>
      <c r="V71" s="226">
        <f t="shared" si="34"/>
        <v>452</v>
      </c>
      <c r="W71" s="226">
        <f t="shared" si="34"/>
        <v>2419</v>
      </c>
      <c r="X71" s="226">
        <f t="shared" si="34"/>
        <v>8161</v>
      </c>
      <c r="Y71" s="226">
        <f t="shared" si="34"/>
        <v>1646</v>
      </c>
      <c r="Z71" s="226">
        <f t="shared" si="34"/>
        <v>1631</v>
      </c>
      <c r="AA71" s="226">
        <f t="shared" si="34"/>
        <v>102</v>
      </c>
      <c r="AB71" s="226">
        <f t="shared" si="34"/>
        <v>171</v>
      </c>
      <c r="AC71" s="226">
        <f t="shared" si="34"/>
        <v>0</v>
      </c>
      <c r="AD71" s="226">
        <f t="shared" si="34"/>
        <v>0</v>
      </c>
      <c r="AE71" s="226">
        <f t="shared" si="34"/>
        <v>90</v>
      </c>
      <c r="AF71" s="226">
        <f t="shared" si="34"/>
        <v>5898</v>
      </c>
      <c r="AG71" s="226">
        <f t="shared" si="34"/>
        <v>2165</v>
      </c>
      <c r="AH71" s="226">
        <f t="shared" si="34"/>
        <v>0</v>
      </c>
      <c r="AI71" s="226">
        <f t="shared" si="34"/>
        <v>305</v>
      </c>
      <c r="AJ71" s="226">
        <f t="shared" si="34"/>
        <v>0</v>
      </c>
      <c r="AK71" s="226">
        <f t="shared" si="34"/>
        <v>724</v>
      </c>
      <c r="AL71" s="226">
        <f t="shared" si="34"/>
        <v>114</v>
      </c>
      <c r="AM71" s="226">
        <f t="shared" si="34"/>
        <v>0</v>
      </c>
      <c r="AN71" s="226">
        <f t="shared" si="34"/>
        <v>0</v>
      </c>
      <c r="AO71" s="226">
        <f t="shared" si="34"/>
        <v>0</v>
      </c>
      <c r="AP71" s="226">
        <f t="shared" si="34"/>
        <v>34</v>
      </c>
      <c r="AQ71" s="226">
        <f t="shared" si="34"/>
        <v>761</v>
      </c>
      <c r="AR71" s="226">
        <f t="shared" si="34"/>
        <v>0</v>
      </c>
      <c r="AS71" s="226">
        <f t="shared" si="34"/>
        <v>857</v>
      </c>
      <c r="AT71" s="226">
        <f t="shared" si="34"/>
        <v>0</v>
      </c>
      <c r="AU71" s="226">
        <f t="shared" si="34"/>
        <v>0</v>
      </c>
      <c r="AV71" s="226">
        <f t="shared" si="34"/>
        <v>0</v>
      </c>
      <c r="AW71" s="226">
        <f t="shared" si="34"/>
        <v>195</v>
      </c>
      <c r="AX71" s="226">
        <f t="shared" si="34"/>
        <v>88</v>
      </c>
      <c r="AY71" s="226">
        <f t="shared" si="34"/>
        <v>83</v>
      </c>
      <c r="AZ71" s="226">
        <f t="shared" si="34"/>
        <v>98</v>
      </c>
      <c r="BA71" s="226">
        <f t="shared" si="34"/>
        <v>0</v>
      </c>
      <c r="BB71" s="227">
        <f t="shared" si="32"/>
        <v>27876</v>
      </c>
      <c r="BC71" s="226">
        <f t="shared" si="2"/>
        <v>28457</v>
      </c>
    </row>
    <row r="72" spans="1:55" ht="21.75" customHeight="1">
      <c r="A72" s="224">
        <v>66</v>
      </c>
      <c r="B72" s="227" t="s">
        <v>1335</v>
      </c>
      <c r="C72" s="227">
        <v>260</v>
      </c>
      <c r="R72" s="227">
        <f t="shared" si="29"/>
        <v>260</v>
      </c>
      <c r="S72" s="265">
        <v>80</v>
      </c>
      <c r="X72" s="227">
        <v>92</v>
      </c>
      <c r="AF72" s="227">
        <v>162</v>
      </c>
      <c r="AG72" s="227">
        <v>429</v>
      </c>
      <c r="AK72" s="227">
        <v>144</v>
      </c>
      <c r="AL72" s="227">
        <v>224</v>
      </c>
      <c r="AP72" s="227">
        <v>54</v>
      </c>
      <c r="AS72" s="227">
        <v>85</v>
      </c>
      <c r="AW72" s="227">
        <v>86</v>
      </c>
      <c r="AX72" s="227">
        <v>24</v>
      </c>
      <c r="BB72" s="227">
        <f t="shared" si="32"/>
        <v>1300</v>
      </c>
      <c r="BC72" s="226">
        <f t="shared" si="2"/>
        <v>1640</v>
      </c>
    </row>
    <row r="73" spans="1:55" ht="21.75" customHeight="1">
      <c r="A73" s="221">
        <v>67</v>
      </c>
      <c r="B73" s="227" t="s">
        <v>1336</v>
      </c>
      <c r="C73" s="227">
        <v>54</v>
      </c>
      <c r="R73" s="227">
        <f t="shared" si="29"/>
        <v>54</v>
      </c>
      <c r="S73" s="265">
        <v>38</v>
      </c>
      <c r="X73" s="227">
        <v>5</v>
      </c>
      <c r="AG73" s="227">
        <v>267</v>
      </c>
      <c r="AK73" s="227">
        <v>75</v>
      </c>
      <c r="AP73" s="227">
        <v>41</v>
      </c>
      <c r="AW73" s="227">
        <v>119</v>
      </c>
      <c r="BB73" s="227">
        <f t="shared" si="32"/>
        <v>507</v>
      </c>
      <c r="BC73" s="226">
        <f t="shared" si="2"/>
        <v>599</v>
      </c>
    </row>
    <row r="74" spans="1:55" ht="21.75" customHeight="1">
      <c r="A74" s="221">
        <v>68</v>
      </c>
      <c r="B74" s="227" t="s">
        <v>1337</v>
      </c>
      <c r="R74" s="227">
        <f t="shared" si="29"/>
        <v>0</v>
      </c>
      <c r="AL74" s="227">
        <v>9</v>
      </c>
      <c r="BB74" s="227">
        <f t="shared" si="32"/>
        <v>9</v>
      </c>
      <c r="BC74" s="226">
        <f aca="true" t="shared" si="35" ref="BC74:BC139">BB74+R74+S74</f>
        <v>9</v>
      </c>
    </row>
    <row r="75" spans="1:55" s="226" customFormat="1" ht="21.75" customHeight="1">
      <c r="A75" s="221">
        <v>69</v>
      </c>
      <c r="B75" s="226" t="s">
        <v>872</v>
      </c>
      <c r="C75" s="226">
        <f>SUM(C72:C74)</f>
        <v>314</v>
      </c>
      <c r="D75" s="229">
        <f aca="true" t="shared" si="36" ref="D75:Q75">SUM(D72:D74)</f>
        <v>0</v>
      </c>
      <c r="E75" s="226">
        <f t="shared" si="36"/>
        <v>0</v>
      </c>
      <c r="F75" s="226">
        <f t="shared" si="36"/>
        <v>0</v>
      </c>
      <c r="G75" s="226">
        <f t="shared" si="36"/>
        <v>0</v>
      </c>
      <c r="H75" s="226">
        <f t="shared" si="36"/>
        <v>0</v>
      </c>
      <c r="I75" s="226">
        <f t="shared" si="36"/>
        <v>0</v>
      </c>
      <c r="J75" s="226">
        <f t="shared" si="36"/>
        <v>0</v>
      </c>
      <c r="K75" s="226">
        <f t="shared" si="36"/>
        <v>0</v>
      </c>
      <c r="L75" s="226">
        <f t="shared" si="36"/>
        <v>0</v>
      </c>
      <c r="M75" s="226">
        <f t="shared" si="36"/>
        <v>0</v>
      </c>
      <c r="N75" s="226">
        <f t="shared" si="36"/>
        <v>0</v>
      </c>
      <c r="O75" s="226">
        <f t="shared" si="36"/>
        <v>0</v>
      </c>
      <c r="P75" s="226">
        <f t="shared" si="36"/>
        <v>0</v>
      </c>
      <c r="Q75" s="226">
        <f t="shared" si="36"/>
        <v>0</v>
      </c>
      <c r="R75" s="227">
        <f t="shared" si="29"/>
        <v>314</v>
      </c>
      <c r="S75" s="266">
        <f>SUM(S72:S74)</f>
        <v>118</v>
      </c>
      <c r="T75" s="226">
        <f>SUM(T72:T74)</f>
        <v>0</v>
      </c>
      <c r="U75" s="226">
        <f aca="true" t="shared" si="37" ref="U75:BA75">SUM(U72:U74)</f>
        <v>0</v>
      </c>
      <c r="V75" s="226">
        <f t="shared" si="37"/>
        <v>0</v>
      </c>
      <c r="W75" s="226">
        <f t="shared" si="37"/>
        <v>0</v>
      </c>
      <c r="X75" s="226">
        <f t="shared" si="37"/>
        <v>97</v>
      </c>
      <c r="Y75" s="226">
        <f t="shared" si="37"/>
        <v>0</v>
      </c>
      <c r="Z75" s="226">
        <f t="shared" si="37"/>
        <v>0</v>
      </c>
      <c r="AA75" s="226">
        <f t="shared" si="37"/>
        <v>0</v>
      </c>
      <c r="AB75" s="226">
        <f t="shared" si="37"/>
        <v>0</v>
      </c>
      <c r="AC75" s="226">
        <f t="shared" si="37"/>
        <v>0</v>
      </c>
      <c r="AD75" s="226">
        <f t="shared" si="37"/>
        <v>0</v>
      </c>
      <c r="AE75" s="226">
        <f t="shared" si="37"/>
        <v>0</v>
      </c>
      <c r="AF75" s="226">
        <f t="shared" si="37"/>
        <v>162</v>
      </c>
      <c r="AG75" s="226">
        <f t="shared" si="37"/>
        <v>696</v>
      </c>
      <c r="AH75" s="226">
        <f t="shared" si="37"/>
        <v>0</v>
      </c>
      <c r="AI75" s="226">
        <f t="shared" si="37"/>
        <v>0</v>
      </c>
      <c r="AJ75" s="226">
        <f t="shared" si="37"/>
        <v>0</v>
      </c>
      <c r="AK75" s="226">
        <f t="shared" si="37"/>
        <v>219</v>
      </c>
      <c r="AL75" s="226">
        <f t="shared" si="37"/>
        <v>233</v>
      </c>
      <c r="AM75" s="226">
        <f t="shared" si="37"/>
        <v>0</v>
      </c>
      <c r="AN75" s="226">
        <f t="shared" si="37"/>
        <v>0</v>
      </c>
      <c r="AO75" s="226">
        <f t="shared" si="37"/>
        <v>0</v>
      </c>
      <c r="AP75" s="226">
        <f t="shared" si="37"/>
        <v>95</v>
      </c>
      <c r="AQ75" s="226">
        <f t="shared" si="37"/>
        <v>0</v>
      </c>
      <c r="AR75" s="226">
        <f t="shared" si="37"/>
        <v>0</v>
      </c>
      <c r="AS75" s="226">
        <f t="shared" si="37"/>
        <v>85</v>
      </c>
      <c r="AT75" s="226">
        <f t="shared" si="37"/>
        <v>0</v>
      </c>
      <c r="AU75" s="226">
        <f t="shared" si="37"/>
        <v>0</v>
      </c>
      <c r="AV75" s="226">
        <f t="shared" si="37"/>
        <v>0</v>
      </c>
      <c r="AW75" s="226">
        <f t="shared" si="37"/>
        <v>205</v>
      </c>
      <c r="AX75" s="226">
        <f t="shared" si="37"/>
        <v>24</v>
      </c>
      <c r="AY75" s="226">
        <f t="shared" si="37"/>
        <v>0</v>
      </c>
      <c r="AZ75" s="226">
        <f t="shared" si="37"/>
        <v>0</v>
      </c>
      <c r="BA75" s="226">
        <f t="shared" si="37"/>
        <v>0</v>
      </c>
      <c r="BB75" s="227">
        <f t="shared" si="32"/>
        <v>1816</v>
      </c>
      <c r="BC75" s="226">
        <f t="shared" si="35"/>
        <v>2248</v>
      </c>
    </row>
    <row r="76" spans="1:55" ht="21.75" customHeight="1">
      <c r="A76" s="224">
        <v>70</v>
      </c>
      <c r="B76" s="227" t="s">
        <v>873</v>
      </c>
      <c r="R76" s="227">
        <f aca="true" t="shared" si="38" ref="R76:R139">SUM(C76:Q76)</f>
        <v>0</v>
      </c>
      <c r="BB76" s="227">
        <f t="shared" si="32"/>
        <v>0</v>
      </c>
      <c r="BC76" s="226">
        <f t="shared" si="35"/>
        <v>0</v>
      </c>
    </row>
    <row r="77" spans="1:55" ht="21.75" customHeight="1">
      <c r="A77" s="221">
        <v>71</v>
      </c>
      <c r="B77" s="227" t="s">
        <v>550</v>
      </c>
      <c r="R77" s="227">
        <f t="shared" si="38"/>
        <v>0</v>
      </c>
      <c r="V77" s="227">
        <f>580-580</f>
        <v>0</v>
      </c>
      <c r="AB77" s="227">
        <v>985</v>
      </c>
      <c r="AE77" s="227">
        <v>0</v>
      </c>
      <c r="AL77" s="227">
        <f>1627-1627</f>
        <v>0</v>
      </c>
      <c r="BB77" s="227">
        <f t="shared" si="32"/>
        <v>985</v>
      </c>
      <c r="BC77" s="226">
        <f t="shared" si="35"/>
        <v>985</v>
      </c>
    </row>
    <row r="78" spans="1:55" ht="21.75" customHeight="1">
      <c r="A78" s="221">
        <v>72</v>
      </c>
      <c r="B78" s="227" t="s">
        <v>1338</v>
      </c>
      <c r="R78" s="227">
        <f t="shared" si="38"/>
        <v>0</v>
      </c>
      <c r="S78" s="265">
        <v>13</v>
      </c>
      <c r="V78" s="227">
        <v>210</v>
      </c>
      <c r="X78" s="227">
        <v>3</v>
      </c>
      <c r="AB78" s="227">
        <v>31</v>
      </c>
      <c r="AF78" s="227">
        <v>3</v>
      </c>
      <c r="AI78" s="227">
        <v>67</v>
      </c>
      <c r="AJ78" s="227">
        <v>185</v>
      </c>
      <c r="AK78" s="227">
        <v>4864</v>
      </c>
      <c r="BB78" s="227">
        <f t="shared" si="32"/>
        <v>5363</v>
      </c>
      <c r="BC78" s="226">
        <f t="shared" si="35"/>
        <v>5376</v>
      </c>
    </row>
    <row r="79" spans="1:55" ht="21.75" customHeight="1">
      <c r="A79" s="221">
        <v>73</v>
      </c>
      <c r="B79" s="227" t="s">
        <v>1339</v>
      </c>
      <c r="R79" s="227">
        <f t="shared" si="38"/>
        <v>0</v>
      </c>
      <c r="S79" s="265">
        <v>495</v>
      </c>
      <c r="X79" s="227">
        <v>1018</v>
      </c>
      <c r="AF79" s="227">
        <v>321</v>
      </c>
      <c r="AG79" s="227">
        <v>434</v>
      </c>
      <c r="AI79" s="227">
        <v>39</v>
      </c>
      <c r="AK79" s="227">
        <v>3358</v>
      </c>
      <c r="AL79" s="227">
        <v>225</v>
      </c>
      <c r="AP79" s="227">
        <v>153</v>
      </c>
      <c r="AX79" s="227">
        <v>369</v>
      </c>
      <c r="BB79" s="227">
        <f t="shared" si="32"/>
        <v>5917</v>
      </c>
      <c r="BC79" s="226">
        <f t="shared" si="35"/>
        <v>6412</v>
      </c>
    </row>
    <row r="80" spans="1:55" ht="21.75" customHeight="1">
      <c r="A80" s="224">
        <v>74</v>
      </c>
      <c r="B80" s="227" t="s">
        <v>874</v>
      </c>
      <c r="R80" s="227">
        <f t="shared" si="38"/>
        <v>0</v>
      </c>
      <c r="S80" s="265">
        <v>58</v>
      </c>
      <c r="X80" s="227">
        <v>517</v>
      </c>
      <c r="AB80" s="227">
        <v>42</v>
      </c>
      <c r="AF80" s="227">
        <v>74</v>
      </c>
      <c r="AG80" s="227">
        <v>518</v>
      </c>
      <c r="AH80" s="227">
        <v>12459</v>
      </c>
      <c r="AI80" s="227">
        <v>7</v>
      </c>
      <c r="AK80" s="227">
        <v>887</v>
      </c>
      <c r="AL80" s="227">
        <v>79</v>
      </c>
      <c r="AP80" s="227">
        <v>37</v>
      </c>
      <c r="AX80" s="227">
        <v>241</v>
      </c>
      <c r="AY80" s="227">
        <v>2</v>
      </c>
      <c r="BA80" s="227">
        <v>0</v>
      </c>
      <c r="BB80" s="227">
        <f t="shared" si="32"/>
        <v>14863</v>
      </c>
      <c r="BC80" s="226">
        <f t="shared" si="35"/>
        <v>14921</v>
      </c>
    </row>
    <row r="81" spans="1:55" ht="21.75" customHeight="1">
      <c r="A81" s="221">
        <v>75</v>
      </c>
      <c r="B81" s="227" t="s">
        <v>875</v>
      </c>
      <c r="R81" s="227">
        <f t="shared" si="38"/>
        <v>0</v>
      </c>
      <c r="S81" s="265">
        <v>277</v>
      </c>
      <c r="X81" s="227">
        <v>639</v>
      </c>
      <c r="AF81" s="227">
        <v>93</v>
      </c>
      <c r="AG81" s="227">
        <v>176</v>
      </c>
      <c r="AI81" s="227">
        <v>120</v>
      </c>
      <c r="AK81" s="227">
        <v>435</v>
      </c>
      <c r="AL81" s="227">
        <v>46</v>
      </c>
      <c r="AP81" s="227">
        <v>20</v>
      </c>
      <c r="AX81" s="227">
        <v>41</v>
      </c>
      <c r="AY81" s="227">
        <v>58</v>
      </c>
      <c r="BA81" s="227">
        <v>2</v>
      </c>
      <c r="BB81" s="227">
        <f t="shared" si="32"/>
        <v>1630</v>
      </c>
      <c r="BC81" s="226">
        <f t="shared" si="35"/>
        <v>1907</v>
      </c>
    </row>
    <row r="82" spans="1:55" ht="21.75" customHeight="1">
      <c r="A82" s="221">
        <v>76</v>
      </c>
      <c r="B82" s="227" t="s">
        <v>876</v>
      </c>
      <c r="D82" s="228">
        <f>'[4]680001'!$G$13</f>
        <v>120</v>
      </c>
      <c r="E82" s="227">
        <v>110</v>
      </c>
      <c r="R82" s="227">
        <f t="shared" si="38"/>
        <v>230</v>
      </c>
      <c r="S82" s="265">
        <v>74</v>
      </c>
      <c r="V82" s="227">
        <v>191</v>
      </c>
      <c r="X82" s="227">
        <v>7</v>
      </c>
      <c r="AA82" s="227">
        <v>60</v>
      </c>
      <c r="AB82" s="227">
        <v>0</v>
      </c>
      <c r="AG82" s="227">
        <v>45</v>
      </c>
      <c r="AI82" s="227">
        <v>45</v>
      </c>
      <c r="AK82" s="227">
        <v>40</v>
      </c>
      <c r="AL82" s="227">
        <v>0</v>
      </c>
      <c r="AP82" s="227">
        <v>0</v>
      </c>
      <c r="AX82" s="227">
        <v>26</v>
      </c>
      <c r="BB82" s="227">
        <f t="shared" si="32"/>
        <v>414</v>
      </c>
      <c r="BC82" s="226">
        <f t="shared" si="35"/>
        <v>718</v>
      </c>
    </row>
    <row r="83" spans="1:55" ht="21.75" customHeight="1">
      <c r="A83" s="221">
        <v>77</v>
      </c>
      <c r="B83" s="227" t="s">
        <v>1340</v>
      </c>
      <c r="R83" s="227">
        <f t="shared" si="38"/>
        <v>0</v>
      </c>
      <c r="S83" s="265">
        <v>0</v>
      </c>
      <c r="U83" s="227">
        <v>471</v>
      </c>
      <c r="X83" s="689">
        <v>102</v>
      </c>
      <c r="AF83" s="227">
        <v>810</v>
      </c>
      <c r="AG83" s="227">
        <v>579</v>
      </c>
      <c r="AH83" s="227">
        <v>890</v>
      </c>
      <c r="AK83" s="227">
        <v>90</v>
      </c>
      <c r="AL83" s="227">
        <v>0</v>
      </c>
      <c r="AP83" s="227">
        <v>8</v>
      </c>
      <c r="AS83" s="227">
        <v>222</v>
      </c>
      <c r="BB83" s="227">
        <f t="shared" si="32"/>
        <v>3172</v>
      </c>
      <c r="BC83" s="226">
        <f t="shared" si="35"/>
        <v>3172</v>
      </c>
    </row>
    <row r="84" spans="1:55" ht="21.75" customHeight="1">
      <c r="A84" s="224">
        <v>78</v>
      </c>
      <c r="B84" s="227" t="s">
        <v>1341</v>
      </c>
      <c r="R84" s="227">
        <f t="shared" si="38"/>
        <v>0</v>
      </c>
      <c r="S84" s="265">
        <v>10</v>
      </c>
      <c r="AF84" s="227">
        <f>63+80</f>
        <v>143</v>
      </c>
      <c r="AG84" s="227">
        <f>318+49</f>
        <v>367</v>
      </c>
      <c r="AI84" s="227">
        <v>11</v>
      </c>
      <c r="AK84" s="227">
        <v>38</v>
      </c>
      <c r="AL84" s="227">
        <v>4</v>
      </c>
      <c r="AP84" s="227">
        <v>7</v>
      </c>
      <c r="AS84" s="227">
        <v>12</v>
      </c>
      <c r="AX84" s="227">
        <v>27</v>
      </c>
      <c r="BA84" s="227">
        <v>0</v>
      </c>
      <c r="BB84" s="227">
        <f t="shared" si="32"/>
        <v>609</v>
      </c>
      <c r="BC84" s="226">
        <f t="shared" si="35"/>
        <v>619</v>
      </c>
    </row>
    <row r="85" spans="1:55" ht="21.75" customHeight="1">
      <c r="A85" s="221">
        <v>79</v>
      </c>
      <c r="B85" s="227" t="s">
        <v>877</v>
      </c>
      <c r="R85" s="227">
        <f t="shared" si="38"/>
        <v>0</v>
      </c>
      <c r="BB85" s="227">
        <f t="shared" si="32"/>
        <v>0</v>
      </c>
      <c r="BC85" s="226">
        <f t="shared" si="35"/>
        <v>0</v>
      </c>
    </row>
    <row r="86" spans="1:55" ht="21.75" customHeight="1">
      <c r="A86" s="221">
        <v>80</v>
      </c>
      <c r="B86" s="227" t="s">
        <v>1342</v>
      </c>
      <c r="R86" s="227">
        <f t="shared" si="38"/>
        <v>0</v>
      </c>
      <c r="AB86" s="227">
        <v>2411</v>
      </c>
      <c r="BB86" s="227">
        <f t="shared" si="32"/>
        <v>2411</v>
      </c>
      <c r="BC86" s="226">
        <f t="shared" si="35"/>
        <v>2411</v>
      </c>
    </row>
    <row r="87" spans="1:55" s="226" customFormat="1" ht="21.75" customHeight="1">
      <c r="A87" s="221">
        <v>81</v>
      </c>
      <c r="B87" s="226" t="s">
        <v>878</v>
      </c>
      <c r="C87" s="226">
        <f>SUM(C76:C86)</f>
        <v>0</v>
      </c>
      <c r="D87" s="229">
        <f aca="true" t="shared" si="39" ref="D87:Q87">SUM(D76:D86)</f>
        <v>120</v>
      </c>
      <c r="E87" s="226">
        <f t="shared" si="39"/>
        <v>110</v>
      </c>
      <c r="F87" s="226">
        <f t="shared" si="39"/>
        <v>0</v>
      </c>
      <c r="G87" s="226">
        <f t="shared" si="39"/>
        <v>0</v>
      </c>
      <c r="H87" s="226">
        <f t="shared" si="39"/>
        <v>0</v>
      </c>
      <c r="I87" s="226">
        <f t="shared" si="39"/>
        <v>0</v>
      </c>
      <c r="J87" s="226">
        <f t="shared" si="39"/>
        <v>0</v>
      </c>
      <c r="K87" s="226">
        <f t="shared" si="39"/>
        <v>0</v>
      </c>
      <c r="L87" s="226">
        <f t="shared" si="39"/>
        <v>0</v>
      </c>
      <c r="M87" s="226">
        <f t="shared" si="39"/>
        <v>0</v>
      </c>
      <c r="N87" s="226">
        <f t="shared" si="39"/>
        <v>0</v>
      </c>
      <c r="O87" s="226">
        <f t="shared" si="39"/>
        <v>0</v>
      </c>
      <c r="P87" s="226">
        <f t="shared" si="39"/>
        <v>0</v>
      </c>
      <c r="Q87" s="226">
        <f t="shared" si="39"/>
        <v>0</v>
      </c>
      <c r="R87" s="227">
        <f t="shared" si="38"/>
        <v>230</v>
      </c>
      <c r="S87" s="266">
        <f>SUM(S76:S86)</f>
        <v>927</v>
      </c>
      <c r="T87" s="226">
        <f>SUM(T76:T86)</f>
        <v>0</v>
      </c>
      <c r="U87" s="226">
        <f aca="true" t="shared" si="40" ref="U87:BA87">SUM(U76:U86)</f>
        <v>471</v>
      </c>
      <c r="V87" s="226">
        <f t="shared" si="40"/>
        <v>401</v>
      </c>
      <c r="W87" s="226">
        <f t="shared" si="40"/>
        <v>0</v>
      </c>
      <c r="X87" s="226">
        <f t="shared" si="40"/>
        <v>2286</v>
      </c>
      <c r="Y87" s="226">
        <f t="shared" si="40"/>
        <v>0</v>
      </c>
      <c r="Z87" s="226">
        <f t="shared" si="40"/>
        <v>0</v>
      </c>
      <c r="AA87" s="226">
        <f t="shared" si="40"/>
        <v>60</v>
      </c>
      <c r="AB87" s="226">
        <f t="shared" si="40"/>
        <v>3469</v>
      </c>
      <c r="AC87" s="226">
        <f t="shared" si="40"/>
        <v>0</v>
      </c>
      <c r="AD87" s="226">
        <f t="shared" si="40"/>
        <v>0</v>
      </c>
      <c r="AE87" s="226">
        <f t="shared" si="40"/>
        <v>0</v>
      </c>
      <c r="AF87" s="226">
        <f t="shared" si="40"/>
        <v>1444</v>
      </c>
      <c r="AG87" s="226">
        <f t="shared" si="40"/>
        <v>2119</v>
      </c>
      <c r="AH87" s="226">
        <f t="shared" si="40"/>
        <v>13349</v>
      </c>
      <c r="AI87" s="226">
        <f t="shared" si="40"/>
        <v>289</v>
      </c>
      <c r="AJ87" s="226">
        <f t="shared" si="40"/>
        <v>185</v>
      </c>
      <c r="AK87" s="226">
        <f t="shared" si="40"/>
        <v>9712</v>
      </c>
      <c r="AL87" s="226">
        <f t="shared" si="40"/>
        <v>354</v>
      </c>
      <c r="AM87" s="226">
        <f t="shared" si="40"/>
        <v>0</v>
      </c>
      <c r="AN87" s="226">
        <f t="shared" si="40"/>
        <v>0</v>
      </c>
      <c r="AO87" s="226">
        <f t="shared" si="40"/>
        <v>0</v>
      </c>
      <c r="AP87" s="226">
        <f t="shared" si="40"/>
        <v>225</v>
      </c>
      <c r="AQ87" s="226">
        <f t="shared" si="40"/>
        <v>0</v>
      </c>
      <c r="AR87" s="226">
        <f t="shared" si="40"/>
        <v>0</v>
      </c>
      <c r="AS87" s="226">
        <f t="shared" si="40"/>
        <v>234</v>
      </c>
      <c r="AT87" s="226">
        <f t="shared" si="40"/>
        <v>0</v>
      </c>
      <c r="AU87" s="226">
        <f t="shared" si="40"/>
        <v>0</v>
      </c>
      <c r="AV87" s="226">
        <f t="shared" si="40"/>
        <v>0</v>
      </c>
      <c r="AW87" s="226">
        <f t="shared" si="40"/>
        <v>0</v>
      </c>
      <c r="AX87" s="226">
        <f t="shared" si="40"/>
        <v>704</v>
      </c>
      <c r="AY87" s="226">
        <f t="shared" si="40"/>
        <v>60</v>
      </c>
      <c r="AZ87" s="226">
        <f t="shared" si="40"/>
        <v>0</v>
      </c>
      <c r="BA87" s="226">
        <f t="shared" si="40"/>
        <v>2</v>
      </c>
      <c r="BB87" s="227">
        <f t="shared" si="32"/>
        <v>35364</v>
      </c>
      <c r="BC87" s="226">
        <f t="shared" si="35"/>
        <v>36521</v>
      </c>
    </row>
    <row r="88" spans="1:55" ht="21.75" customHeight="1">
      <c r="A88" s="224">
        <v>82</v>
      </c>
      <c r="B88" s="227" t="s">
        <v>879</v>
      </c>
      <c r="C88" s="227">
        <v>157</v>
      </c>
      <c r="E88" s="227">
        <v>276</v>
      </c>
      <c r="R88" s="227">
        <f t="shared" si="38"/>
        <v>433</v>
      </c>
      <c r="S88" s="265">
        <v>251</v>
      </c>
      <c r="T88" s="227">
        <v>8439</v>
      </c>
      <c r="U88" s="227">
        <v>5307</v>
      </c>
      <c r="V88" s="227">
        <v>5</v>
      </c>
      <c r="X88" s="689">
        <f>267+10</f>
        <v>277</v>
      </c>
      <c r="AA88" s="227">
        <v>154</v>
      </c>
      <c r="AB88" s="227">
        <f>96+11-1</f>
        <v>106</v>
      </c>
      <c r="AC88" s="227">
        <v>250</v>
      </c>
      <c r="AF88" s="227">
        <f>547+54</f>
        <v>601</v>
      </c>
      <c r="AG88" s="227">
        <v>1446</v>
      </c>
      <c r="AH88" s="227">
        <v>0</v>
      </c>
      <c r="AI88" s="227">
        <f>13132+100</f>
        <v>13232</v>
      </c>
      <c r="AJ88" s="227">
        <v>334</v>
      </c>
      <c r="AK88" s="227">
        <f>725-163</f>
        <v>562</v>
      </c>
      <c r="AL88" s="227">
        <v>209</v>
      </c>
      <c r="AM88" s="227">
        <v>1095</v>
      </c>
      <c r="AN88" s="227">
        <v>280</v>
      </c>
      <c r="AO88" s="227">
        <f>1200-1200</f>
        <v>0</v>
      </c>
      <c r="AP88" s="227">
        <v>86</v>
      </c>
      <c r="AR88" s="227">
        <v>555</v>
      </c>
      <c r="AW88" s="227">
        <v>6</v>
      </c>
      <c r="AX88" s="227">
        <f>5203+200</f>
        <v>5403</v>
      </c>
      <c r="AY88" s="227">
        <v>25</v>
      </c>
      <c r="BA88" s="227">
        <v>27</v>
      </c>
      <c r="BB88" s="227">
        <f t="shared" si="32"/>
        <v>38399</v>
      </c>
      <c r="BC88" s="226">
        <f t="shared" si="35"/>
        <v>39083</v>
      </c>
    </row>
    <row r="89" spans="1:55" ht="21.75" customHeight="1">
      <c r="A89" s="221">
        <v>83</v>
      </c>
      <c r="B89" s="227" t="s">
        <v>880</v>
      </c>
      <c r="C89" s="227">
        <v>148</v>
      </c>
      <c r="E89" s="227">
        <v>30</v>
      </c>
      <c r="R89" s="227">
        <f t="shared" si="38"/>
        <v>178</v>
      </c>
      <c r="S89" s="265">
        <v>429</v>
      </c>
      <c r="U89" s="227">
        <v>2068</v>
      </c>
      <c r="V89" s="227">
        <v>229</v>
      </c>
      <c r="W89" s="227">
        <v>595</v>
      </c>
      <c r="X89" s="227">
        <v>2743</v>
      </c>
      <c r="Y89" s="227">
        <v>405</v>
      </c>
      <c r="Z89" s="227">
        <v>404</v>
      </c>
      <c r="AA89" s="227">
        <v>86</v>
      </c>
      <c r="AB89" s="227">
        <v>1007</v>
      </c>
      <c r="AE89" s="227">
        <v>24</v>
      </c>
      <c r="AF89" s="227">
        <v>2182</v>
      </c>
      <c r="AG89" s="227">
        <f>1569+172</f>
        <v>1741</v>
      </c>
      <c r="AH89" s="227">
        <v>3422</v>
      </c>
      <c r="AI89" s="227">
        <v>3102</v>
      </c>
      <c r="AJ89" s="227">
        <v>67</v>
      </c>
      <c r="AK89" s="227">
        <v>2875</v>
      </c>
      <c r="AL89" s="227">
        <v>244</v>
      </c>
      <c r="AP89" s="227">
        <v>150</v>
      </c>
      <c r="AQ89" s="227">
        <v>188</v>
      </c>
      <c r="AR89" s="227">
        <v>2</v>
      </c>
      <c r="AS89" s="227">
        <v>309</v>
      </c>
      <c r="AU89" s="227">
        <f>12-12</f>
        <v>0</v>
      </c>
      <c r="AW89" s="227">
        <v>90</v>
      </c>
      <c r="AX89" s="227">
        <v>875</v>
      </c>
      <c r="AY89" s="227">
        <v>39</v>
      </c>
      <c r="AZ89" s="227">
        <v>25</v>
      </c>
      <c r="BA89" s="227">
        <v>8</v>
      </c>
      <c r="BB89" s="227">
        <f t="shared" si="32"/>
        <v>22880</v>
      </c>
      <c r="BC89" s="226">
        <f t="shared" si="35"/>
        <v>23487</v>
      </c>
    </row>
    <row r="90" spans="1:55" ht="21.75" customHeight="1">
      <c r="A90" s="221">
        <v>84</v>
      </c>
      <c r="B90" s="227" t="s">
        <v>881</v>
      </c>
      <c r="E90" s="227">
        <v>1041</v>
      </c>
      <c r="R90" s="227">
        <f t="shared" si="38"/>
        <v>1041</v>
      </c>
      <c r="AG90" s="227">
        <v>3245</v>
      </c>
      <c r="BB90" s="227">
        <f t="shared" si="32"/>
        <v>3245</v>
      </c>
      <c r="BC90" s="226">
        <f t="shared" si="35"/>
        <v>4286</v>
      </c>
    </row>
    <row r="91" spans="1:55" ht="21.75" customHeight="1">
      <c r="A91" s="221">
        <v>85</v>
      </c>
      <c r="B91" s="227" t="s">
        <v>1343</v>
      </c>
      <c r="R91" s="227">
        <f t="shared" si="38"/>
        <v>0</v>
      </c>
      <c r="BB91" s="227">
        <f t="shared" si="32"/>
        <v>0</v>
      </c>
      <c r="BC91" s="226">
        <f t="shared" si="35"/>
        <v>0</v>
      </c>
    </row>
    <row r="92" spans="1:55" s="226" customFormat="1" ht="21.75" customHeight="1">
      <c r="A92" s="224">
        <v>86</v>
      </c>
      <c r="B92" s="226" t="s">
        <v>882</v>
      </c>
      <c r="C92" s="226">
        <f>SUM(C89:C91)</f>
        <v>148</v>
      </c>
      <c r="D92" s="229">
        <f aca="true" t="shared" si="41" ref="D92:Q92">SUM(D89:D91)</f>
        <v>0</v>
      </c>
      <c r="E92" s="226">
        <f t="shared" si="41"/>
        <v>1071</v>
      </c>
      <c r="F92" s="226">
        <f t="shared" si="41"/>
        <v>0</v>
      </c>
      <c r="G92" s="226">
        <f t="shared" si="41"/>
        <v>0</v>
      </c>
      <c r="H92" s="226">
        <f t="shared" si="41"/>
        <v>0</v>
      </c>
      <c r="I92" s="226">
        <f t="shared" si="41"/>
        <v>0</v>
      </c>
      <c r="J92" s="226">
        <f t="shared" si="41"/>
        <v>0</v>
      </c>
      <c r="K92" s="226">
        <f t="shared" si="41"/>
        <v>0</v>
      </c>
      <c r="L92" s="226">
        <f t="shared" si="41"/>
        <v>0</v>
      </c>
      <c r="M92" s="226">
        <f t="shared" si="41"/>
        <v>0</v>
      </c>
      <c r="N92" s="226">
        <f t="shared" si="41"/>
        <v>0</v>
      </c>
      <c r="O92" s="226">
        <f t="shared" si="41"/>
        <v>0</v>
      </c>
      <c r="P92" s="226">
        <f t="shared" si="41"/>
        <v>0</v>
      </c>
      <c r="Q92" s="226">
        <f t="shared" si="41"/>
        <v>0</v>
      </c>
      <c r="R92" s="227">
        <f t="shared" si="38"/>
        <v>1219</v>
      </c>
      <c r="S92" s="266">
        <f>SUM(S89:S91)</f>
        <v>429</v>
      </c>
      <c r="T92" s="226">
        <f>SUM(T89:T91)</f>
        <v>0</v>
      </c>
      <c r="U92" s="226">
        <f aca="true" t="shared" si="42" ref="U92:BA92">SUM(U89:U91)</f>
        <v>2068</v>
      </c>
      <c r="V92" s="226">
        <f t="shared" si="42"/>
        <v>229</v>
      </c>
      <c r="W92" s="226">
        <f t="shared" si="42"/>
        <v>595</v>
      </c>
      <c r="X92" s="226">
        <f t="shared" si="42"/>
        <v>2743</v>
      </c>
      <c r="Y92" s="226">
        <f t="shared" si="42"/>
        <v>405</v>
      </c>
      <c r="Z92" s="226">
        <f t="shared" si="42"/>
        <v>404</v>
      </c>
      <c r="AA92" s="226">
        <f t="shared" si="42"/>
        <v>86</v>
      </c>
      <c r="AB92" s="226">
        <f t="shared" si="42"/>
        <v>1007</v>
      </c>
      <c r="AC92" s="226">
        <f t="shared" si="42"/>
        <v>0</v>
      </c>
      <c r="AD92" s="226">
        <f t="shared" si="42"/>
        <v>0</v>
      </c>
      <c r="AE92" s="226">
        <f t="shared" si="42"/>
        <v>24</v>
      </c>
      <c r="AF92" s="226">
        <f t="shared" si="42"/>
        <v>2182</v>
      </c>
      <c r="AG92" s="226">
        <f t="shared" si="42"/>
        <v>4986</v>
      </c>
      <c r="AH92" s="226">
        <f t="shared" si="42"/>
        <v>3422</v>
      </c>
      <c r="AI92" s="226">
        <f t="shared" si="42"/>
        <v>3102</v>
      </c>
      <c r="AJ92" s="226">
        <f t="shared" si="42"/>
        <v>67</v>
      </c>
      <c r="AK92" s="226">
        <f t="shared" si="42"/>
        <v>2875</v>
      </c>
      <c r="AL92" s="226">
        <f t="shared" si="42"/>
        <v>244</v>
      </c>
      <c r="AM92" s="226">
        <f t="shared" si="42"/>
        <v>0</v>
      </c>
      <c r="AN92" s="226">
        <f t="shared" si="42"/>
        <v>0</v>
      </c>
      <c r="AO92" s="226">
        <f t="shared" si="42"/>
        <v>0</v>
      </c>
      <c r="AP92" s="226">
        <f t="shared" si="42"/>
        <v>150</v>
      </c>
      <c r="AQ92" s="226">
        <f t="shared" si="42"/>
        <v>188</v>
      </c>
      <c r="AR92" s="226">
        <f t="shared" si="42"/>
        <v>2</v>
      </c>
      <c r="AS92" s="226">
        <f t="shared" si="42"/>
        <v>309</v>
      </c>
      <c r="AT92" s="226">
        <f t="shared" si="42"/>
        <v>0</v>
      </c>
      <c r="AU92" s="226">
        <f t="shared" si="42"/>
        <v>0</v>
      </c>
      <c r="AV92" s="226">
        <f t="shared" si="42"/>
        <v>0</v>
      </c>
      <c r="AW92" s="226">
        <f t="shared" si="42"/>
        <v>90</v>
      </c>
      <c r="AX92" s="226">
        <f t="shared" si="42"/>
        <v>875</v>
      </c>
      <c r="AY92" s="226">
        <f t="shared" si="42"/>
        <v>39</v>
      </c>
      <c r="AZ92" s="226">
        <f t="shared" si="42"/>
        <v>25</v>
      </c>
      <c r="BA92" s="226">
        <f t="shared" si="42"/>
        <v>8</v>
      </c>
      <c r="BB92" s="227">
        <f t="shared" si="32"/>
        <v>26125</v>
      </c>
      <c r="BC92" s="226">
        <f t="shared" si="35"/>
        <v>27773</v>
      </c>
    </row>
    <row r="93" spans="1:55" ht="21.75" customHeight="1">
      <c r="A93" s="221">
        <v>87</v>
      </c>
      <c r="B93" s="227" t="s">
        <v>883</v>
      </c>
      <c r="C93" s="227">
        <v>276</v>
      </c>
      <c r="R93" s="227">
        <f t="shared" si="38"/>
        <v>276</v>
      </c>
      <c r="S93" s="265">
        <f>'[1]851011'!$H$53</f>
        <v>5</v>
      </c>
      <c r="X93" s="227">
        <f>30-30</f>
        <v>0</v>
      </c>
      <c r="AF93" s="227">
        <v>21</v>
      </c>
      <c r="AG93" s="227">
        <v>174</v>
      </c>
      <c r="AP93" s="227">
        <v>0</v>
      </c>
      <c r="AS93" s="227">
        <v>0</v>
      </c>
      <c r="BB93" s="227">
        <f t="shared" si="32"/>
        <v>195</v>
      </c>
      <c r="BC93" s="226">
        <f t="shared" si="35"/>
        <v>476</v>
      </c>
    </row>
    <row r="94" spans="1:55" ht="21.75" customHeight="1">
      <c r="A94" s="221">
        <v>88</v>
      </c>
      <c r="B94" s="227" t="s">
        <v>1344</v>
      </c>
      <c r="C94" s="227">
        <v>234</v>
      </c>
      <c r="R94" s="227">
        <f>SUM(C94:Q94)</f>
        <v>234</v>
      </c>
      <c r="S94" s="265">
        <v>11</v>
      </c>
      <c r="AG94" s="227">
        <v>118</v>
      </c>
      <c r="AK94" s="227">
        <v>7</v>
      </c>
      <c r="AP94" s="227">
        <f>5-5</f>
        <v>0</v>
      </c>
      <c r="BB94" s="227">
        <f t="shared" si="32"/>
        <v>125</v>
      </c>
      <c r="BC94" s="226">
        <f t="shared" si="35"/>
        <v>370</v>
      </c>
    </row>
    <row r="95" spans="1:55" ht="21.75" customHeight="1">
      <c r="A95" s="221">
        <v>89</v>
      </c>
      <c r="B95" s="227" t="s">
        <v>884</v>
      </c>
      <c r="C95" s="227">
        <v>50</v>
      </c>
      <c r="R95" s="227">
        <f t="shared" si="38"/>
        <v>50</v>
      </c>
      <c r="AI95" s="227">
        <f>92+3</f>
        <v>95</v>
      </c>
      <c r="BB95" s="227">
        <f t="shared" si="32"/>
        <v>95</v>
      </c>
      <c r="BC95" s="226">
        <f t="shared" si="35"/>
        <v>145</v>
      </c>
    </row>
    <row r="96" spans="1:55" s="226" customFormat="1" ht="21.75" customHeight="1">
      <c r="A96" s="224">
        <v>90</v>
      </c>
      <c r="B96" s="226" t="s">
        <v>885</v>
      </c>
      <c r="C96" s="226">
        <f>SUM(C93:C95)</f>
        <v>560</v>
      </c>
      <c r="D96" s="229">
        <f aca="true" t="shared" si="43" ref="D96:R96">SUM(D93:D95)</f>
        <v>0</v>
      </c>
      <c r="E96" s="226">
        <f t="shared" si="43"/>
        <v>0</v>
      </c>
      <c r="F96" s="226">
        <f t="shared" si="43"/>
        <v>0</v>
      </c>
      <c r="G96" s="226">
        <f t="shared" si="43"/>
        <v>0</v>
      </c>
      <c r="H96" s="226">
        <f t="shared" si="43"/>
        <v>0</v>
      </c>
      <c r="I96" s="226">
        <f t="shared" si="43"/>
        <v>0</v>
      </c>
      <c r="J96" s="226">
        <f t="shared" si="43"/>
        <v>0</v>
      </c>
      <c r="K96" s="226">
        <f t="shared" si="43"/>
        <v>0</v>
      </c>
      <c r="L96" s="226">
        <f t="shared" si="43"/>
        <v>0</v>
      </c>
      <c r="M96" s="226">
        <f t="shared" si="43"/>
        <v>0</v>
      </c>
      <c r="N96" s="226">
        <f t="shared" si="43"/>
        <v>0</v>
      </c>
      <c r="O96" s="226">
        <f t="shared" si="43"/>
        <v>0</v>
      </c>
      <c r="P96" s="226">
        <f t="shared" si="43"/>
        <v>0</v>
      </c>
      <c r="Q96" s="226">
        <f t="shared" si="43"/>
        <v>0</v>
      </c>
      <c r="R96" s="226">
        <f t="shared" si="43"/>
        <v>560</v>
      </c>
      <c r="S96" s="266">
        <f>SUM(S93:S95)</f>
        <v>16</v>
      </c>
      <c r="T96" s="226">
        <f>SUM(T93:T95)</f>
        <v>0</v>
      </c>
      <c r="U96" s="226">
        <f aca="true" t="shared" si="44" ref="U96:BA96">SUM(U93:U95)</f>
        <v>0</v>
      </c>
      <c r="V96" s="226">
        <f t="shared" si="44"/>
        <v>0</v>
      </c>
      <c r="W96" s="226">
        <f t="shared" si="44"/>
        <v>0</v>
      </c>
      <c r="X96" s="226">
        <f t="shared" si="44"/>
        <v>0</v>
      </c>
      <c r="Y96" s="226">
        <f t="shared" si="44"/>
        <v>0</v>
      </c>
      <c r="Z96" s="226">
        <f t="shared" si="44"/>
        <v>0</v>
      </c>
      <c r="AA96" s="226">
        <f t="shared" si="44"/>
        <v>0</v>
      </c>
      <c r="AB96" s="226">
        <f t="shared" si="44"/>
        <v>0</v>
      </c>
      <c r="AC96" s="226">
        <f t="shared" si="44"/>
        <v>0</v>
      </c>
      <c r="AD96" s="226">
        <f t="shared" si="44"/>
        <v>0</v>
      </c>
      <c r="AE96" s="226">
        <f t="shared" si="44"/>
        <v>0</v>
      </c>
      <c r="AF96" s="226">
        <f t="shared" si="44"/>
        <v>21</v>
      </c>
      <c r="AG96" s="226">
        <f t="shared" si="44"/>
        <v>292</v>
      </c>
      <c r="AH96" s="226">
        <f t="shared" si="44"/>
        <v>0</v>
      </c>
      <c r="AI96" s="226">
        <f t="shared" si="44"/>
        <v>95</v>
      </c>
      <c r="AJ96" s="226">
        <f t="shared" si="44"/>
        <v>0</v>
      </c>
      <c r="AK96" s="226">
        <f t="shared" si="44"/>
        <v>7</v>
      </c>
      <c r="AL96" s="226">
        <f t="shared" si="44"/>
        <v>0</v>
      </c>
      <c r="AM96" s="226">
        <f t="shared" si="44"/>
        <v>0</v>
      </c>
      <c r="AN96" s="226">
        <f t="shared" si="44"/>
        <v>0</v>
      </c>
      <c r="AO96" s="226">
        <f t="shared" si="44"/>
        <v>0</v>
      </c>
      <c r="AP96" s="226">
        <f t="shared" si="44"/>
        <v>0</v>
      </c>
      <c r="AQ96" s="226">
        <f t="shared" si="44"/>
        <v>0</v>
      </c>
      <c r="AR96" s="226">
        <f t="shared" si="44"/>
        <v>0</v>
      </c>
      <c r="AS96" s="226">
        <f t="shared" si="44"/>
        <v>0</v>
      </c>
      <c r="AT96" s="226">
        <f t="shared" si="44"/>
        <v>0</v>
      </c>
      <c r="AU96" s="226">
        <f t="shared" si="44"/>
        <v>0</v>
      </c>
      <c r="AV96" s="226">
        <f t="shared" si="44"/>
        <v>0</v>
      </c>
      <c r="AW96" s="226">
        <f t="shared" si="44"/>
        <v>0</v>
      </c>
      <c r="AX96" s="226">
        <f t="shared" si="44"/>
        <v>0</v>
      </c>
      <c r="AY96" s="226">
        <f t="shared" si="44"/>
        <v>0</v>
      </c>
      <c r="AZ96" s="226">
        <f t="shared" si="44"/>
        <v>0</v>
      </c>
      <c r="BA96" s="226">
        <f t="shared" si="44"/>
        <v>0</v>
      </c>
      <c r="BB96" s="227">
        <f t="shared" si="32"/>
        <v>415</v>
      </c>
      <c r="BC96" s="226">
        <f t="shared" si="35"/>
        <v>991</v>
      </c>
    </row>
    <row r="97" spans="1:55" ht="21.75" customHeight="1">
      <c r="A97" s="221">
        <v>91</v>
      </c>
      <c r="B97" s="227" t="s">
        <v>886</v>
      </c>
      <c r="C97" s="227">
        <v>137</v>
      </c>
      <c r="R97" s="227">
        <f t="shared" si="38"/>
        <v>137</v>
      </c>
      <c r="S97" s="265">
        <v>82</v>
      </c>
      <c r="BB97" s="227">
        <f t="shared" si="32"/>
        <v>0</v>
      </c>
      <c r="BC97" s="226">
        <f t="shared" si="35"/>
        <v>219</v>
      </c>
    </row>
    <row r="98" spans="1:55" s="226" customFormat="1" ht="21.75" customHeight="1">
      <c r="A98" s="221">
        <v>92</v>
      </c>
      <c r="B98" s="226" t="s">
        <v>887</v>
      </c>
      <c r="C98" s="226">
        <f>SUM(C97,C96,C92,C88,C87,C75,C71)</f>
        <v>1316</v>
      </c>
      <c r="D98" s="229">
        <f aca="true" t="shared" si="45" ref="D98:Q98">SUM(D97,D96,D92,D88,D87,D75,D71)</f>
        <v>120</v>
      </c>
      <c r="E98" s="226">
        <f t="shared" si="45"/>
        <v>1457</v>
      </c>
      <c r="F98" s="226">
        <f t="shared" si="45"/>
        <v>0</v>
      </c>
      <c r="G98" s="226">
        <f t="shared" si="45"/>
        <v>0</v>
      </c>
      <c r="H98" s="226">
        <f t="shared" si="45"/>
        <v>0</v>
      </c>
      <c r="I98" s="226">
        <f t="shared" si="45"/>
        <v>0</v>
      </c>
      <c r="J98" s="226">
        <f t="shared" si="45"/>
        <v>0</v>
      </c>
      <c r="K98" s="226">
        <f t="shared" si="45"/>
        <v>0</v>
      </c>
      <c r="L98" s="226">
        <f t="shared" si="45"/>
        <v>0</v>
      </c>
      <c r="M98" s="226">
        <f t="shared" si="45"/>
        <v>0</v>
      </c>
      <c r="N98" s="226">
        <f t="shared" si="45"/>
        <v>0</v>
      </c>
      <c r="O98" s="226">
        <f t="shared" si="45"/>
        <v>0</v>
      </c>
      <c r="P98" s="226">
        <f t="shared" si="45"/>
        <v>0</v>
      </c>
      <c r="Q98" s="226">
        <f t="shared" si="45"/>
        <v>0</v>
      </c>
      <c r="R98" s="227">
        <f t="shared" si="38"/>
        <v>2893</v>
      </c>
      <c r="S98" s="266">
        <f>SUM(S97,S96,S92,S88,S87,S75,S71)</f>
        <v>2404</v>
      </c>
      <c r="T98" s="226">
        <f>SUM(T97,T96,T92,T88,T87,T75,T71)</f>
        <v>8439</v>
      </c>
      <c r="U98" s="226">
        <f aca="true" t="shared" si="46" ref="U98:BA98">SUM(U97,U96,U92,U88,U87,U75,U71)</f>
        <v>9728</v>
      </c>
      <c r="V98" s="226">
        <f t="shared" si="46"/>
        <v>1087</v>
      </c>
      <c r="W98" s="226">
        <f t="shared" si="46"/>
        <v>3014</v>
      </c>
      <c r="X98" s="226">
        <f t="shared" si="46"/>
        <v>13564</v>
      </c>
      <c r="Y98" s="226">
        <f t="shared" si="46"/>
        <v>2051</v>
      </c>
      <c r="Z98" s="226">
        <f t="shared" si="46"/>
        <v>2035</v>
      </c>
      <c r="AA98" s="226">
        <f t="shared" si="46"/>
        <v>402</v>
      </c>
      <c r="AB98" s="226">
        <f t="shared" si="46"/>
        <v>4753</v>
      </c>
      <c r="AC98" s="226">
        <f t="shared" si="46"/>
        <v>250</v>
      </c>
      <c r="AD98" s="226">
        <f t="shared" si="46"/>
        <v>0</v>
      </c>
      <c r="AE98" s="226">
        <f t="shared" si="46"/>
        <v>114</v>
      </c>
      <c r="AF98" s="226">
        <f t="shared" si="46"/>
        <v>10308</v>
      </c>
      <c r="AG98" s="226">
        <f t="shared" si="46"/>
        <v>11704</v>
      </c>
      <c r="AH98" s="226">
        <f t="shared" si="46"/>
        <v>16771</v>
      </c>
      <c r="AI98" s="226">
        <f t="shared" si="46"/>
        <v>17023</v>
      </c>
      <c r="AJ98" s="226">
        <f t="shared" si="46"/>
        <v>586</v>
      </c>
      <c r="AK98" s="226">
        <f t="shared" si="46"/>
        <v>14099</v>
      </c>
      <c r="AL98" s="226">
        <f t="shared" si="46"/>
        <v>1154</v>
      </c>
      <c r="AM98" s="226">
        <f t="shared" si="46"/>
        <v>1095</v>
      </c>
      <c r="AN98" s="226">
        <f t="shared" si="46"/>
        <v>280</v>
      </c>
      <c r="AO98" s="226">
        <f t="shared" si="46"/>
        <v>0</v>
      </c>
      <c r="AP98" s="226">
        <f t="shared" si="46"/>
        <v>590</v>
      </c>
      <c r="AQ98" s="226">
        <f t="shared" si="46"/>
        <v>949</v>
      </c>
      <c r="AR98" s="226">
        <f t="shared" si="46"/>
        <v>557</v>
      </c>
      <c r="AS98" s="226">
        <f t="shared" si="46"/>
        <v>1485</v>
      </c>
      <c r="AT98" s="226">
        <f t="shared" si="46"/>
        <v>0</v>
      </c>
      <c r="AU98" s="226">
        <f t="shared" si="46"/>
        <v>0</v>
      </c>
      <c r="AV98" s="226">
        <f t="shared" si="46"/>
        <v>0</v>
      </c>
      <c r="AW98" s="226">
        <f t="shared" si="46"/>
        <v>496</v>
      </c>
      <c r="AX98" s="226">
        <f t="shared" si="46"/>
        <v>7094</v>
      </c>
      <c r="AY98" s="226">
        <f t="shared" si="46"/>
        <v>207</v>
      </c>
      <c r="AZ98" s="226">
        <f t="shared" si="46"/>
        <v>123</v>
      </c>
      <c r="BA98" s="226">
        <f t="shared" si="46"/>
        <v>37</v>
      </c>
      <c r="BB98" s="227">
        <f t="shared" si="32"/>
        <v>129995</v>
      </c>
      <c r="BC98" s="226">
        <f t="shared" si="35"/>
        <v>135292</v>
      </c>
    </row>
    <row r="99" spans="1:55" ht="21.75" customHeight="1">
      <c r="A99" s="221">
        <v>93</v>
      </c>
      <c r="B99" s="227" t="s">
        <v>888</v>
      </c>
      <c r="R99" s="227">
        <f t="shared" si="38"/>
        <v>0</v>
      </c>
      <c r="AF99" s="227">
        <f>'[3]kisegmg'!$E$55</f>
        <v>0</v>
      </c>
      <c r="AG99" s="227">
        <f>2372-2372</f>
        <v>0</v>
      </c>
      <c r="BB99" s="227">
        <f t="shared" si="32"/>
        <v>0</v>
      </c>
      <c r="BC99" s="226">
        <f t="shared" si="35"/>
        <v>0</v>
      </c>
    </row>
    <row r="100" spans="1:55" s="226" customFormat="1" ht="21.75" customHeight="1">
      <c r="A100" s="224">
        <v>94</v>
      </c>
      <c r="B100" s="226" t="s">
        <v>889</v>
      </c>
      <c r="D100" s="229"/>
      <c r="R100" s="227">
        <f t="shared" si="38"/>
        <v>0</v>
      </c>
      <c r="S100" s="266">
        <f>SUM(S99:S99)</f>
        <v>0</v>
      </c>
      <c r="U100" s="226">
        <f>SUM(U99:U99)</f>
        <v>0</v>
      </c>
      <c r="V100" s="226">
        <f>SUM(V99:V99)</f>
        <v>0</v>
      </c>
      <c r="W100" s="226">
        <f>SUM(W99:W99)</f>
        <v>0</v>
      </c>
      <c r="X100" s="226">
        <f>SUM(X99:X99)</f>
        <v>0</v>
      </c>
      <c r="Y100" s="226">
        <f>SUM(Y99:Y99)</f>
        <v>0</v>
      </c>
      <c r="AA100" s="226">
        <f aca="true" t="shared" si="47" ref="AA100:AN100">SUM(AA99:AA99)</f>
        <v>0</v>
      </c>
      <c r="AB100" s="226">
        <f t="shared" si="47"/>
        <v>0</v>
      </c>
      <c r="AC100" s="226">
        <f t="shared" si="47"/>
        <v>0</v>
      </c>
      <c r="AD100" s="226">
        <f t="shared" si="47"/>
        <v>0</v>
      </c>
      <c r="AE100" s="226">
        <f t="shared" si="47"/>
        <v>0</v>
      </c>
      <c r="AF100" s="226">
        <f t="shared" si="47"/>
        <v>0</v>
      </c>
      <c r="AG100" s="226">
        <f t="shared" si="47"/>
        <v>0</v>
      </c>
      <c r="AH100" s="226">
        <f t="shared" si="47"/>
        <v>0</v>
      </c>
      <c r="AI100" s="226">
        <f t="shared" si="47"/>
        <v>0</v>
      </c>
      <c r="AJ100" s="226">
        <f t="shared" si="47"/>
        <v>0</v>
      </c>
      <c r="AK100" s="226">
        <f t="shared" si="47"/>
        <v>0</v>
      </c>
      <c r="AL100" s="226">
        <f t="shared" si="47"/>
        <v>0</v>
      </c>
      <c r="AM100" s="226">
        <f t="shared" si="47"/>
        <v>0</v>
      </c>
      <c r="AN100" s="226">
        <f t="shared" si="47"/>
        <v>0</v>
      </c>
      <c r="AP100" s="226">
        <f>SUM(AP99:AP99)</f>
        <v>0</v>
      </c>
      <c r="AQ100" s="226">
        <f aca="true" t="shared" si="48" ref="AQ100:BA100">SUM(AQ99:AQ99)</f>
        <v>0</v>
      </c>
      <c r="AR100" s="226">
        <f t="shared" si="48"/>
        <v>0</v>
      </c>
      <c r="AS100" s="226">
        <f t="shared" si="48"/>
        <v>0</v>
      </c>
      <c r="AT100" s="226">
        <f t="shared" si="48"/>
        <v>0</v>
      </c>
      <c r="AU100" s="226">
        <f t="shared" si="48"/>
        <v>0</v>
      </c>
      <c r="AV100" s="226">
        <f t="shared" si="48"/>
        <v>0</v>
      </c>
      <c r="AW100" s="226">
        <f t="shared" si="48"/>
        <v>0</v>
      </c>
      <c r="AX100" s="226">
        <f t="shared" si="48"/>
        <v>0</v>
      </c>
      <c r="AY100" s="226">
        <f t="shared" si="48"/>
        <v>0</v>
      </c>
      <c r="AZ100" s="226">
        <f t="shared" si="48"/>
        <v>0</v>
      </c>
      <c r="BA100" s="226">
        <f t="shared" si="48"/>
        <v>0</v>
      </c>
      <c r="BB100" s="227">
        <f t="shared" si="32"/>
        <v>0</v>
      </c>
      <c r="BC100" s="226">
        <f t="shared" si="35"/>
        <v>0</v>
      </c>
    </row>
    <row r="101" spans="1:55" ht="21.75" customHeight="1">
      <c r="A101" s="221">
        <v>95</v>
      </c>
      <c r="B101" s="227" t="s">
        <v>890</v>
      </c>
      <c r="R101" s="227">
        <f t="shared" si="38"/>
        <v>0</v>
      </c>
      <c r="BB101" s="227">
        <f t="shared" si="32"/>
        <v>0</v>
      </c>
      <c r="BC101" s="226">
        <f t="shared" si="35"/>
        <v>0</v>
      </c>
    </row>
    <row r="102" spans="1:55" ht="21.75" customHeight="1">
      <c r="A102" s="221">
        <v>96</v>
      </c>
      <c r="B102" s="227" t="s">
        <v>1705</v>
      </c>
      <c r="C102" s="227">
        <v>1879</v>
      </c>
      <c r="R102" s="227">
        <f t="shared" si="38"/>
        <v>1879</v>
      </c>
      <c r="AG102" s="227">
        <v>782</v>
      </c>
      <c r="AX102" s="227">
        <v>106</v>
      </c>
      <c r="BB102" s="227">
        <f t="shared" si="32"/>
        <v>888</v>
      </c>
      <c r="BC102" s="226">
        <f t="shared" si="35"/>
        <v>2767</v>
      </c>
    </row>
    <row r="103" spans="1:55" s="226" customFormat="1" ht="21.75" customHeight="1">
      <c r="A103" s="221">
        <v>97</v>
      </c>
      <c r="B103" s="226" t="s">
        <v>891</v>
      </c>
      <c r="C103" s="226">
        <f>SUM(C101:C102)</f>
        <v>1879</v>
      </c>
      <c r="D103" s="229">
        <f>SUM(D101:D102)</f>
        <v>0</v>
      </c>
      <c r="E103" s="226">
        <f>SUM(E101:E102)</f>
        <v>0</v>
      </c>
      <c r="F103" s="226">
        <f aca="true" t="shared" si="49" ref="F103:Q103">SUM(F101:F102)</f>
        <v>0</v>
      </c>
      <c r="G103" s="226">
        <f t="shared" si="49"/>
        <v>0</v>
      </c>
      <c r="H103" s="226">
        <f t="shared" si="49"/>
        <v>0</v>
      </c>
      <c r="I103" s="226">
        <f t="shared" si="49"/>
        <v>0</v>
      </c>
      <c r="J103" s="226">
        <f t="shared" si="49"/>
        <v>0</v>
      </c>
      <c r="K103" s="226">
        <f t="shared" si="49"/>
        <v>0</v>
      </c>
      <c r="L103" s="226">
        <f t="shared" si="49"/>
        <v>0</v>
      </c>
      <c r="M103" s="226">
        <f t="shared" si="49"/>
        <v>0</v>
      </c>
      <c r="N103" s="226">
        <f t="shared" si="49"/>
        <v>0</v>
      </c>
      <c r="O103" s="226">
        <f t="shared" si="49"/>
        <v>0</v>
      </c>
      <c r="P103" s="226">
        <f t="shared" si="49"/>
        <v>0</v>
      </c>
      <c r="Q103" s="226">
        <f t="shared" si="49"/>
        <v>0</v>
      </c>
      <c r="R103" s="227">
        <f t="shared" si="38"/>
        <v>1879</v>
      </c>
      <c r="S103" s="266">
        <f aca="true" t="shared" si="50" ref="S103:Y103">SUM(S101:S102)</f>
        <v>0</v>
      </c>
      <c r="T103" s="226">
        <f t="shared" si="50"/>
        <v>0</v>
      </c>
      <c r="U103" s="226">
        <f t="shared" si="50"/>
        <v>0</v>
      </c>
      <c r="V103" s="226">
        <f t="shared" si="50"/>
        <v>0</v>
      </c>
      <c r="W103" s="226">
        <f t="shared" si="50"/>
        <v>0</v>
      </c>
      <c r="X103" s="226">
        <f t="shared" si="50"/>
        <v>0</v>
      </c>
      <c r="Y103" s="226">
        <f t="shared" si="50"/>
        <v>0</v>
      </c>
      <c r="AA103" s="226">
        <f aca="true" t="shared" si="51" ref="AA103:AN103">SUM(AA101:AA102)</f>
        <v>0</v>
      </c>
      <c r="AB103" s="226">
        <f t="shared" si="51"/>
        <v>0</v>
      </c>
      <c r="AC103" s="226">
        <f t="shared" si="51"/>
        <v>0</v>
      </c>
      <c r="AD103" s="226">
        <f t="shared" si="51"/>
        <v>0</v>
      </c>
      <c r="AE103" s="226">
        <f t="shared" si="51"/>
        <v>0</v>
      </c>
      <c r="AF103" s="226">
        <f t="shared" si="51"/>
        <v>0</v>
      </c>
      <c r="AG103" s="226">
        <f t="shared" si="51"/>
        <v>782</v>
      </c>
      <c r="AH103" s="226">
        <f t="shared" si="51"/>
        <v>0</v>
      </c>
      <c r="AI103" s="226">
        <f t="shared" si="51"/>
        <v>0</v>
      </c>
      <c r="AJ103" s="226">
        <f t="shared" si="51"/>
        <v>0</v>
      </c>
      <c r="AK103" s="226">
        <f t="shared" si="51"/>
        <v>0</v>
      </c>
      <c r="AL103" s="226">
        <f t="shared" si="51"/>
        <v>0</v>
      </c>
      <c r="AM103" s="226">
        <f t="shared" si="51"/>
        <v>0</v>
      </c>
      <c r="AN103" s="226">
        <f t="shared" si="51"/>
        <v>0</v>
      </c>
      <c r="AP103" s="226">
        <f aca="true" t="shared" si="52" ref="AP103:BA103">SUM(AP101:AP102)</f>
        <v>0</v>
      </c>
      <c r="AQ103" s="226">
        <f t="shared" si="52"/>
        <v>0</v>
      </c>
      <c r="AR103" s="226">
        <f t="shared" si="52"/>
        <v>0</v>
      </c>
      <c r="AS103" s="226">
        <f t="shared" si="52"/>
        <v>0</v>
      </c>
      <c r="AT103" s="226">
        <f t="shared" si="52"/>
        <v>0</v>
      </c>
      <c r="AU103" s="226">
        <f t="shared" si="52"/>
        <v>0</v>
      </c>
      <c r="AV103" s="226">
        <f t="shared" si="52"/>
        <v>0</v>
      </c>
      <c r="AW103" s="226">
        <f t="shared" si="52"/>
        <v>0</v>
      </c>
      <c r="AX103" s="226">
        <f t="shared" si="52"/>
        <v>106</v>
      </c>
      <c r="AY103" s="226">
        <f t="shared" si="52"/>
        <v>0</v>
      </c>
      <c r="AZ103" s="226">
        <f t="shared" si="52"/>
        <v>0</v>
      </c>
      <c r="BA103" s="226">
        <f t="shared" si="52"/>
        <v>0</v>
      </c>
      <c r="BB103" s="227">
        <f t="shared" si="32"/>
        <v>888</v>
      </c>
      <c r="BC103" s="226">
        <f t="shared" si="35"/>
        <v>2767</v>
      </c>
    </row>
    <row r="104" spans="1:55" ht="21.75" customHeight="1">
      <c r="A104" s="224">
        <v>98</v>
      </c>
      <c r="B104" s="227" t="s">
        <v>892</v>
      </c>
      <c r="R104" s="227">
        <f t="shared" si="38"/>
        <v>0</v>
      </c>
      <c r="BB104" s="227">
        <f t="shared" si="32"/>
        <v>0</v>
      </c>
      <c r="BC104" s="226">
        <f t="shared" si="35"/>
        <v>0</v>
      </c>
    </row>
    <row r="105" spans="1:55" ht="21.75" customHeight="1">
      <c r="A105" s="221">
        <v>99</v>
      </c>
      <c r="B105" s="227" t="s">
        <v>1704</v>
      </c>
      <c r="R105" s="227">
        <f t="shared" si="38"/>
        <v>0</v>
      </c>
      <c r="U105" s="227">
        <v>50</v>
      </c>
      <c r="AF105" s="227">
        <v>154</v>
      </c>
      <c r="AG105" s="227">
        <v>825</v>
      </c>
      <c r="AL105" s="227">
        <v>0</v>
      </c>
      <c r="AP105" s="227">
        <v>15</v>
      </c>
      <c r="AS105" s="227">
        <v>77</v>
      </c>
      <c r="BB105" s="227">
        <f t="shared" si="32"/>
        <v>1121</v>
      </c>
      <c r="BC105" s="226">
        <f t="shared" si="35"/>
        <v>1121</v>
      </c>
    </row>
    <row r="106" spans="1:55" s="226" customFormat="1" ht="21.75" customHeight="1">
      <c r="A106" s="221">
        <v>100</v>
      </c>
      <c r="B106" s="226" t="s">
        <v>893</v>
      </c>
      <c r="C106" s="226">
        <f>SUM(C103,C100,C104,C105)</f>
        <v>1879</v>
      </c>
      <c r="D106" s="229">
        <f>SUM(D103,D100,D104,D105)</f>
        <v>0</v>
      </c>
      <c r="E106" s="226">
        <f>SUM(E103,E100,E104,E105)</f>
        <v>0</v>
      </c>
      <c r="F106" s="226">
        <f aca="true" t="shared" si="53" ref="F106:Q106">SUM(F103,F100,F104,F105)</f>
        <v>0</v>
      </c>
      <c r="G106" s="226">
        <f t="shared" si="53"/>
        <v>0</v>
      </c>
      <c r="H106" s="226">
        <f t="shared" si="53"/>
        <v>0</v>
      </c>
      <c r="I106" s="226">
        <f t="shared" si="53"/>
        <v>0</v>
      </c>
      <c r="J106" s="226">
        <f t="shared" si="53"/>
        <v>0</v>
      </c>
      <c r="K106" s="226">
        <f t="shared" si="53"/>
        <v>0</v>
      </c>
      <c r="L106" s="226">
        <f t="shared" si="53"/>
        <v>0</v>
      </c>
      <c r="M106" s="226">
        <f t="shared" si="53"/>
        <v>0</v>
      </c>
      <c r="N106" s="226">
        <f t="shared" si="53"/>
        <v>0</v>
      </c>
      <c r="O106" s="226">
        <f t="shared" si="53"/>
        <v>0</v>
      </c>
      <c r="P106" s="226">
        <f t="shared" si="53"/>
        <v>0</v>
      </c>
      <c r="Q106" s="226">
        <f t="shared" si="53"/>
        <v>0</v>
      </c>
      <c r="R106" s="227">
        <f t="shared" si="38"/>
        <v>1879</v>
      </c>
      <c r="S106" s="266">
        <f>SUM(S103,S100,S104,S105)</f>
        <v>0</v>
      </c>
      <c r="T106" s="226">
        <f>SUM(T103,T100,T104,T105)</f>
        <v>0</v>
      </c>
      <c r="U106" s="226">
        <f>SUM(U103,U100,U104,U105)</f>
        <v>50</v>
      </c>
      <c r="V106" s="226">
        <f>SUM(V103,V100,V104,V105)</f>
        <v>0</v>
      </c>
      <c r="X106" s="226">
        <f>SUM(X103,X100,X104,X105)</f>
        <v>0</v>
      </c>
      <c r="AA106" s="226">
        <f aca="true" t="shared" si="54" ref="AA106:AN106">SUM(AA103,AA100,AA104,AA105)</f>
        <v>0</v>
      </c>
      <c r="AB106" s="226">
        <f t="shared" si="54"/>
        <v>0</v>
      </c>
      <c r="AC106" s="226">
        <f t="shared" si="54"/>
        <v>0</v>
      </c>
      <c r="AD106" s="226">
        <f t="shared" si="54"/>
        <v>0</v>
      </c>
      <c r="AE106" s="226">
        <f t="shared" si="54"/>
        <v>0</v>
      </c>
      <c r="AF106" s="226">
        <f t="shared" si="54"/>
        <v>154</v>
      </c>
      <c r="AG106" s="226">
        <f t="shared" si="54"/>
        <v>1607</v>
      </c>
      <c r="AH106" s="226">
        <f t="shared" si="54"/>
        <v>0</v>
      </c>
      <c r="AI106" s="226">
        <f t="shared" si="54"/>
        <v>0</v>
      </c>
      <c r="AJ106" s="226">
        <f t="shared" si="54"/>
        <v>0</v>
      </c>
      <c r="AK106" s="226">
        <f t="shared" si="54"/>
        <v>0</v>
      </c>
      <c r="AL106" s="226">
        <f t="shared" si="54"/>
        <v>0</v>
      </c>
      <c r="AM106" s="226">
        <f t="shared" si="54"/>
        <v>0</v>
      </c>
      <c r="AN106" s="226">
        <f t="shared" si="54"/>
        <v>0</v>
      </c>
      <c r="AP106" s="226">
        <f>SUM(AP103,AP100,AP104,AP105)</f>
        <v>15</v>
      </c>
      <c r="AR106" s="226">
        <f aca="true" t="shared" si="55" ref="AR106:BA106">SUM(AR103,AR100,AR104,AR105)</f>
        <v>0</v>
      </c>
      <c r="AS106" s="226">
        <f t="shared" si="55"/>
        <v>77</v>
      </c>
      <c r="AT106" s="226">
        <f t="shared" si="55"/>
        <v>0</v>
      </c>
      <c r="AU106" s="226">
        <f t="shared" si="55"/>
        <v>0</v>
      </c>
      <c r="AV106" s="226">
        <f t="shared" si="55"/>
        <v>0</v>
      </c>
      <c r="AW106" s="226">
        <f t="shared" si="55"/>
        <v>0</v>
      </c>
      <c r="AX106" s="226">
        <f t="shared" si="55"/>
        <v>106</v>
      </c>
      <c r="AY106" s="226">
        <f t="shared" si="55"/>
        <v>0</v>
      </c>
      <c r="AZ106" s="226">
        <f t="shared" si="55"/>
        <v>0</v>
      </c>
      <c r="BA106" s="226">
        <f t="shared" si="55"/>
        <v>0</v>
      </c>
      <c r="BB106" s="227">
        <f t="shared" si="32"/>
        <v>2009</v>
      </c>
      <c r="BC106" s="226">
        <f t="shared" si="35"/>
        <v>3888</v>
      </c>
    </row>
    <row r="107" spans="1:55" s="226" customFormat="1" ht="21.75" customHeight="1">
      <c r="A107" s="221">
        <v>101</v>
      </c>
      <c r="B107" s="688" t="s">
        <v>894</v>
      </c>
      <c r="C107" s="226">
        <f>SUM(C106,C98)</f>
        <v>3195</v>
      </c>
      <c r="D107" s="229">
        <f>SUM(D106,D98)</f>
        <v>120</v>
      </c>
      <c r="E107" s="226">
        <f>SUM(E106,E98)</f>
        <v>1457</v>
      </c>
      <c r="F107" s="226">
        <f aca="true" t="shared" si="56" ref="F107:Q107">SUM(F106,F98)</f>
        <v>0</v>
      </c>
      <c r="G107" s="226">
        <f t="shared" si="56"/>
        <v>0</v>
      </c>
      <c r="H107" s="226">
        <f t="shared" si="56"/>
        <v>0</v>
      </c>
      <c r="I107" s="226">
        <f t="shared" si="56"/>
        <v>0</v>
      </c>
      <c r="J107" s="226">
        <f t="shared" si="56"/>
        <v>0</v>
      </c>
      <c r="K107" s="226">
        <f t="shared" si="56"/>
        <v>0</v>
      </c>
      <c r="L107" s="226">
        <f t="shared" si="56"/>
        <v>0</v>
      </c>
      <c r="M107" s="226">
        <f t="shared" si="56"/>
        <v>0</v>
      </c>
      <c r="N107" s="226">
        <f t="shared" si="56"/>
        <v>0</v>
      </c>
      <c r="O107" s="226">
        <f t="shared" si="56"/>
        <v>0</v>
      </c>
      <c r="P107" s="226">
        <f t="shared" si="56"/>
        <v>0</v>
      </c>
      <c r="Q107" s="226">
        <f t="shared" si="56"/>
        <v>0</v>
      </c>
      <c r="R107" s="227">
        <f t="shared" si="38"/>
        <v>4772</v>
      </c>
      <c r="S107" s="266">
        <f aca="true" t="shared" si="57" ref="S107:BA107">SUM(S106,S98)</f>
        <v>2404</v>
      </c>
      <c r="T107" s="226">
        <f t="shared" si="57"/>
        <v>8439</v>
      </c>
      <c r="U107" s="226">
        <f t="shared" si="57"/>
        <v>9778</v>
      </c>
      <c r="V107" s="226">
        <f t="shared" si="57"/>
        <v>1087</v>
      </c>
      <c r="W107" s="226">
        <f t="shared" si="57"/>
        <v>3014</v>
      </c>
      <c r="X107" s="226">
        <f t="shared" si="57"/>
        <v>13564</v>
      </c>
      <c r="Y107" s="226">
        <f t="shared" si="57"/>
        <v>2051</v>
      </c>
      <c r="Z107" s="226">
        <f t="shared" si="57"/>
        <v>2035</v>
      </c>
      <c r="AA107" s="226">
        <f t="shared" si="57"/>
        <v>402</v>
      </c>
      <c r="AB107" s="226">
        <f t="shared" si="57"/>
        <v>4753</v>
      </c>
      <c r="AC107" s="226">
        <f t="shared" si="57"/>
        <v>250</v>
      </c>
      <c r="AD107" s="226">
        <f t="shared" si="57"/>
        <v>0</v>
      </c>
      <c r="AE107" s="226">
        <f t="shared" si="57"/>
        <v>114</v>
      </c>
      <c r="AF107" s="226">
        <f t="shared" si="57"/>
        <v>10462</v>
      </c>
      <c r="AG107" s="226">
        <f t="shared" si="57"/>
        <v>13311</v>
      </c>
      <c r="AH107" s="226">
        <f t="shared" si="57"/>
        <v>16771</v>
      </c>
      <c r="AI107" s="226">
        <f t="shared" si="57"/>
        <v>17023</v>
      </c>
      <c r="AJ107" s="226">
        <f t="shared" si="57"/>
        <v>586</v>
      </c>
      <c r="AK107" s="226">
        <f t="shared" si="57"/>
        <v>14099</v>
      </c>
      <c r="AL107" s="226">
        <f t="shared" si="57"/>
        <v>1154</v>
      </c>
      <c r="AM107" s="226">
        <f t="shared" si="57"/>
        <v>1095</v>
      </c>
      <c r="AN107" s="226">
        <f t="shared" si="57"/>
        <v>280</v>
      </c>
      <c r="AO107" s="226">
        <f t="shared" si="57"/>
        <v>0</v>
      </c>
      <c r="AP107" s="226">
        <f t="shared" si="57"/>
        <v>605</v>
      </c>
      <c r="AQ107" s="226">
        <f t="shared" si="57"/>
        <v>949</v>
      </c>
      <c r="AR107" s="226">
        <f t="shared" si="57"/>
        <v>557</v>
      </c>
      <c r="AS107" s="226">
        <f t="shared" si="57"/>
        <v>1562</v>
      </c>
      <c r="AT107" s="226">
        <f t="shared" si="57"/>
        <v>0</v>
      </c>
      <c r="AU107" s="226">
        <f t="shared" si="57"/>
        <v>0</v>
      </c>
      <c r="AV107" s="226">
        <f t="shared" si="57"/>
        <v>0</v>
      </c>
      <c r="AW107" s="226">
        <f t="shared" si="57"/>
        <v>496</v>
      </c>
      <c r="AX107" s="226">
        <f t="shared" si="57"/>
        <v>7200</v>
      </c>
      <c r="AY107" s="226">
        <f t="shared" si="57"/>
        <v>207</v>
      </c>
      <c r="AZ107" s="226">
        <f t="shared" si="57"/>
        <v>123</v>
      </c>
      <c r="BA107" s="226">
        <f t="shared" si="57"/>
        <v>37</v>
      </c>
      <c r="BB107" s="227">
        <f t="shared" si="32"/>
        <v>132004</v>
      </c>
      <c r="BC107" s="226">
        <f t="shared" si="35"/>
        <v>139180</v>
      </c>
    </row>
    <row r="108" spans="1:55" s="226" customFormat="1" ht="21.75" customHeight="1">
      <c r="A108" s="224">
        <v>102</v>
      </c>
      <c r="D108" s="229"/>
      <c r="R108" s="227">
        <f t="shared" si="38"/>
        <v>0</v>
      </c>
      <c r="S108" s="266"/>
      <c r="T108" s="226" t="s">
        <v>703</v>
      </c>
      <c r="U108" s="226" t="s">
        <v>703</v>
      </c>
      <c r="V108" s="226" t="s">
        <v>703</v>
      </c>
      <c r="W108" s="226" t="s">
        <v>703</v>
      </c>
      <c r="X108" s="226" t="s">
        <v>703</v>
      </c>
      <c r="Y108" s="226" t="s">
        <v>703</v>
      </c>
      <c r="Z108" s="226" t="s">
        <v>703</v>
      </c>
      <c r="AA108" s="226" t="s">
        <v>703</v>
      </c>
      <c r="AB108" s="226" t="s">
        <v>703</v>
      </c>
      <c r="AC108" s="226" t="s">
        <v>703</v>
      </c>
      <c r="AE108" s="226" t="s">
        <v>703</v>
      </c>
      <c r="AF108" s="226" t="s">
        <v>703</v>
      </c>
      <c r="AG108" s="226" t="s">
        <v>703</v>
      </c>
      <c r="AH108" s="226" t="s">
        <v>703</v>
      </c>
      <c r="AI108" s="226" t="s">
        <v>703</v>
      </c>
      <c r="AJ108" s="226" t="s">
        <v>703</v>
      </c>
      <c r="AK108" s="226" t="s">
        <v>703</v>
      </c>
      <c r="AL108" s="226" t="s">
        <v>703</v>
      </c>
      <c r="AM108" s="226" t="s">
        <v>703</v>
      </c>
      <c r="AN108" s="226" t="s">
        <v>703</v>
      </c>
      <c r="AO108" s="226" t="s">
        <v>703</v>
      </c>
      <c r="AP108" s="226" t="s">
        <v>703</v>
      </c>
      <c r="AQ108" s="226" t="s">
        <v>703</v>
      </c>
      <c r="AR108" s="226" t="s">
        <v>703</v>
      </c>
      <c r="AS108" s="226" t="s">
        <v>703</v>
      </c>
      <c r="AU108" s="226" t="s">
        <v>703</v>
      </c>
      <c r="AW108" s="226" t="s">
        <v>703</v>
      </c>
      <c r="AX108" s="226" t="s">
        <v>703</v>
      </c>
      <c r="AY108" s="226" t="s">
        <v>703</v>
      </c>
      <c r="AZ108" s="226" t="s">
        <v>703</v>
      </c>
      <c r="BA108" s="226" t="s">
        <v>703</v>
      </c>
      <c r="BB108" s="227">
        <f t="shared" si="32"/>
        <v>0</v>
      </c>
      <c r="BC108" s="226">
        <f t="shared" si="35"/>
        <v>0</v>
      </c>
    </row>
    <row r="109" spans="1:55" ht="21.75" customHeight="1">
      <c r="A109" s="221">
        <v>103</v>
      </c>
      <c r="B109" s="227" t="s">
        <v>895</v>
      </c>
      <c r="F109" s="227">
        <v>150</v>
      </c>
      <c r="G109" s="227">
        <f>1680+561+12</f>
        <v>2253</v>
      </c>
      <c r="H109" s="227">
        <v>817</v>
      </c>
      <c r="I109" s="227">
        <v>3001</v>
      </c>
      <c r="J109" s="227">
        <v>1632</v>
      </c>
      <c r="K109" s="227">
        <v>450</v>
      </c>
      <c r="L109" s="227">
        <v>331</v>
      </c>
      <c r="M109" s="227">
        <f>1812</f>
        <v>1812</v>
      </c>
      <c r="N109" s="227">
        <v>55</v>
      </c>
      <c r="R109" s="227">
        <f t="shared" si="38"/>
        <v>10501</v>
      </c>
      <c r="BB109" s="227">
        <f t="shared" si="32"/>
        <v>0</v>
      </c>
      <c r="BC109" s="226">
        <f t="shared" si="35"/>
        <v>10501</v>
      </c>
    </row>
    <row r="110" spans="1:55" ht="21.75" customHeight="1">
      <c r="A110" s="221">
        <v>104</v>
      </c>
      <c r="B110" s="227" t="s">
        <v>896</v>
      </c>
      <c r="C110" s="227">
        <v>23433</v>
      </c>
      <c r="R110" s="227">
        <f t="shared" si="38"/>
        <v>23433</v>
      </c>
      <c r="BB110" s="227">
        <f t="shared" si="32"/>
        <v>0</v>
      </c>
      <c r="BC110" s="226">
        <f t="shared" si="35"/>
        <v>23433</v>
      </c>
    </row>
    <row r="111" spans="1:55" ht="21.75" customHeight="1">
      <c r="A111" s="221">
        <v>105</v>
      </c>
      <c r="B111" s="227" t="s">
        <v>897</v>
      </c>
      <c r="R111" s="227">
        <f t="shared" si="38"/>
        <v>0</v>
      </c>
      <c r="BC111" s="226">
        <f t="shared" si="35"/>
        <v>0</v>
      </c>
    </row>
    <row r="112" spans="1:55" ht="21.75" customHeight="1">
      <c r="A112" s="224">
        <v>106</v>
      </c>
      <c r="B112" s="227" t="s">
        <v>898</v>
      </c>
      <c r="E112" s="227">
        <v>23950</v>
      </c>
      <c r="O112" s="227">
        <v>80</v>
      </c>
      <c r="R112" s="227">
        <f t="shared" si="38"/>
        <v>24030</v>
      </c>
      <c r="AD112" s="227">
        <v>3600</v>
      </c>
      <c r="AL112" s="227">
        <v>2400</v>
      </c>
      <c r="AT112" s="227">
        <v>968</v>
      </c>
      <c r="BB112" s="227">
        <f t="shared" si="32"/>
        <v>6968</v>
      </c>
      <c r="BC112" s="226">
        <f t="shared" si="35"/>
        <v>30998</v>
      </c>
    </row>
    <row r="113" spans="1:55" s="226" customFormat="1" ht="21.75" customHeight="1">
      <c r="A113" s="221">
        <v>107</v>
      </c>
      <c r="B113" s="226" t="s">
        <v>899</v>
      </c>
      <c r="C113" s="226">
        <f>SUM(C109:C112,C107,C58,C52)</f>
        <v>33291</v>
      </c>
      <c r="D113" s="229">
        <f>SUM(D109:D112,D107,D58,D52)</f>
        <v>120</v>
      </c>
      <c r="E113" s="226">
        <f>SUM(E109:E112,E107,E58,E52)</f>
        <v>25407</v>
      </c>
      <c r="F113" s="226">
        <f aca="true" t="shared" si="58" ref="F113:Q113">SUM(F109:F112,F107,F58,F52)</f>
        <v>150</v>
      </c>
      <c r="G113" s="226">
        <f t="shared" si="58"/>
        <v>2253</v>
      </c>
      <c r="H113" s="226">
        <f t="shared" si="58"/>
        <v>817</v>
      </c>
      <c r="I113" s="226">
        <f t="shared" si="58"/>
        <v>3001</v>
      </c>
      <c r="J113" s="226">
        <f t="shared" si="58"/>
        <v>1632</v>
      </c>
      <c r="K113" s="226">
        <f t="shared" si="58"/>
        <v>450</v>
      </c>
      <c r="L113" s="226">
        <f t="shared" si="58"/>
        <v>331</v>
      </c>
      <c r="M113" s="226">
        <f t="shared" si="58"/>
        <v>1812</v>
      </c>
      <c r="N113" s="226">
        <f t="shared" si="58"/>
        <v>55</v>
      </c>
      <c r="O113" s="226">
        <f t="shared" si="58"/>
        <v>80</v>
      </c>
      <c r="P113" s="226">
        <f t="shared" si="58"/>
        <v>0</v>
      </c>
      <c r="Q113" s="226">
        <f t="shared" si="58"/>
        <v>0</v>
      </c>
      <c r="R113" s="227">
        <f t="shared" si="38"/>
        <v>69399</v>
      </c>
      <c r="S113" s="266">
        <f aca="true" t="shared" si="59" ref="S113:BA113">SUM(S109:S112,S107,S58,S52)</f>
        <v>28404</v>
      </c>
      <c r="T113" s="226">
        <f t="shared" si="59"/>
        <v>8439</v>
      </c>
      <c r="U113" s="226">
        <f t="shared" si="59"/>
        <v>16222</v>
      </c>
      <c r="V113" s="226">
        <f t="shared" si="59"/>
        <v>5628</v>
      </c>
      <c r="W113" s="226">
        <f t="shared" si="59"/>
        <v>3014</v>
      </c>
      <c r="X113" s="226">
        <f t="shared" si="59"/>
        <v>23682</v>
      </c>
      <c r="Y113" s="226">
        <f t="shared" si="59"/>
        <v>2051</v>
      </c>
      <c r="Z113" s="226">
        <f t="shared" si="59"/>
        <v>2035</v>
      </c>
      <c r="AA113" s="226">
        <f t="shared" si="59"/>
        <v>402</v>
      </c>
      <c r="AB113" s="226">
        <f t="shared" si="59"/>
        <v>4753</v>
      </c>
      <c r="AC113" s="226">
        <f t="shared" si="59"/>
        <v>250</v>
      </c>
      <c r="AD113" s="226">
        <f t="shared" si="59"/>
        <v>3600</v>
      </c>
      <c r="AE113" s="226">
        <f t="shared" si="59"/>
        <v>6594</v>
      </c>
      <c r="AF113" s="226">
        <f t="shared" si="59"/>
        <v>24163</v>
      </c>
      <c r="AG113" s="226">
        <f t="shared" si="59"/>
        <v>33007</v>
      </c>
      <c r="AH113" s="226">
        <f t="shared" si="59"/>
        <v>16771</v>
      </c>
      <c r="AI113" s="226">
        <f t="shared" si="59"/>
        <v>17178</v>
      </c>
      <c r="AJ113" s="226">
        <f t="shared" si="59"/>
        <v>586</v>
      </c>
      <c r="AK113" s="226">
        <f t="shared" si="59"/>
        <v>17860</v>
      </c>
      <c r="AL113" s="226">
        <f t="shared" si="59"/>
        <v>6800</v>
      </c>
      <c r="AM113" s="226">
        <f t="shared" si="59"/>
        <v>1095</v>
      </c>
      <c r="AN113" s="226">
        <f t="shared" si="59"/>
        <v>280</v>
      </c>
      <c r="AO113" s="226">
        <f t="shared" si="59"/>
        <v>0</v>
      </c>
      <c r="AP113" s="226">
        <f t="shared" si="59"/>
        <v>4224</v>
      </c>
      <c r="AQ113" s="226">
        <f t="shared" si="59"/>
        <v>949</v>
      </c>
      <c r="AR113" s="226">
        <f t="shared" si="59"/>
        <v>557</v>
      </c>
      <c r="AS113" s="226">
        <f t="shared" si="59"/>
        <v>3984</v>
      </c>
      <c r="AT113" s="226">
        <f t="shared" si="59"/>
        <v>968</v>
      </c>
      <c r="AU113" s="226">
        <f t="shared" si="59"/>
        <v>4605</v>
      </c>
      <c r="AV113" s="226">
        <f t="shared" si="59"/>
        <v>1687</v>
      </c>
      <c r="AW113" s="226">
        <f t="shared" si="59"/>
        <v>943</v>
      </c>
      <c r="AX113" s="226">
        <f t="shared" si="59"/>
        <v>9087</v>
      </c>
      <c r="AY113" s="226">
        <f t="shared" si="59"/>
        <v>207</v>
      </c>
      <c r="AZ113" s="226">
        <f t="shared" si="59"/>
        <v>506</v>
      </c>
      <c r="BA113" s="226">
        <f t="shared" si="59"/>
        <v>114</v>
      </c>
      <c r="BB113" s="227">
        <f t="shared" si="32"/>
        <v>222241</v>
      </c>
      <c r="BC113" s="226">
        <f t="shared" si="35"/>
        <v>320044</v>
      </c>
    </row>
    <row r="114" spans="1:55" ht="21.75" customHeight="1">
      <c r="A114" s="221">
        <v>108</v>
      </c>
      <c r="R114" s="227">
        <f t="shared" si="38"/>
        <v>0</v>
      </c>
      <c r="BB114" s="227">
        <f t="shared" si="32"/>
        <v>0</v>
      </c>
      <c r="BC114" s="226">
        <f t="shared" si="35"/>
        <v>0</v>
      </c>
    </row>
    <row r="115" spans="1:55" ht="21.75" customHeight="1">
      <c r="A115" s="221">
        <v>109</v>
      </c>
      <c r="R115" s="227">
        <f t="shared" si="38"/>
        <v>0</v>
      </c>
      <c r="BB115" s="227">
        <f t="shared" si="32"/>
        <v>0</v>
      </c>
      <c r="BC115" s="226">
        <f t="shared" si="35"/>
        <v>0</v>
      </c>
    </row>
    <row r="116" spans="1:55" s="235" customFormat="1" ht="21.75" customHeight="1">
      <c r="A116" s="224">
        <v>110</v>
      </c>
      <c r="B116" s="234" t="s">
        <v>617</v>
      </c>
      <c r="C116" s="234">
        <v>841112</v>
      </c>
      <c r="D116" s="236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S116" s="272">
        <v>801115</v>
      </c>
      <c r="T116" s="234">
        <v>370000</v>
      </c>
      <c r="U116" s="234">
        <v>381103</v>
      </c>
      <c r="V116" s="234">
        <v>522110</v>
      </c>
      <c r="W116" s="234">
        <v>562912</v>
      </c>
      <c r="X116" s="234">
        <v>562913</v>
      </c>
      <c r="Y116" s="234">
        <v>562917</v>
      </c>
      <c r="Z116" s="234">
        <v>562916</v>
      </c>
      <c r="AA116" s="234">
        <v>682001</v>
      </c>
      <c r="AB116" s="234">
        <v>682002</v>
      </c>
      <c r="AC116" s="234">
        <v>750000</v>
      </c>
      <c r="AD116" s="234">
        <v>791200</v>
      </c>
      <c r="AE116" s="234">
        <v>811000</v>
      </c>
      <c r="AF116" s="234">
        <v>813000</v>
      </c>
      <c r="AG116" s="234">
        <v>841154</v>
      </c>
      <c r="AH116" s="234">
        <v>841402</v>
      </c>
      <c r="AI116" s="234">
        <v>841403</v>
      </c>
      <c r="AJ116" s="234">
        <v>842155</v>
      </c>
      <c r="AK116" s="234">
        <v>850001</v>
      </c>
      <c r="AL116" s="234">
        <v>862101</v>
      </c>
      <c r="AM116" s="234">
        <v>862102</v>
      </c>
      <c r="AN116" s="234">
        <v>862231</v>
      </c>
      <c r="AO116" s="234">
        <v>862231</v>
      </c>
      <c r="AP116" s="234">
        <v>869041</v>
      </c>
      <c r="AQ116" s="234">
        <v>889921</v>
      </c>
      <c r="AR116" s="234">
        <v>889924</v>
      </c>
      <c r="AS116" s="234">
        <v>889928</v>
      </c>
      <c r="AT116" s="234">
        <v>890310</v>
      </c>
      <c r="AU116" s="234">
        <v>890442</v>
      </c>
      <c r="AV116" s="234">
        <v>890444</v>
      </c>
      <c r="AW116" s="234">
        <v>910123</v>
      </c>
      <c r="AX116" s="234">
        <v>910502</v>
      </c>
      <c r="AY116" s="234">
        <v>932911</v>
      </c>
      <c r="AZ116" s="234">
        <v>949900</v>
      </c>
      <c r="BA116" s="234">
        <v>960302</v>
      </c>
      <c r="BB116" s="232" t="s">
        <v>831</v>
      </c>
      <c r="BC116" s="234"/>
    </row>
    <row r="117" spans="1:55" ht="21.75" customHeight="1">
      <c r="A117" s="221">
        <v>111</v>
      </c>
      <c r="B117" s="227" t="s">
        <v>900</v>
      </c>
      <c r="E117" s="227">
        <v>6037</v>
      </c>
      <c r="R117" s="227">
        <f t="shared" si="38"/>
        <v>6037</v>
      </c>
      <c r="V117" s="227">
        <v>1696</v>
      </c>
      <c r="AG117" s="227">
        <v>792</v>
      </c>
      <c r="AI117" s="227">
        <v>5710</v>
      </c>
      <c r="BA117" s="227">
        <v>429</v>
      </c>
      <c r="BB117" s="227">
        <f aca="true" t="shared" si="60" ref="BB117:BB130">SUM(T117:BA117)</f>
        <v>8627</v>
      </c>
      <c r="BC117" s="226">
        <f t="shared" si="35"/>
        <v>14664</v>
      </c>
    </row>
    <row r="118" spans="1:55" ht="21.75" customHeight="1">
      <c r="A118" s="221">
        <v>112</v>
      </c>
      <c r="B118" s="227" t="s">
        <v>901</v>
      </c>
      <c r="E118" s="227">
        <v>1612</v>
      </c>
      <c r="R118" s="227">
        <f t="shared" si="38"/>
        <v>1612</v>
      </c>
      <c r="V118" s="227">
        <v>458</v>
      </c>
      <c r="AG118" s="227">
        <v>201</v>
      </c>
      <c r="AI118" s="227">
        <v>1190</v>
      </c>
      <c r="BA118" s="227">
        <v>115</v>
      </c>
      <c r="BB118" s="227">
        <f t="shared" si="60"/>
        <v>1964</v>
      </c>
      <c r="BC118" s="226">
        <f t="shared" si="35"/>
        <v>3576</v>
      </c>
    </row>
    <row r="119" spans="1:55" s="226" customFormat="1" ht="21.75" customHeight="1">
      <c r="A119" s="221">
        <v>113</v>
      </c>
      <c r="B119" s="226" t="s">
        <v>902</v>
      </c>
      <c r="C119" s="226">
        <f>SUM(C117:C118)</f>
        <v>0</v>
      </c>
      <c r="D119" s="229">
        <f aca="true" t="shared" si="61" ref="D119:Q119">SUM(D117:D118)</f>
        <v>0</v>
      </c>
      <c r="E119" s="226">
        <f t="shared" si="61"/>
        <v>7649</v>
      </c>
      <c r="F119" s="226">
        <f t="shared" si="61"/>
        <v>0</v>
      </c>
      <c r="G119" s="226">
        <f t="shared" si="61"/>
        <v>0</v>
      </c>
      <c r="H119" s="226">
        <f t="shared" si="61"/>
        <v>0</v>
      </c>
      <c r="I119" s="226">
        <f t="shared" si="61"/>
        <v>0</v>
      </c>
      <c r="J119" s="226">
        <f t="shared" si="61"/>
        <v>0</v>
      </c>
      <c r="K119" s="226">
        <f t="shared" si="61"/>
        <v>0</v>
      </c>
      <c r="L119" s="226">
        <f t="shared" si="61"/>
        <v>0</v>
      </c>
      <c r="M119" s="226">
        <f t="shared" si="61"/>
        <v>0</v>
      </c>
      <c r="N119" s="226">
        <f t="shared" si="61"/>
        <v>0</v>
      </c>
      <c r="O119" s="226">
        <f t="shared" si="61"/>
        <v>0</v>
      </c>
      <c r="P119" s="226">
        <f t="shared" si="61"/>
        <v>0</v>
      </c>
      <c r="Q119" s="226">
        <f t="shared" si="61"/>
        <v>0</v>
      </c>
      <c r="R119" s="227">
        <f t="shared" si="38"/>
        <v>7649</v>
      </c>
      <c r="S119" s="266">
        <f>SUM(S117:S118)</f>
        <v>0</v>
      </c>
      <c r="T119" s="226">
        <f>SUM(T117:T118)</f>
        <v>0</v>
      </c>
      <c r="U119" s="226">
        <f aca="true" t="shared" si="62" ref="U119:BA119">SUM(U117:U118)</f>
        <v>0</v>
      </c>
      <c r="V119" s="226">
        <f t="shared" si="62"/>
        <v>2154</v>
      </c>
      <c r="W119" s="226">
        <f t="shared" si="62"/>
        <v>0</v>
      </c>
      <c r="X119" s="226">
        <f t="shared" si="62"/>
        <v>0</v>
      </c>
      <c r="Y119" s="226">
        <f t="shared" si="62"/>
        <v>0</v>
      </c>
      <c r="Z119" s="226">
        <f t="shared" si="62"/>
        <v>0</v>
      </c>
      <c r="AA119" s="226">
        <f t="shared" si="62"/>
        <v>0</v>
      </c>
      <c r="AB119" s="226">
        <f t="shared" si="62"/>
        <v>0</v>
      </c>
      <c r="AC119" s="226">
        <f t="shared" si="62"/>
        <v>0</v>
      </c>
      <c r="AD119" s="226">
        <f t="shared" si="62"/>
        <v>0</v>
      </c>
      <c r="AE119" s="226">
        <f t="shared" si="62"/>
        <v>0</v>
      </c>
      <c r="AF119" s="226">
        <f t="shared" si="62"/>
        <v>0</v>
      </c>
      <c r="AG119" s="226">
        <f t="shared" si="62"/>
        <v>993</v>
      </c>
      <c r="AH119" s="226">
        <f t="shared" si="62"/>
        <v>0</v>
      </c>
      <c r="AI119" s="226">
        <f t="shared" si="62"/>
        <v>6900</v>
      </c>
      <c r="AJ119" s="226">
        <f t="shared" si="62"/>
        <v>0</v>
      </c>
      <c r="AK119" s="226">
        <f t="shared" si="62"/>
        <v>0</v>
      </c>
      <c r="AL119" s="226">
        <f t="shared" si="62"/>
        <v>0</v>
      </c>
      <c r="AM119" s="226">
        <f t="shared" si="62"/>
        <v>0</v>
      </c>
      <c r="AN119" s="226">
        <f t="shared" si="62"/>
        <v>0</v>
      </c>
      <c r="AO119" s="226">
        <f t="shared" si="62"/>
        <v>0</v>
      </c>
      <c r="AP119" s="226">
        <f t="shared" si="62"/>
        <v>0</v>
      </c>
      <c r="AQ119" s="226">
        <f t="shared" si="62"/>
        <v>0</v>
      </c>
      <c r="AR119" s="226">
        <f t="shared" si="62"/>
        <v>0</v>
      </c>
      <c r="AS119" s="226">
        <f t="shared" si="62"/>
        <v>0</v>
      </c>
      <c r="AT119" s="226">
        <f t="shared" si="62"/>
        <v>0</v>
      </c>
      <c r="AU119" s="226">
        <f t="shared" si="62"/>
        <v>0</v>
      </c>
      <c r="AV119" s="226">
        <f t="shared" si="62"/>
        <v>0</v>
      </c>
      <c r="AW119" s="226">
        <f t="shared" si="62"/>
        <v>0</v>
      </c>
      <c r="AX119" s="226">
        <f t="shared" si="62"/>
        <v>0</v>
      </c>
      <c r="AY119" s="226">
        <f t="shared" si="62"/>
        <v>0</v>
      </c>
      <c r="AZ119" s="226">
        <f t="shared" si="62"/>
        <v>0</v>
      </c>
      <c r="BA119" s="226">
        <f t="shared" si="62"/>
        <v>544</v>
      </c>
      <c r="BB119" s="227">
        <f t="shared" si="60"/>
        <v>10591</v>
      </c>
      <c r="BC119" s="226">
        <f t="shared" si="35"/>
        <v>18240</v>
      </c>
    </row>
    <row r="120" spans="1:55" ht="21.75" customHeight="1">
      <c r="A120" s="224">
        <v>114</v>
      </c>
      <c r="B120" s="227" t="s">
        <v>1429</v>
      </c>
      <c r="R120" s="227">
        <f t="shared" si="38"/>
        <v>0</v>
      </c>
      <c r="AG120" s="227">
        <v>34</v>
      </c>
      <c r="AI120" s="227">
        <v>529</v>
      </c>
      <c r="AL120" s="227">
        <v>58</v>
      </c>
      <c r="BB120" s="227">
        <f t="shared" si="60"/>
        <v>621</v>
      </c>
      <c r="BC120" s="226">
        <f t="shared" si="35"/>
        <v>621</v>
      </c>
    </row>
    <row r="121" spans="1:55" ht="21.75" customHeight="1">
      <c r="A121" s="221">
        <v>115</v>
      </c>
      <c r="B121" s="227" t="s">
        <v>1161</v>
      </c>
      <c r="E121" s="227">
        <v>3100</v>
      </c>
      <c r="R121" s="227">
        <f t="shared" si="38"/>
        <v>3100</v>
      </c>
      <c r="S121" s="265">
        <v>118</v>
      </c>
      <c r="X121" s="227">
        <v>414</v>
      </c>
      <c r="AG121" s="227">
        <f>350-350</f>
        <v>0</v>
      </c>
      <c r="AI121" s="227">
        <f>322+1</f>
        <v>323</v>
      </c>
      <c r="AL121" s="227">
        <v>0</v>
      </c>
      <c r="BB121" s="227">
        <f t="shared" si="60"/>
        <v>737</v>
      </c>
      <c r="BC121" s="226">
        <f t="shared" si="35"/>
        <v>3955</v>
      </c>
    </row>
    <row r="122" spans="1:55" ht="21.75" customHeight="1">
      <c r="A122" s="221">
        <v>116</v>
      </c>
      <c r="B122" s="227" t="s">
        <v>903</v>
      </c>
      <c r="R122" s="227">
        <f t="shared" si="38"/>
        <v>0</v>
      </c>
      <c r="BB122" s="227">
        <f t="shared" si="60"/>
        <v>0</v>
      </c>
      <c r="BC122" s="226">
        <f t="shared" si="35"/>
        <v>0</v>
      </c>
    </row>
    <row r="123" spans="1:55" ht="21.75" customHeight="1">
      <c r="A123" s="221">
        <v>117</v>
      </c>
      <c r="B123" s="227" t="s">
        <v>1345</v>
      </c>
      <c r="E123" s="227">
        <v>6778</v>
      </c>
      <c r="R123" s="227">
        <f t="shared" si="38"/>
        <v>6778</v>
      </c>
      <c r="AF123" s="227">
        <v>401</v>
      </c>
      <c r="AG123" s="227">
        <v>1321</v>
      </c>
      <c r="AI123" s="227">
        <v>1085</v>
      </c>
      <c r="AL123" s="227">
        <v>61</v>
      </c>
      <c r="BB123" s="227">
        <f t="shared" si="60"/>
        <v>2868</v>
      </c>
      <c r="BC123" s="226">
        <f t="shared" si="35"/>
        <v>9646</v>
      </c>
    </row>
    <row r="124" spans="1:55" ht="21.75" customHeight="1">
      <c r="A124" s="224">
        <v>118</v>
      </c>
      <c r="B124" s="227" t="s">
        <v>1346</v>
      </c>
      <c r="E124" s="227">
        <v>2586</v>
      </c>
      <c r="R124" s="227">
        <f t="shared" si="38"/>
        <v>2586</v>
      </c>
      <c r="S124" s="265">
        <f>'[1]851011'!$H$65</f>
        <v>32</v>
      </c>
      <c r="X124" s="227">
        <v>112</v>
      </c>
      <c r="AF124" s="227">
        <v>108</v>
      </c>
      <c r="AG124" s="227">
        <v>366</v>
      </c>
      <c r="AI124" s="227">
        <v>523</v>
      </c>
      <c r="AL124" s="227">
        <v>32</v>
      </c>
      <c r="BA124" s="227">
        <f>'[6]temető'!$F$28</f>
        <v>0</v>
      </c>
      <c r="BB124" s="227">
        <f t="shared" si="60"/>
        <v>1141</v>
      </c>
      <c r="BC124" s="226">
        <f t="shared" si="35"/>
        <v>3759</v>
      </c>
    </row>
    <row r="125" spans="1:55" s="226" customFormat="1" ht="21.75" customHeight="1">
      <c r="A125" s="221">
        <v>119</v>
      </c>
      <c r="B125" s="226" t="s">
        <v>904</v>
      </c>
      <c r="C125" s="226">
        <f>SUM(C120:C124)</f>
        <v>0</v>
      </c>
      <c r="D125" s="229">
        <f aca="true" t="shared" si="63" ref="D125:Q125">SUM(D120:D124)</f>
        <v>0</v>
      </c>
      <c r="E125" s="226">
        <f t="shared" si="63"/>
        <v>12464</v>
      </c>
      <c r="F125" s="226">
        <f t="shared" si="63"/>
        <v>0</v>
      </c>
      <c r="G125" s="226">
        <f t="shared" si="63"/>
        <v>0</v>
      </c>
      <c r="H125" s="226">
        <f t="shared" si="63"/>
        <v>0</v>
      </c>
      <c r="I125" s="226">
        <f t="shared" si="63"/>
        <v>0</v>
      </c>
      <c r="J125" s="226">
        <f t="shared" si="63"/>
        <v>0</v>
      </c>
      <c r="K125" s="226">
        <f t="shared" si="63"/>
        <v>0</v>
      </c>
      <c r="L125" s="226">
        <f t="shared" si="63"/>
        <v>0</v>
      </c>
      <c r="M125" s="226">
        <f t="shared" si="63"/>
        <v>0</v>
      </c>
      <c r="N125" s="226">
        <f t="shared" si="63"/>
        <v>0</v>
      </c>
      <c r="O125" s="226">
        <f t="shared" si="63"/>
        <v>0</v>
      </c>
      <c r="P125" s="226">
        <f t="shared" si="63"/>
        <v>0</v>
      </c>
      <c r="Q125" s="226">
        <f t="shared" si="63"/>
        <v>0</v>
      </c>
      <c r="R125" s="227">
        <f t="shared" si="38"/>
        <v>12464</v>
      </c>
      <c r="S125" s="266">
        <f>SUM(S120:S124)</f>
        <v>150</v>
      </c>
      <c r="T125" s="226">
        <f>SUM(T120:T124)</f>
        <v>0</v>
      </c>
      <c r="U125" s="226">
        <f aca="true" t="shared" si="64" ref="U125:BA125">SUM(U120:U124)</f>
        <v>0</v>
      </c>
      <c r="V125" s="226">
        <f t="shared" si="64"/>
        <v>0</v>
      </c>
      <c r="W125" s="226">
        <f t="shared" si="64"/>
        <v>0</v>
      </c>
      <c r="X125" s="226">
        <f t="shared" si="64"/>
        <v>526</v>
      </c>
      <c r="Y125" s="226">
        <f t="shared" si="64"/>
        <v>0</v>
      </c>
      <c r="Z125" s="226">
        <f t="shared" si="64"/>
        <v>0</v>
      </c>
      <c r="AA125" s="226">
        <f t="shared" si="64"/>
        <v>0</v>
      </c>
      <c r="AB125" s="226">
        <f t="shared" si="64"/>
        <v>0</v>
      </c>
      <c r="AC125" s="226">
        <f t="shared" si="64"/>
        <v>0</v>
      </c>
      <c r="AD125" s="226">
        <f t="shared" si="64"/>
        <v>0</v>
      </c>
      <c r="AE125" s="226">
        <f t="shared" si="64"/>
        <v>0</v>
      </c>
      <c r="AF125" s="226">
        <f t="shared" si="64"/>
        <v>509</v>
      </c>
      <c r="AG125" s="226">
        <f t="shared" si="64"/>
        <v>1721</v>
      </c>
      <c r="AH125" s="226">
        <f t="shared" si="64"/>
        <v>0</v>
      </c>
      <c r="AI125" s="226">
        <f t="shared" si="64"/>
        <v>2460</v>
      </c>
      <c r="AJ125" s="226">
        <f t="shared" si="64"/>
        <v>0</v>
      </c>
      <c r="AK125" s="226">
        <f t="shared" si="64"/>
        <v>0</v>
      </c>
      <c r="AL125" s="226">
        <f t="shared" si="64"/>
        <v>151</v>
      </c>
      <c r="AM125" s="226">
        <f t="shared" si="64"/>
        <v>0</v>
      </c>
      <c r="AN125" s="226">
        <f t="shared" si="64"/>
        <v>0</v>
      </c>
      <c r="AO125" s="226">
        <f t="shared" si="64"/>
        <v>0</v>
      </c>
      <c r="AP125" s="226">
        <f t="shared" si="64"/>
        <v>0</v>
      </c>
      <c r="AQ125" s="226">
        <f t="shared" si="64"/>
        <v>0</v>
      </c>
      <c r="AR125" s="226">
        <f t="shared" si="64"/>
        <v>0</v>
      </c>
      <c r="AS125" s="226">
        <f t="shared" si="64"/>
        <v>0</v>
      </c>
      <c r="AT125" s="226">
        <f t="shared" si="64"/>
        <v>0</v>
      </c>
      <c r="AU125" s="226">
        <f t="shared" si="64"/>
        <v>0</v>
      </c>
      <c r="AV125" s="226">
        <f t="shared" si="64"/>
        <v>0</v>
      </c>
      <c r="AW125" s="226">
        <f t="shared" si="64"/>
        <v>0</v>
      </c>
      <c r="AX125" s="226">
        <f t="shared" si="64"/>
        <v>0</v>
      </c>
      <c r="AY125" s="226">
        <f t="shared" si="64"/>
        <v>0</v>
      </c>
      <c r="AZ125" s="226">
        <f t="shared" si="64"/>
        <v>0</v>
      </c>
      <c r="BA125" s="226">
        <f t="shared" si="64"/>
        <v>0</v>
      </c>
      <c r="BB125" s="227">
        <f t="shared" si="60"/>
        <v>5367</v>
      </c>
      <c r="BC125" s="226">
        <f t="shared" si="35"/>
        <v>17981</v>
      </c>
    </row>
    <row r="126" spans="1:55" s="226" customFormat="1" ht="21.75" customHeight="1">
      <c r="A126" s="221">
        <v>120</v>
      </c>
      <c r="B126" s="226" t="s">
        <v>905</v>
      </c>
      <c r="C126" s="226">
        <f>SUM(C125,C119)</f>
        <v>0</v>
      </c>
      <c r="D126" s="229">
        <f aca="true" t="shared" si="65" ref="D126:Q126">SUM(D125,D119)</f>
        <v>0</v>
      </c>
      <c r="E126" s="226">
        <f>SUM(E125,E119)</f>
        <v>20113</v>
      </c>
      <c r="F126" s="226">
        <f t="shared" si="65"/>
        <v>0</v>
      </c>
      <c r="G126" s="226">
        <f t="shared" si="65"/>
        <v>0</v>
      </c>
      <c r="H126" s="226">
        <f t="shared" si="65"/>
        <v>0</v>
      </c>
      <c r="I126" s="226">
        <f t="shared" si="65"/>
        <v>0</v>
      </c>
      <c r="J126" s="226">
        <f t="shared" si="65"/>
        <v>0</v>
      </c>
      <c r="K126" s="226">
        <f t="shared" si="65"/>
        <v>0</v>
      </c>
      <c r="L126" s="226">
        <f t="shared" si="65"/>
        <v>0</v>
      </c>
      <c r="M126" s="226">
        <f t="shared" si="65"/>
        <v>0</v>
      </c>
      <c r="N126" s="226">
        <f t="shared" si="65"/>
        <v>0</v>
      </c>
      <c r="O126" s="226">
        <f t="shared" si="65"/>
        <v>0</v>
      </c>
      <c r="P126" s="226">
        <f t="shared" si="65"/>
        <v>0</v>
      </c>
      <c r="Q126" s="226">
        <f t="shared" si="65"/>
        <v>0</v>
      </c>
      <c r="R126" s="227">
        <f t="shared" si="38"/>
        <v>20113</v>
      </c>
      <c r="S126" s="266">
        <f aca="true" t="shared" si="66" ref="S126:AC126">SUM(S125,S119)</f>
        <v>150</v>
      </c>
      <c r="T126" s="226">
        <f t="shared" si="66"/>
        <v>0</v>
      </c>
      <c r="U126" s="226">
        <f t="shared" si="66"/>
        <v>0</v>
      </c>
      <c r="V126" s="226">
        <f t="shared" si="66"/>
        <v>2154</v>
      </c>
      <c r="W126" s="226">
        <f t="shared" si="66"/>
        <v>0</v>
      </c>
      <c r="X126" s="226">
        <f t="shared" si="66"/>
        <v>526</v>
      </c>
      <c r="Y126" s="226">
        <f t="shared" si="66"/>
        <v>0</v>
      </c>
      <c r="Z126" s="226">
        <f t="shared" si="66"/>
        <v>0</v>
      </c>
      <c r="AA126" s="226">
        <f t="shared" si="66"/>
        <v>0</v>
      </c>
      <c r="AB126" s="226">
        <f t="shared" si="66"/>
        <v>0</v>
      </c>
      <c r="AC126" s="226">
        <f t="shared" si="66"/>
        <v>0</v>
      </c>
      <c r="AD126" s="226">
        <f>SUM(AD125,AD119)</f>
        <v>0</v>
      </c>
      <c r="AE126" s="226">
        <f>SUM(AE125,AE119)</f>
        <v>0</v>
      </c>
      <c r="AF126" s="226">
        <f>SUM(AF125,AF119)</f>
        <v>509</v>
      </c>
      <c r="AG126" s="226">
        <f aca="true" t="shared" si="67" ref="AG126:AZ126">SUM(AG125,AG119)</f>
        <v>2714</v>
      </c>
      <c r="AH126" s="226">
        <f>SUM(AH125,AH119)</f>
        <v>0</v>
      </c>
      <c r="AI126" s="226">
        <f t="shared" si="67"/>
        <v>9360</v>
      </c>
      <c r="AJ126" s="226">
        <f t="shared" si="67"/>
        <v>0</v>
      </c>
      <c r="AK126" s="226">
        <f t="shared" si="67"/>
        <v>0</v>
      </c>
      <c r="AL126" s="226">
        <f t="shared" si="67"/>
        <v>151</v>
      </c>
      <c r="AM126" s="226">
        <f>SUM(AM125,AM119)</f>
        <v>0</v>
      </c>
      <c r="AN126" s="226">
        <f t="shared" si="67"/>
        <v>0</v>
      </c>
      <c r="AO126" s="226">
        <f>SUM(AO125,AO119)</f>
        <v>0</v>
      </c>
      <c r="AP126" s="226">
        <f t="shared" si="67"/>
        <v>0</v>
      </c>
      <c r="AQ126" s="226">
        <f t="shared" si="67"/>
        <v>0</v>
      </c>
      <c r="AR126" s="226">
        <f t="shared" si="67"/>
        <v>0</v>
      </c>
      <c r="AS126" s="226">
        <f t="shared" si="67"/>
        <v>0</v>
      </c>
      <c r="AT126" s="226">
        <f t="shared" si="67"/>
        <v>0</v>
      </c>
      <c r="AU126" s="226">
        <f>SUM(AU125,AU119)</f>
        <v>0</v>
      </c>
      <c r="AV126" s="226">
        <f>SUM(AV125,AV119)</f>
        <v>0</v>
      </c>
      <c r="AW126" s="226">
        <f t="shared" si="67"/>
        <v>0</v>
      </c>
      <c r="AX126" s="226">
        <f t="shared" si="67"/>
        <v>0</v>
      </c>
      <c r="AY126" s="226">
        <f>SUM(AY125,AY119)</f>
        <v>0</v>
      </c>
      <c r="AZ126" s="226">
        <f t="shared" si="67"/>
        <v>0</v>
      </c>
      <c r="BA126" s="226">
        <f>SUM(BA125,BA119)</f>
        <v>544</v>
      </c>
      <c r="BB126" s="227">
        <f t="shared" si="60"/>
        <v>15958</v>
      </c>
      <c r="BC126" s="226">
        <f>BB126+R126+S126</f>
        <v>36221</v>
      </c>
    </row>
    <row r="127" spans="1:55" ht="21.75" customHeight="1">
      <c r="A127" s="221">
        <v>121</v>
      </c>
      <c r="R127" s="227">
        <f t="shared" si="38"/>
        <v>0</v>
      </c>
      <c r="BB127" s="227">
        <f t="shared" si="60"/>
        <v>0</v>
      </c>
      <c r="BC127" s="226">
        <f aca="true" t="shared" si="68" ref="BC127:BC132">BB127+R127+S127</f>
        <v>0</v>
      </c>
    </row>
    <row r="128" spans="1:55" ht="21.75" customHeight="1">
      <c r="A128" s="224">
        <v>122</v>
      </c>
      <c r="B128" s="227" t="s">
        <v>906</v>
      </c>
      <c r="E128" s="227">
        <f>5345-5345</f>
        <v>0</v>
      </c>
      <c r="R128" s="227">
        <f t="shared" si="38"/>
        <v>0</v>
      </c>
      <c r="BB128" s="227">
        <f t="shared" si="60"/>
        <v>0</v>
      </c>
      <c r="BC128" s="226">
        <f t="shared" si="68"/>
        <v>0</v>
      </c>
    </row>
    <row r="129" spans="1:55" ht="21.75" customHeight="1">
      <c r="A129" s="221">
        <v>123</v>
      </c>
      <c r="B129" s="227" t="s">
        <v>907</v>
      </c>
      <c r="R129" s="227">
        <f t="shared" si="38"/>
        <v>0</v>
      </c>
      <c r="AI129" s="227">
        <f>2500-1907</f>
        <v>593</v>
      </c>
      <c r="BB129" s="227">
        <f t="shared" si="60"/>
        <v>593</v>
      </c>
      <c r="BC129" s="226">
        <f t="shared" si="68"/>
        <v>593</v>
      </c>
    </row>
    <row r="130" spans="1:55" ht="21.75" customHeight="1">
      <c r="A130" s="221">
        <v>124</v>
      </c>
      <c r="B130" s="227" t="s">
        <v>908</v>
      </c>
      <c r="E130" s="227">
        <f>1820-1820</f>
        <v>0</v>
      </c>
      <c r="R130" s="227">
        <f t="shared" si="38"/>
        <v>0</v>
      </c>
      <c r="BB130" s="227">
        <f t="shared" si="60"/>
        <v>0</v>
      </c>
      <c r="BC130" s="226">
        <f t="shared" si="68"/>
        <v>0</v>
      </c>
    </row>
    <row r="131" spans="1:55" ht="21.75" customHeight="1">
      <c r="A131" s="221">
        <v>125</v>
      </c>
      <c r="B131" s="227" t="s">
        <v>1430</v>
      </c>
      <c r="C131" s="227">
        <f>SUM(C128:C130)</f>
        <v>0</v>
      </c>
      <c r="D131" s="228">
        <f aca="true" t="shared" si="69" ref="D131:BB131">SUM(D128:D130)</f>
        <v>0</v>
      </c>
      <c r="E131" s="227">
        <f t="shared" si="69"/>
        <v>0</v>
      </c>
      <c r="F131" s="227">
        <f t="shared" si="69"/>
        <v>0</v>
      </c>
      <c r="G131" s="227">
        <f t="shared" si="69"/>
        <v>0</v>
      </c>
      <c r="H131" s="227">
        <f t="shared" si="69"/>
        <v>0</v>
      </c>
      <c r="I131" s="227">
        <f t="shared" si="69"/>
        <v>0</v>
      </c>
      <c r="J131" s="227">
        <f t="shared" si="69"/>
        <v>0</v>
      </c>
      <c r="K131" s="227">
        <f t="shared" si="69"/>
        <v>0</v>
      </c>
      <c r="L131" s="227">
        <f t="shared" si="69"/>
        <v>0</v>
      </c>
      <c r="M131" s="227">
        <f t="shared" si="69"/>
        <v>0</v>
      </c>
      <c r="N131" s="227">
        <f t="shared" si="69"/>
        <v>0</v>
      </c>
      <c r="O131" s="227">
        <f t="shared" si="69"/>
        <v>0</v>
      </c>
      <c r="P131" s="227">
        <f t="shared" si="69"/>
        <v>0</v>
      </c>
      <c r="Q131" s="227">
        <f t="shared" si="69"/>
        <v>0</v>
      </c>
      <c r="R131" s="227">
        <f t="shared" si="69"/>
        <v>0</v>
      </c>
      <c r="S131" s="265">
        <f t="shared" si="69"/>
        <v>0</v>
      </c>
      <c r="T131" s="227">
        <f t="shared" si="69"/>
        <v>0</v>
      </c>
      <c r="U131" s="227">
        <f t="shared" si="69"/>
        <v>0</v>
      </c>
      <c r="V131" s="227">
        <f t="shared" si="69"/>
        <v>0</v>
      </c>
      <c r="W131" s="227">
        <f t="shared" si="69"/>
        <v>0</v>
      </c>
      <c r="X131" s="227">
        <f t="shared" si="69"/>
        <v>0</v>
      </c>
      <c r="Y131" s="227">
        <f t="shared" si="69"/>
        <v>0</v>
      </c>
      <c r="Z131" s="227">
        <f t="shared" si="69"/>
        <v>0</v>
      </c>
      <c r="AA131" s="227">
        <f t="shared" si="69"/>
        <v>0</v>
      </c>
      <c r="AB131" s="227">
        <f t="shared" si="69"/>
        <v>0</v>
      </c>
      <c r="AC131" s="227">
        <f t="shared" si="69"/>
        <v>0</v>
      </c>
      <c r="AD131" s="227">
        <f t="shared" si="69"/>
        <v>0</v>
      </c>
      <c r="AE131" s="227">
        <f t="shared" si="69"/>
        <v>0</v>
      </c>
      <c r="AF131" s="227">
        <f t="shared" si="69"/>
        <v>0</v>
      </c>
      <c r="AG131" s="227">
        <f t="shared" si="69"/>
        <v>0</v>
      </c>
      <c r="AH131" s="227">
        <f t="shared" si="69"/>
        <v>0</v>
      </c>
      <c r="AI131" s="227">
        <f t="shared" si="69"/>
        <v>593</v>
      </c>
      <c r="AJ131" s="227">
        <f t="shared" si="69"/>
        <v>0</v>
      </c>
      <c r="AK131" s="227">
        <f t="shared" si="69"/>
        <v>0</v>
      </c>
      <c r="AL131" s="227">
        <f t="shared" si="69"/>
        <v>0</v>
      </c>
      <c r="AM131" s="227">
        <f t="shared" si="69"/>
        <v>0</v>
      </c>
      <c r="AN131" s="227">
        <f t="shared" si="69"/>
        <v>0</v>
      </c>
      <c r="AO131" s="227">
        <f t="shared" si="69"/>
        <v>0</v>
      </c>
      <c r="AP131" s="227">
        <f t="shared" si="69"/>
        <v>0</v>
      </c>
      <c r="AQ131" s="227">
        <f t="shared" si="69"/>
        <v>0</v>
      </c>
      <c r="AR131" s="227">
        <f t="shared" si="69"/>
        <v>0</v>
      </c>
      <c r="AS131" s="227">
        <f t="shared" si="69"/>
        <v>0</v>
      </c>
      <c r="AT131" s="227">
        <f t="shared" si="69"/>
        <v>0</v>
      </c>
      <c r="AU131" s="227">
        <f t="shared" si="69"/>
        <v>0</v>
      </c>
      <c r="AV131" s="227">
        <f t="shared" si="69"/>
        <v>0</v>
      </c>
      <c r="AW131" s="227">
        <f t="shared" si="69"/>
        <v>0</v>
      </c>
      <c r="AX131" s="227">
        <f t="shared" si="69"/>
        <v>0</v>
      </c>
      <c r="AY131" s="227">
        <f t="shared" si="69"/>
        <v>0</v>
      </c>
      <c r="AZ131" s="227">
        <f t="shared" si="69"/>
        <v>0</v>
      </c>
      <c r="BA131" s="227">
        <f t="shared" si="69"/>
        <v>0</v>
      </c>
      <c r="BB131" s="227">
        <f t="shared" si="69"/>
        <v>593</v>
      </c>
      <c r="BC131" s="226">
        <f t="shared" si="68"/>
        <v>593</v>
      </c>
    </row>
    <row r="132" spans="1:55" s="226" customFormat="1" ht="21.75" customHeight="1">
      <c r="A132" s="224">
        <v>126</v>
      </c>
      <c r="B132" s="226" t="s">
        <v>909</v>
      </c>
      <c r="C132" s="226">
        <f>C131+C126</f>
        <v>0</v>
      </c>
      <c r="D132" s="229">
        <f>D131+D126</f>
        <v>0</v>
      </c>
      <c r="E132" s="226">
        <f>E131+E126</f>
        <v>20113</v>
      </c>
      <c r="F132" s="226">
        <f aca="true" t="shared" si="70" ref="F132:BB132">F131+F126</f>
        <v>0</v>
      </c>
      <c r="G132" s="226">
        <f t="shared" si="70"/>
        <v>0</v>
      </c>
      <c r="H132" s="226">
        <f t="shared" si="70"/>
        <v>0</v>
      </c>
      <c r="I132" s="226">
        <f t="shared" si="70"/>
        <v>0</v>
      </c>
      <c r="J132" s="226">
        <f t="shared" si="70"/>
        <v>0</v>
      </c>
      <c r="K132" s="226">
        <f t="shared" si="70"/>
        <v>0</v>
      </c>
      <c r="L132" s="226">
        <f t="shared" si="70"/>
        <v>0</v>
      </c>
      <c r="M132" s="226">
        <f t="shared" si="70"/>
        <v>0</v>
      </c>
      <c r="N132" s="226">
        <f t="shared" si="70"/>
        <v>0</v>
      </c>
      <c r="O132" s="226">
        <f t="shared" si="70"/>
        <v>0</v>
      </c>
      <c r="P132" s="226">
        <f t="shared" si="70"/>
        <v>0</v>
      </c>
      <c r="Q132" s="226">
        <f t="shared" si="70"/>
        <v>0</v>
      </c>
      <c r="R132" s="226">
        <f>R131+R126</f>
        <v>20113</v>
      </c>
      <c r="S132" s="266">
        <f t="shared" si="70"/>
        <v>150</v>
      </c>
      <c r="T132" s="226">
        <f t="shared" si="70"/>
        <v>0</v>
      </c>
      <c r="U132" s="226">
        <f t="shared" si="70"/>
        <v>0</v>
      </c>
      <c r="V132" s="226">
        <f t="shared" si="70"/>
        <v>2154</v>
      </c>
      <c r="W132" s="226">
        <f t="shared" si="70"/>
        <v>0</v>
      </c>
      <c r="X132" s="226">
        <f t="shared" si="70"/>
        <v>526</v>
      </c>
      <c r="Y132" s="226">
        <f t="shared" si="70"/>
        <v>0</v>
      </c>
      <c r="Z132" s="226">
        <f t="shared" si="70"/>
        <v>0</v>
      </c>
      <c r="AA132" s="226">
        <f t="shared" si="70"/>
        <v>0</v>
      </c>
      <c r="AB132" s="226">
        <f t="shared" si="70"/>
        <v>0</v>
      </c>
      <c r="AC132" s="226">
        <f t="shared" si="70"/>
        <v>0</v>
      </c>
      <c r="AD132" s="226">
        <f t="shared" si="70"/>
        <v>0</v>
      </c>
      <c r="AE132" s="226">
        <f t="shared" si="70"/>
        <v>0</v>
      </c>
      <c r="AF132" s="226">
        <f t="shared" si="70"/>
        <v>509</v>
      </c>
      <c r="AG132" s="226">
        <f t="shared" si="70"/>
        <v>2714</v>
      </c>
      <c r="AH132" s="226">
        <f t="shared" si="70"/>
        <v>0</v>
      </c>
      <c r="AI132" s="226">
        <f t="shared" si="70"/>
        <v>9953</v>
      </c>
      <c r="AJ132" s="226">
        <f t="shared" si="70"/>
        <v>0</v>
      </c>
      <c r="AK132" s="226">
        <f t="shared" si="70"/>
        <v>0</v>
      </c>
      <c r="AL132" s="226">
        <f t="shared" si="70"/>
        <v>151</v>
      </c>
      <c r="AM132" s="226">
        <f t="shared" si="70"/>
        <v>0</v>
      </c>
      <c r="AN132" s="226">
        <f t="shared" si="70"/>
        <v>0</v>
      </c>
      <c r="AO132" s="226">
        <f t="shared" si="70"/>
        <v>0</v>
      </c>
      <c r="AP132" s="226">
        <f t="shared" si="70"/>
        <v>0</v>
      </c>
      <c r="AQ132" s="226">
        <f t="shared" si="70"/>
        <v>0</v>
      </c>
      <c r="AR132" s="226">
        <f t="shared" si="70"/>
        <v>0</v>
      </c>
      <c r="AS132" s="226">
        <f t="shared" si="70"/>
        <v>0</v>
      </c>
      <c r="AT132" s="226">
        <f t="shared" si="70"/>
        <v>0</v>
      </c>
      <c r="AU132" s="226">
        <f t="shared" si="70"/>
        <v>0</v>
      </c>
      <c r="AV132" s="226">
        <f t="shared" si="70"/>
        <v>0</v>
      </c>
      <c r="AW132" s="226">
        <f t="shared" si="70"/>
        <v>0</v>
      </c>
      <c r="AX132" s="226">
        <f t="shared" si="70"/>
        <v>0</v>
      </c>
      <c r="AY132" s="226">
        <f t="shared" si="70"/>
        <v>0</v>
      </c>
      <c r="AZ132" s="226">
        <f t="shared" si="70"/>
        <v>0</v>
      </c>
      <c r="BA132" s="226">
        <f t="shared" si="70"/>
        <v>544</v>
      </c>
      <c r="BB132" s="226">
        <f t="shared" si="70"/>
        <v>16551</v>
      </c>
      <c r="BC132" s="226">
        <f t="shared" si="68"/>
        <v>36814</v>
      </c>
    </row>
    <row r="133" spans="1:55" s="226" customFormat="1" ht="21.75" customHeight="1">
      <c r="A133" s="221">
        <v>127</v>
      </c>
      <c r="D133" s="229"/>
      <c r="R133" s="227">
        <f t="shared" si="38"/>
        <v>0</v>
      </c>
      <c r="S133" s="266"/>
      <c r="BB133" s="227">
        <f aca="true" t="shared" si="71" ref="BB133:BB138">SUM(T133:BA133)</f>
        <v>0</v>
      </c>
      <c r="BC133" s="226">
        <f t="shared" si="35"/>
        <v>0</v>
      </c>
    </row>
    <row r="134" spans="1:239" s="229" customFormat="1" ht="21.75" customHeight="1">
      <c r="A134" s="221">
        <v>128</v>
      </c>
      <c r="B134" s="229" t="s">
        <v>910</v>
      </c>
      <c r="C134" s="226">
        <f>SUM(C132,C113)</f>
        <v>33291</v>
      </c>
      <c r="D134" s="229">
        <f>SUM(D132,D113)</f>
        <v>120</v>
      </c>
      <c r="E134" s="226">
        <f>SUM(E132,E113)</f>
        <v>45520</v>
      </c>
      <c r="F134" s="226">
        <f aca="true" t="shared" si="72" ref="F134:P134">SUM(F132,F113)</f>
        <v>150</v>
      </c>
      <c r="G134" s="226">
        <f t="shared" si="72"/>
        <v>2253</v>
      </c>
      <c r="H134" s="226">
        <f t="shared" si="72"/>
        <v>817</v>
      </c>
      <c r="I134" s="226">
        <f t="shared" si="72"/>
        <v>3001</v>
      </c>
      <c r="J134" s="226">
        <f t="shared" si="72"/>
        <v>1632</v>
      </c>
      <c r="K134" s="226">
        <f t="shared" si="72"/>
        <v>450</v>
      </c>
      <c r="L134" s="226">
        <f t="shared" si="72"/>
        <v>331</v>
      </c>
      <c r="M134" s="226">
        <f t="shared" si="72"/>
        <v>1812</v>
      </c>
      <c r="N134" s="226">
        <f t="shared" si="72"/>
        <v>55</v>
      </c>
      <c r="O134" s="226">
        <f t="shared" si="72"/>
        <v>80</v>
      </c>
      <c r="P134" s="226">
        <f t="shared" si="72"/>
        <v>0</v>
      </c>
      <c r="Q134" s="226">
        <f>SUM(Q132,Q113)</f>
        <v>0</v>
      </c>
      <c r="R134" s="227">
        <f t="shared" si="38"/>
        <v>89512</v>
      </c>
      <c r="S134" s="266">
        <f>SUM(S132,S113)</f>
        <v>28554</v>
      </c>
      <c r="T134" s="226">
        <f>SUM(T132,T113)</f>
        <v>8439</v>
      </c>
      <c r="U134" s="226">
        <f aca="true" t="shared" si="73" ref="U134:BA134">SUM(U132,U113)</f>
        <v>16222</v>
      </c>
      <c r="V134" s="226">
        <f t="shared" si="73"/>
        <v>7782</v>
      </c>
      <c r="W134" s="226">
        <f t="shared" si="73"/>
        <v>3014</v>
      </c>
      <c r="X134" s="226">
        <f t="shared" si="73"/>
        <v>24208</v>
      </c>
      <c r="Y134" s="226">
        <f t="shared" si="73"/>
        <v>2051</v>
      </c>
      <c r="Z134" s="226">
        <f t="shared" si="73"/>
        <v>2035</v>
      </c>
      <c r="AA134" s="226">
        <f t="shared" si="73"/>
        <v>402</v>
      </c>
      <c r="AB134" s="226">
        <f t="shared" si="73"/>
        <v>4753</v>
      </c>
      <c r="AC134" s="226">
        <f t="shared" si="73"/>
        <v>250</v>
      </c>
      <c r="AD134" s="226">
        <f t="shared" si="73"/>
        <v>3600</v>
      </c>
      <c r="AE134" s="226">
        <f t="shared" si="73"/>
        <v>6594</v>
      </c>
      <c r="AF134" s="226">
        <f t="shared" si="73"/>
        <v>24672</v>
      </c>
      <c r="AG134" s="226">
        <f t="shared" si="73"/>
        <v>35721</v>
      </c>
      <c r="AH134" s="226">
        <f t="shared" si="73"/>
        <v>16771</v>
      </c>
      <c r="AI134" s="226">
        <f t="shared" si="73"/>
        <v>27131</v>
      </c>
      <c r="AJ134" s="226">
        <f t="shared" si="73"/>
        <v>586</v>
      </c>
      <c r="AK134" s="226">
        <f t="shared" si="73"/>
        <v>17860</v>
      </c>
      <c r="AL134" s="226">
        <f t="shared" si="73"/>
        <v>6951</v>
      </c>
      <c r="AM134" s="226">
        <f t="shared" si="73"/>
        <v>1095</v>
      </c>
      <c r="AN134" s="226">
        <f t="shared" si="73"/>
        <v>280</v>
      </c>
      <c r="AO134" s="226">
        <f t="shared" si="73"/>
        <v>0</v>
      </c>
      <c r="AP134" s="226">
        <f t="shared" si="73"/>
        <v>4224</v>
      </c>
      <c r="AQ134" s="226">
        <f t="shared" si="73"/>
        <v>949</v>
      </c>
      <c r="AR134" s="226">
        <f t="shared" si="73"/>
        <v>557</v>
      </c>
      <c r="AS134" s="226">
        <f t="shared" si="73"/>
        <v>3984</v>
      </c>
      <c r="AT134" s="226">
        <f t="shared" si="73"/>
        <v>968</v>
      </c>
      <c r="AU134" s="226">
        <f t="shared" si="73"/>
        <v>4605</v>
      </c>
      <c r="AV134" s="226">
        <f t="shared" si="73"/>
        <v>1687</v>
      </c>
      <c r="AW134" s="226">
        <f t="shared" si="73"/>
        <v>943</v>
      </c>
      <c r="AX134" s="226">
        <f t="shared" si="73"/>
        <v>9087</v>
      </c>
      <c r="AY134" s="226">
        <f t="shared" si="73"/>
        <v>207</v>
      </c>
      <c r="AZ134" s="226">
        <f t="shared" si="73"/>
        <v>506</v>
      </c>
      <c r="BA134" s="226">
        <f t="shared" si="73"/>
        <v>658</v>
      </c>
      <c r="BB134" s="227">
        <f t="shared" si="71"/>
        <v>238792</v>
      </c>
      <c r="BC134" s="226">
        <f>BB134+R134+S134</f>
        <v>356858</v>
      </c>
      <c r="BD134" s="226">
        <v>238792</v>
      </c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  <c r="EF134" s="226"/>
      <c r="EG134" s="226"/>
      <c r="EH134" s="226"/>
      <c r="EI134" s="226"/>
      <c r="EJ134" s="226"/>
      <c r="EK134" s="226"/>
      <c r="EL134" s="226"/>
      <c r="EM134" s="226"/>
      <c r="EN134" s="226"/>
      <c r="EO134" s="226"/>
      <c r="EP134" s="226"/>
      <c r="EQ134" s="226"/>
      <c r="ER134" s="226"/>
      <c r="ES134" s="226"/>
      <c r="ET134" s="226"/>
      <c r="EU134" s="226"/>
      <c r="EV134" s="226"/>
      <c r="EW134" s="226"/>
      <c r="EX134" s="226"/>
      <c r="EY134" s="226"/>
      <c r="EZ134" s="226"/>
      <c r="FA134" s="226"/>
      <c r="FB134" s="226"/>
      <c r="FC134" s="226"/>
      <c r="FD134" s="226"/>
      <c r="FE134" s="226"/>
      <c r="FF134" s="226"/>
      <c r="FG134" s="226"/>
      <c r="FH134" s="226"/>
      <c r="FI134" s="226"/>
      <c r="FJ134" s="226"/>
      <c r="FK134" s="226"/>
      <c r="FL134" s="226"/>
      <c r="FM134" s="226"/>
      <c r="FN134" s="226"/>
      <c r="FO134" s="226"/>
      <c r="FP134" s="226"/>
      <c r="FQ134" s="226"/>
      <c r="FR134" s="226"/>
      <c r="FS134" s="226"/>
      <c r="FT134" s="226"/>
      <c r="FU134" s="226"/>
      <c r="FV134" s="226"/>
      <c r="FW134" s="226"/>
      <c r="FX134" s="226"/>
      <c r="FY134" s="226"/>
      <c r="FZ134" s="226"/>
      <c r="GA134" s="226"/>
      <c r="GB134" s="226"/>
      <c r="GC134" s="226"/>
      <c r="GD134" s="226"/>
      <c r="GE134" s="226"/>
      <c r="GF134" s="226"/>
      <c r="GG134" s="226"/>
      <c r="GH134" s="226"/>
      <c r="GI134" s="226"/>
      <c r="GJ134" s="226"/>
      <c r="GK134" s="226"/>
      <c r="GL134" s="226"/>
      <c r="GM134" s="226"/>
      <c r="GN134" s="226"/>
      <c r="GO134" s="226"/>
      <c r="GP134" s="226"/>
      <c r="GQ134" s="226"/>
      <c r="GR134" s="226"/>
      <c r="GS134" s="226"/>
      <c r="GT134" s="226"/>
      <c r="GU134" s="226"/>
      <c r="GV134" s="226"/>
      <c r="GW134" s="226"/>
      <c r="GX134" s="226"/>
      <c r="GY134" s="226"/>
      <c r="GZ134" s="226"/>
      <c r="HA134" s="226"/>
      <c r="HB134" s="226"/>
      <c r="HC134" s="226"/>
      <c r="HD134" s="226"/>
      <c r="HE134" s="226"/>
      <c r="HF134" s="226"/>
      <c r="HG134" s="226"/>
      <c r="HH134" s="226"/>
      <c r="HI134" s="226"/>
      <c r="HJ134" s="226"/>
      <c r="HK134" s="226"/>
      <c r="HL134" s="226"/>
      <c r="HM134" s="226"/>
      <c r="HN134" s="226"/>
      <c r="HO134" s="226"/>
      <c r="HP134" s="226"/>
      <c r="HQ134" s="226"/>
      <c r="HR134" s="226"/>
      <c r="HS134" s="226"/>
      <c r="HT134" s="226"/>
      <c r="HU134" s="226"/>
      <c r="HV134" s="226"/>
      <c r="HW134" s="226"/>
      <c r="HX134" s="226"/>
      <c r="HY134" s="226"/>
      <c r="HZ134" s="226"/>
      <c r="IA134" s="226"/>
      <c r="IB134" s="226"/>
      <c r="IC134" s="226"/>
      <c r="ID134" s="226"/>
      <c r="IE134" s="226"/>
    </row>
    <row r="135" spans="1:239" s="229" customFormat="1" ht="21.75" customHeight="1">
      <c r="A135" s="221">
        <v>129</v>
      </c>
      <c r="B135" s="48" t="s">
        <v>1431</v>
      </c>
      <c r="C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>
        <v>334000</v>
      </c>
      <c r="R135" s="227">
        <f t="shared" si="38"/>
        <v>334000</v>
      </c>
      <c r="S135" s="26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7">
        <f t="shared" si="71"/>
        <v>0</v>
      </c>
      <c r="BC135" s="226">
        <f>BB135+R135+S135</f>
        <v>334000</v>
      </c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  <c r="BW135" s="226"/>
      <c r="BX135" s="226"/>
      <c r="BY135" s="226"/>
      <c r="BZ135" s="226"/>
      <c r="CA135" s="226"/>
      <c r="CB135" s="226"/>
      <c r="CC135" s="226"/>
      <c r="CD135" s="226"/>
      <c r="CE135" s="226"/>
      <c r="CF135" s="226"/>
      <c r="CG135" s="226"/>
      <c r="CH135" s="226"/>
      <c r="CI135" s="226"/>
      <c r="CJ135" s="226"/>
      <c r="CK135" s="226"/>
      <c r="CL135" s="226"/>
      <c r="CM135" s="226"/>
      <c r="CN135" s="226"/>
      <c r="CO135" s="226"/>
      <c r="CP135" s="226"/>
      <c r="CQ135" s="226"/>
      <c r="CR135" s="226"/>
      <c r="CS135" s="226"/>
      <c r="CT135" s="226"/>
      <c r="CU135" s="226"/>
      <c r="CV135" s="226"/>
      <c r="CW135" s="226"/>
      <c r="CX135" s="226"/>
      <c r="CY135" s="226"/>
      <c r="CZ135" s="22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  <c r="EF135" s="226"/>
      <c r="EG135" s="226"/>
      <c r="EH135" s="226"/>
      <c r="EI135" s="226"/>
      <c r="EJ135" s="226"/>
      <c r="EK135" s="226"/>
      <c r="EL135" s="226"/>
      <c r="EM135" s="226"/>
      <c r="EN135" s="226"/>
      <c r="EO135" s="226"/>
      <c r="EP135" s="226"/>
      <c r="EQ135" s="226"/>
      <c r="ER135" s="226"/>
      <c r="ES135" s="226"/>
      <c r="ET135" s="226"/>
      <c r="EU135" s="226"/>
      <c r="EV135" s="226"/>
      <c r="EW135" s="226"/>
      <c r="EX135" s="226"/>
      <c r="EY135" s="226"/>
      <c r="EZ135" s="226"/>
      <c r="FA135" s="226"/>
      <c r="FB135" s="226"/>
      <c r="FC135" s="226"/>
      <c r="FD135" s="226"/>
      <c r="FE135" s="226"/>
      <c r="FF135" s="226"/>
      <c r="FG135" s="226"/>
      <c r="FH135" s="226"/>
      <c r="FI135" s="226"/>
      <c r="FJ135" s="226"/>
      <c r="FK135" s="226"/>
      <c r="FL135" s="226"/>
      <c r="FM135" s="226"/>
      <c r="FN135" s="226"/>
      <c r="FO135" s="226"/>
      <c r="FP135" s="226"/>
      <c r="FQ135" s="226"/>
      <c r="FR135" s="226"/>
      <c r="FS135" s="226"/>
      <c r="FT135" s="226"/>
      <c r="FU135" s="226"/>
      <c r="FV135" s="226"/>
      <c r="FW135" s="226"/>
      <c r="FX135" s="226"/>
      <c r="FY135" s="226"/>
      <c r="FZ135" s="226"/>
      <c r="GA135" s="226"/>
      <c r="GB135" s="226"/>
      <c r="GC135" s="226"/>
      <c r="GD135" s="226"/>
      <c r="GE135" s="226"/>
      <c r="GF135" s="226"/>
      <c r="GG135" s="226"/>
      <c r="GH135" s="226"/>
      <c r="GI135" s="226"/>
      <c r="GJ135" s="226"/>
      <c r="GK135" s="226"/>
      <c r="GL135" s="226"/>
      <c r="GM135" s="226"/>
      <c r="GN135" s="226"/>
      <c r="GO135" s="226"/>
      <c r="GP135" s="226"/>
      <c r="GQ135" s="226"/>
      <c r="GR135" s="226"/>
      <c r="GS135" s="226"/>
      <c r="GT135" s="226"/>
      <c r="GU135" s="226"/>
      <c r="GV135" s="226"/>
      <c r="GW135" s="226"/>
      <c r="GX135" s="226"/>
      <c r="GY135" s="226"/>
      <c r="GZ135" s="226"/>
      <c r="HA135" s="226"/>
      <c r="HB135" s="226"/>
      <c r="HC135" s="226"/>
      <c r="HD135" s="226"/>
      <c r="HE135" s="226"/>
      <c r="HF135" s="226"/>
      <c r="HG135" s="226"/>
      <c r="HH135" s="226"/>
      <c r="HI135" s="226"/>
      <c r="HJ135" s="226"/>
      <c r="HK135" s="226"/>
      <c r="HL135" s="226"/>
      <c r="HM135" s="226"/>
      <c r="HN135" s="226"/>
      <c r="HO135" s="226"/>
      <c r="HP135" s="226"/>
      <c r="HQ135" s="226"/>
      <c r="HR135" s="226"/>
      <c r="HS135" s="226"/>
      <c r="HT135" s="226"/>
      <c r="HU135" s="226"/>
      <c r="HV135" s="226"/>
      <c r="HW135" s="226"/>
      <c r="HX135" s="226"/>
      <c r="HY135" s="226"/>
      <c r="HZ135" s="226"/>
      <c r="IA135" s="226"/>
      <c r="IB135" s="226"/>
      <c r="IC135" s="226"/>
      <c r="ID135" s="226"/>
      <c r="IE135" s="226"/>
    </row>
    <row r="136" spans="1:55" ht="21.75" customHeight="1">
      <c r="A136" s="224">
        <v>130</v>
      </c>
      <c r="B136" s="227" t="s">
        <v>911</v>
      </c>
      <c r="R136" s="227">
        <f t="shared" si="38"/>
        <v>0</v>
      </c>
      <c r="AR136" s="226"/>
      <c r="AS136" s="226"/>
      <c r="AT136" s="226"/>
      <c r="AU136" s="226"/>
      <c r="AV136" s="226"/>
      <c r="BB136" s="227">
        <f t="shared" si="71"/>
        <v>0</v>
      </c>
      <c r="BC136" s="226">
        <f t="shared" si="35"/>
        <v>0</v>
      </c>
    </row>
    <row r="137" spans="1:55" ht="21.75" customHeight="1">
      <c r="A137" s="221">
        <v>131</v>
      </c>
      <c r="B137" s="227" t="s">
        <v>912</v>
      </c>
      <c r="R137" s="227">
        <f t="shared" si="38"/>
        <v>0</v>
      </c>
      <c r="BB137" s="227">
        <f t="shared" si="71"/>
        <v>0</v>
      </c>
      <c r="BC137" s="226">
        <f t="shared" si="35"/>
        <v>0</v>
      </c>
    </row>
    <row r="138" spans="1:55" ht="21.75" customHeight="1">
      <c r="A138" s="221">
        <v>132</v>
      </c>
      <c r="B138" s="227" t="s">
        <v>913</v>
      </c>
      <c r="R138" s="227">
        <f t="shared" si="38"/>
        <v>0</v>
      </c>
      <c r="BB138" s="227">
        <f t="shared" si="71"/>
        <v>0</v>
      </c>
      <c r="BC138" s="226">
        <f t="shared" si="35"/>
        <v>0</v>
      </c>
    </row>
    <row r="139" spans="1:55" ht="21.75" customHeight="1">
      <c r="A139" s="221">
        <v>133</v>
      </c>
      <c r="B139" s="227" t="s">
        <v>914</v>
      </c>
      <c r="C139" s="227">
        <f>SUM(C136:C138)</f>
        <v>0</v>
      </c>
      <c r="D139" s="228">
        <f aca="true" t="shared" si="74" ref="D139:Q139">SUM(D136:D138)</f>
        <v>0</v>
      </c>
      <c r="E139" s="227">
        <f t="shared" si="74"/>
        <v>0</v>
      </c>
      <c r="F139" s="227">
        <f t="shared" si="74"/>
        <v>0</v>
      </c>
      <c r="G139" s="227">
        <f t="shared" si="74"/>
        <v>0</v>
      </c>
      <c r="H139" s="227">
        <f t="shared" si="74"/>
        <v>0</v>
      </c>
      <c r="I139" s="227">
        <f t="shared" si="74"/>
        <v>0</v>
      </c>
      <c r="J139" s="227">
        <f t="shared" si="74"/>
        <v>0</v>
      </c>
      <c r="K139" s="227">
        <f t="shared" si="74"/>
        <v>0</v>
      </c>
      <c r="L139" s="227">
        <f t="shared" si="74"/>
        <v>0</v>
      </c>
      <c r="M139" s="227">
        <f t="shared" si="74"/>
        <v>0</v>
      </c>
      <c r="N139" s="227">
        <f t="shared" si="74"/>
        <v>0</v>
      </c>
      <c r="O139" s="227">
        <f t="shared" si="74"/>
        <v>0</v>
      </c>
      <c r="P139" s="227">
        <f t="shared" si="74"/>
        <v>0</v>
      </c>
      <c r="Q139" s="227">
        <f t="shared" si="74"/>
        <v>0</v>
      </c>
      <c r="R139" s="227">
        <f t="shared" si="38"/>
        <v>0</v>
      </c>
      <c r="S139" s="265">
        <f>SUM(S136:S138)</f>
        <v>0</v>
      </c>
      <c r="T139" s="227">
        <f aca="true" t="shared" si="75" ref="T139:BB139">SUM(T136:T138)</f>
        <v>0</v>
      </c>
      <c r="U139" s="227">
        <f t="shared" si="75"/>
        <v>0</v>
      </c>
      <c r="V139" s="227">
        <f t="shared" si="75"/>
        <v>0</v>
      </c>
      <c r="W139" s="227">
        <f t="shared" si="75"/>
        <v>0</v>
      </c>
      <c r="X139" s="227">
        <f t="shared" si="75"/>
        <v>0</v>
      </c>
      <c r="Y139" s="227">
        <f t="shared" si="75"/>
        <v>0</v>
      </c>
      <c r="Z139" s="227">
        <f t="shared" si="75"/>
        <v>0</v>
      </c>
      <c r="AA139" s="227">
        <f t="shared" si="75"/>
        <v>0</v>
      </c>
      <c r="AB139" s="227">
        <f t="shared" si="75"/>
        <v>0</v>
      </c>
      <c r="AC139" s="227">
        <f t="shared" si="75"/>
        <v>0</v>
      </c>
      <c r="AD139" s="227">
        <f t="shared" si="75"/>
        <v>0</v>
      </c>
      <c r="AE139" s="227">
        <f t="shared" si="75"/>
        <v>0</v>
      </c>
      <c r="AF139" s="227">
        <f t="shared" si="75"/>
        <v>0</v>
      </c>
      <c r="AG139" s="227">
        <f t="shared" si="75"/>
        <v>0</v>
      </c>
      <c r="AH139" s="227">
        <f t="shared" si="75"/>
        <v>0</v>
      </c>
      <c r="AI139" s="227">
        <f t="shared" si="75"/>
        <v>0</v>
      </c>
      <c r="AJ139" s="227">
        <f t="shared" si="75"/>
        <v>0</v>
      </c>
      <c r="AK139" s="227">
        <f t="shared" si="75"/>
        <v>0</v>
      </c>
      <c r="AL139" s="227">
        <f t="shared" si="75"/>
        <v>0</v>
      </c>
      <c r="AM139" s="227">
        <f t="shared" si="75"/>
        <v>0</v>
      </c>
      <c r="AN139" s="227">
        <f t="shared" si="75"/>
        <v>0</v>
      </c>
      <c r="AO139" s="227">
        <f t="shared" si="75"/>
        <v>0</v>
      </c>
      <c r="AP139" s="227">
        <f t="shared" si="75"/>
        <v>0</v>
      </c>
      <c r="AQ139" s="227">
        <f t="shared" si="75"/>
        <v>0</v>
      </c>
      <c r="AR139" s="227">
        <f t="shared" si="75"/>
        <v>0</v>
      </c>
      <c r="AS139" s="227">
        <f t="shared" si="75"/>
        <v>0</v>
      </c>
      <c r="AT139" s="227">
        <f t="shared" si="75"/>
        <v>0</v>
      </c>
      <c r="AU139" s="227">
        <f t="shared" si="75"/>
        <v>0</v>
      </c>
      <c r="AV139" s="227">
        <f t="shared" si="75"/>
        <v>0</v>
      </c>
      <c r="AW139" s="227">
        <f t="shared" si="75"/>
        <v>0</v>
      </c>
      <c r="AX139" s="227">
        <f t="shared" si="75"/>
        <v>0</v>
      </c>
      <c r="AY139" s="227">
        <f t="shared" si="75"/>
        <v>0</v>
      </c>
      <c r="AZ139" s="227">
        <f t="shared" si="75"/>
        <v>0</v>
      </c>
      <c r="BA139" s="227">
        <f t="shared" si="75"/>
        <v>0</v>
      </c>
      <c r="BB139" s="227">
        <f t="shared" si="75"/>
        <v>0</v>
      </c>
      <c r="BC139" s="226">
        <f t="shared" si="35"/>
        <v>0</v>
      </c>
    </row>
    <row r="140" spans="1:55" ht="21.75" customHeight="1">
      <c r="A140" s="224">
        <v>134</v>
      </c>
      <c r="B140" s="226" t="s">
        <v>915</v>
      </c>
      <c r="C140" s="226">
        <f>SUM(C134+C135+C139)</f>
        <v>33291</v>
      </c>
      <c r="D140" s="229">
        <f aca="true" t="shared" si="76" ref="D140:Q140">SUM(D134+D135+D139)</f>
        <v>120</v>
      </c>
      <c r="E140" s="226">
        <f t="shared" si="76"/>
        <v>45520</v>
      </c>
      <c r="F140" s="226">
        <f t="shared" si="76"/>
        <v>150</v>
      </c>
      <c r="G140" s="226">
        <f t="shared" si="76"/>
        <v>2253</v>
      </c>
      <c r="H140" s="226">
        <f t="shared" si="76"/>
        <v>817</v>
      </c>
      <c r="I140" s="226">
        <f t="shared" si="76"/>
        <v>3001</v>
      </c>
      <c r="J140" s="226">
        <f t="shared" si="76"/>
        <v>1632</v>
      </c>
      <c r="K140" s="226">
        <f t="shared" si="76"/>
        <v>450</v>
      </c>
      <c r="L140" s="226">
        <f t="shared" si="76"/>
        <v>331</v>
      </c>
      <c r="M140" s="226">
        <f t="shared" si="76"/>
        <v>1812</v>
      </c>
      <c r="N140" s="226">
        <f t="shared" si="76"/>
        <v>55</v>
      </c>
      <c r="O140" s="226">
        <f t="shared" si="76"/>
        <v>80</v>
      </c>
      <c r="P140" s="226">
        <f t="shared" si="76"/>
        <v>0</v>
      </c>
      <c r="Q140" s="226">
        <f t="shared" si="76"/>
        <v>334000</v>
      </c>
      <c r="R140" s="227">
        <f>SUM(C140:Q140)</f>
        <v>423512</v>
      </c>
      <c r="S140" s="266">
        <f>S139+S135+S134</f>
        <v>28554</v>
      </c>
      <c r="T140" s="226">
        <f aca="true" t="shared" si="77" ref="T140:BB140">T139+T135+T134</f>
        <v>8439</v>
      </c>
      <c r="U140" s="226">
        <f t="shared" si="77"/>
        <v>16222</v>
      </c>
      <c r="V140" s="226">
        <f t="shared" si="77"/>
        <v>7782</v>
      </c>
      <c r="W140" s="226">
        <f t="shared" si="77"/>
        <v>3014</v>
      </c>
      <c r="X140" s="226">
        <f t="shared" si="77"/>
        <v>24208</v>
      </c>
      <c r="Y140" s="226">
        <f t="shared" si="77"/>
        <v>2051</v>
      </c>
      <c r="Z140" s="226">
        <f t="shared" si="77"/>
        <v>2035</v>
      </c>
      <c r="AA140" s="226">
        <f t="shared" si="77"/>
        <v>402</v>
      </c>
      <c r="AB140" s="226">
        <f t="shared" si="77"/>
        <v>4753</v>
      </c>
      <c r="AC140" s="226">
        <f t="shared" si="77"/>
        <v>250</v>
      </c>
      <c r="AD140" s="226">
        <f t="shared" si="77"/>
        <v>3600</v>
      </c>
      <c r="AE140" s="226">
        <f t="shared" si="77"/>
        <v>6594</v>
      </c>
      <c r="AF140" s="226">
        <f t="shared" si="77"/>
        <v>24672</v>
      </c>
      <c r="AG140" s="226">
        <f t="shared" si="77"/>
        <v>35721</v>
      </c>
      <c r="AH140" s="226">
        <f t="shared" si="77"/>
        <v>16771</v>
      </c>
      <c r="AI140" s="226">
        <f t="shared" si="77"/>
        <v>27131</v>
      </c>
      <c r="AJ140" s="226">
        <f t="shared" si="77"/>
        <v>586</v>
      </c>
      <c r="AK140" s="226">
        <f t="shared" si="77"/>
        <v>17860</v>
      </c>
      <c r="AL140" s="226">
        <f t="shared" si="77"/>
        <v>6951</v>
      </c>
      <c r="AM140" s="226">
        <f t="shared" si="77"/>
        <v>1095</v>
      </c>
      <c r="AN140" s="226">
        <f t="shared" si="77"/>
        <v>280</v>
      </c>
      <c r="AO140" s="226">
        <f t="shared" si="77"/>
        <v>0</v>
      </c>
      <c r="AP140" s="226">
        <f t="shared" si="77"/>
        <v>4224</v>
      </c>
      <c r="AQ140" s="226">
        <f t="shared" si="77"/>
        <v>949</v>
      </c>
      <c r="AR140" s="226">
        <f t="shared" si="77"/>
        <v>557</v>
      </c>
      <c r="AS140" s="226">
        <f t="shared" si="77"/>
        <v>3984</v>
      </c>
      <c r="AT140" s="226">
        <f t="shared" si="77"/>
        <v>968</v>
      </c>
      <c r="AU140" s="226">
        <f t="shared" si="77"/>
        <v>4605</v>
      </c>
      <c r="AV140" s="226">
        <f t="shared" si="77"/>
        <v>1687</v>
      </c>
      <c r="AW140" s="226">
        <f t="shared" si="77"/>
        <v>943</v>
      </c>
      <c r="AX140" s="226">
        <f t="shared" si="77"/>
        <v>9087</v>
      </c>
      <c r="AY140" s="226">
        <f t="shared" si="77"/>
        <v>207</v>
      </c>
      <c r="AZ140" s="226">
        <f t="shared" si="77"/>
        <v>506</v>
      </c>
      <c r="BA140" s="226">
        <f t="shared" si="77"/>
        <v>658</v>
      </c>
      <c r="BB140" s="226">
        <f t="shared" si="77"/>
        <v>238792</v>
      </c>
      <c r="BC140" s="226">
        <f>BB140+R140+S140</f>
        <v>690858</v>
      </c>
    </row>
    <row r="141" spans="19:54" ht="21.75" customHeight="1">
      <c r="S141" s="265">
        <v>30103</v>
      </c>
      <c r="BB141" s="227">
        <v>277846</v>
      </c>
    </row>
    <row r="142" spans="19:54" ht="21.75" customHeight="1">
      <c r="S142" s="265">
        <f>S141-S140</f>
        <v>1549</v>
      </c>
      <c r="BB142" s="227">
        <f>BB140-BB141</f>
        <v>-39054</v>
      </c>
    </row>
  </sheetData>
  <sheetProtection/>
  <printOptions/>
  <pageMargins left="0.7" right="0.7" top="0.75" bottom="0.75" header="0.3" footer="0.3"/>
  <pageSetup horizontalDpi="300" verticalDpi="300" orientation="landscape" paperSize="9" scale="22" r:id="rId1"/>
  <rowBreaks count="1" manualBreakCount="1">
    <brk id="59" max="54" man="1"/>
  </rowBreaks>
  <colBreaks count="1" manualBreakCount="1">
    <brk id="5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115"/>
  <sheetViews>
    <sheetView view="pageBreakPreview" zoomScale="60" zoomScalePageLayoutView="0" workbookViewId="0" topLeftCell="A79">
      <selection activeCell="D59" sqref="D59"/>
    </sheetView>
  </sheetViews>
  <sheetFormatPr defaultColWidth="9.140625" defaultRowHeight="15"/>
  <cols>
    <col min="1" max="2" width="9.140625" style="67" customWidth="1"/>
    <col min="3" max="3" width="59.28125" style="66" bestFit="1" customWidth="1"/>
    <col min="4" max="4" width="12.8515625" style="65" bestFit="1" customWidth="1"/>
    <col min="5" max="5" width="10.140625" style="66" customWidth="1"/>
    <col min="6" max="19" width="9.140625" style="66" customWidth="1"/>
    <col min="20" max="20" width="11.28125" style="66" bestFit="1" customWidth="1"/>
    <col min="21" max="16384" width="9.140625" style="66" customWidth="1"/>
  </cols>
  <sheetData>
    <row r="1" spans="1:3" ht="15.75">
      <c r="A1" s="768" t="s">
        <v>445</v>
      </c>
      <c r="B1" s="768"/>
      <c r="C1" s="769"/>
    </row>
    <row r="2" spans="3:4" ht="15.75">
      <c r="C2" s="770"/>
      <c r="D2" s="770"/>
    </row>
    <row r="3" spans="3:4" ht="15.75">
      <c r="C3" s="68"/>
      <c r="D3" s="68"/>
    </row>
    <row r="4" spans="1:10" s="67" customFormat="1" ht="15.75">
      <c r="A4" s="69"/>
      <c r="B4" s="69"/>
      <c r="C4" s="70" t="s">
        <v>564</v>
      </c>
      <c r="D4" s="70" t="s">
        <v>565</v>
      </c>
      <c r="E4" s="69" t="s">
        <v>566</v>
      </c>
      <c r="F4" s="69" t="s">
        <v>567</v>
      </c>
      <c r="G4" s="69" t="s">
        <v>568</v>
      </c>
      <c r="H4" s="69" t="s">
        <v>689</v>
      </c>
      <c r="I4" s="69" t="s">
        <v>599</v>
      </c>
      <c r="J4" s="69" t="s">
        <v>600</v>
      </c>
    </row>
    <row r="5" spans="1:10" ht="31.5">
      <c r="A5" s="69">
        <v>1</v>
      </c>
      <c r="B5" s="69"/>
      <c r="C5" s="71"/>
      <c r="D5" s="72" t="s">
        <v>1115</v>
      </c>
      <c r="E5" s="237" t="s">
        <v>1262</v>
      </c>
      <c r="F5" s="237" t="s">
        <v>1384</v>
      </c>
      <c r="G5" s="237" t="s">
        <v>1421</v>
      </c>
      <c r="H5" s="237" t="s">
        <v>1263</v>
      </c>
      <c r="I5" s="237" t="s">
        <v>1369</v>
      </c>
      <c r="J5" s="237" t="s">
        <v>1432</v>
      </c>
    </row>
    <row r="6" spans="1:10" ht="15.75">
      <c r="A6" s="69">
        <v>2</v>
      </c>
      <c r="B6" s="69"/>
      <c r="C6" s="73" t="s">
        <v>1347</v>
      </c>
      <c r="D6" s="74"/>
      <c r="E6" s="71"/>
      <c r="F6" s="71"/>
      <c r="G6" s="71"/>
      <c r="H6" s="71"/>
      <c r="I6" s="71"/>
      <c r="J6" s="71"/>
    </row>
    <row r="7" spans="1:10" ht="15.75">
      <c r="A7" s="69">
        <v>3</v>
      </c>
      <c r="B7" s="69"/>
      <c r="C7" s="73" t="s">
        <v>1135</v>
      </c>
      <c r="D7" s="74"/>
      <c r="E7" s="71"/>
      <c r="F7" s="71"/>
      <c r="G7" s="71"/>
      <c r="H7" s="71"/>
      <c r="I7" s="71"/>
      <c r="J7" s="71"/>
    </row>
    <row r="8" spans="1:10" ht="15.75">
      <c r="A8" s="69">
        <v>4</v>
      </c>
      <c r="B8" s="69"/>
      <c r="C8" s="73" t="s">
        <v>1433</v>
      </c>
      <c r="D8" s="74"/>
      <c r="E8" s="71"/>
      <c r="F8" s="71"/>
      <c r="G8" s="71"/>
      <c r="H8" s="71"/>
      <c r="I8" s="71"/>
      <c r="J8" s="71"/>
    </row>
    <row r="9" spans="1:10" ht="15.75">
      <c r="A9" s="69">
        <v>5</v>
      </c>
      <c r="B9" s="69"/>
      <c r="C9" s="257" t="s">
        <v>1434</v>
      </c>
      <c r="D9" s="74"/>
      <c r="E9" s="71"/>
      <c r="F9" s="71"/>
      <c r="G9" s="71">
        <v>324</v>
      </c>
      <c r="H9" s="71"/>
      <c r="I9" s="71"/>
      <c r="J9" s="71">
        <v>0</v>
      </c>
    </row>
    <row r="10" spans="1:11" ht="15.75">
      <c r="A10" s="69"/>
      <c r="B10" s="69">
        <v>841403</v>
      </c>
      <c r="C10" s="244" t="s">
        <v>1349</v>
      </c>
      <c r="D10" s="74"/>
      <c r="E10" s="71">
        <v>722</v>
      </c>
      <c r="F10" s="71">
        <v>1215</v>
      </c>
      <c r="G10" s="71">
        <v>1215</v>
      </c>
      <c r="I10" s="71"/>
      <c r="J10" s="71">
        <v>1190</v>
      </c>
      <c r="K10" s="71">
        <v>1190</v>
      </c>
    </row>
    <row r="11" spans="1:10" ht="15.75">
      <c r="A11" s="69">
        <v>6</v>
      </c>
      <c r="B11" s="69"/>
      <c r="C11" s="257" t="s">
        <v>1435</v>
      </c>
      <c r="D11" s="74"/>
      <c r="E11" s="71"/>
      <c r="F11" s="71"/>
      <c r="G11" s="71">
        <f>9695+120</f>
        <v>9815</v>
      </c>
      <c r="H11" s="71"/>
      <c r="I11" s="71"/>
      <c r="J11" s="71">
        <v>4847</v>
      </c>
    </row>
    <row r="12" spans="1:10" ht="15.75">
      <c r="A12" s="69">
        <v>7</v>
      </c>
      <c r="B12" s="69"/>
      <c r="C12" s="66" t="s">
        <v>1436</v>
      </c>
      <c r="D12" s="74"/>
      <c r="E12" s="71"/>
      <c r="F12" s="71"/>
      <c r="G12" s="71">
        <f>SUM(G9:G11)</f>
        <v>11354</v>
      </c>
      <c r="H12" s="71"/>
      <c r="I12" s="71"/>
      <c r="J12" s="71">
        <f>SUM(J9:J11)</f>
        <v>6037</v>
      </c>
    </row>
    <row r="13" spans="1:10" ht="15.75">
      <c r="A13" s="69">
        <v>8</v>
      </c>
      <c r="B13" s="69"/>
      <c r="C13" s="73" t="s">
        <v>1144</v>
      </c>
      <c r="D13" s="74"/>
      <c r="E13" s="71"/>
      <c r="F13" s="71"/>
      <c r="G13" s="71">
        <f>88+2617</f>
        <v>2705</v>
      </c>
      <c r="H13" s="71"/>
      <c r="I13" s="71"/>
      <c r="J13" s="71">
        <v>1612</v>
      </c>
    </row>
    <row r="14" spans="1:10" s="260" customFormat="1" ht="15.75">
      <c r="A14" s="69">
        <v>9</v>
      </c>
      <c r="B14" s="258"/>
      <c r="C14" s="259" t="s">
        <v>902</v>
      </c>
      <c r="D14" s="21"/>
      <c r="E14" s="79"/>
      <c r="F14" s="79"/>
      <c r="G14" s="79">
        <f>SUM(G12:G13)</f>
        <v>14059</v>
      </c>
      <c r="H14" s="79">
        <f>SUM(H12:H13)</f>
        <v>0</v>
      </c>
      <c r="I14" s="79">
        <f>SUM(I12:I13)</f>
        <v>0</v>
      </c>
      <c r="J14" s="79">
        <f>SUM(J12:J13)</f>
        <v>7649</v>
      </c>
    </row>
    <row r="15" spans="1:10" ht="15.75">
      <c r="A15" s="69">
        <v>10</v>
      </c>
      <c r="B15" s="69"/>
      <c r="C15" s="73"/>
      <c r="D15" s="74"/>
      <c r="E15" s="71"/>
      <c r="F15" s="71"/>
      <c r="G15" s="71"/>
      <c r="H15" s="71"/>
      <c r="I15" s="71"/>
      <c r="J15" s="71"/>
    </row>
    <row r="16" spans="1:10" ht="15.75">
      <c r="A16" s="69">
        <v>11</v>
      </c>
      <c r="B16" s="69">
        <v>841403</v>
      </c>
      <c r="C16" s="244" t="s">
        <v>1348</v>
      </c>
      <c r="D16" s="74"/>
      <c r="E16" s="71">
        <f>5000+1709+70</f>
        <v>6779</v>
      </c>
      <c r="F16" s="71">
        <f>5000+1709+70</f>
        <v>6779</v>
      </c>
      <c r="G16" s="71">
        <v>6779</v>
      </c>
      <c r="H16" s="71"/>
      <c r="I16" s="71">
        <v>6778</v>
      </c>
      <c r="J16" s="71">
        <v>6778</v>
      </c>
    </row>
    <row r="17" spans="1:4" ht="15.75">
      <c r="A17" s="69">
        <v>12</v>
      </c>
      <c r="B17" s="66"/>
      <c r="D17" s="66"/>
    </row>
    <row r="18" spans="1:10" ht="15.75">
      <c r="A18" s="69">
        <v>13</v>
      </c>
      <c r="B18" s="69"/>
      <c r="C18" s="244" t="s">
        <v>1437</v>
      </c>
      <c r="D18" s="74"/>
      <c r="E18" s="71"/>
      <c r="F18" s="71"/>
      <c r="G18" s="71">
        <v>1181</v>
      </c>
      <c r="H18" s="71"/>
      <c r="I18" s="71"/>
      <c r="J18" s="71">
        <v>0</v>
      </c>
    </row>
    <row r="19" spans="1:10" ht="15.75">
      <c r="A19" s="69">
        <v>14</v>
      </c>
      <c r="B19" s="69"/>
      <c r="C19" s="244" t="s">
        <v>1438</v>
      </c>
      <c r="D19" s="74"/>
      <c r="E19" s="71"/>
      <c r="F19" s="71"/>
      <c r="G19" s="71">
        <v>400</v>
      </c>
      <c r="H19" s="71"/>
      <c r="I19" s="71"/>
      <c r="J19" s="71"/>
    </row>
    <row r="20" spans="1:10" ht="15.75">
      <c r="A20" s="69">
        <v>15</v>
      </c>
      <c r="B20" s="69">
        <v>841403</v>
      </c>
      <c r="C20" s="244" t="s">
        <v>1350</v>
      </c>
      <c r="D20" s="74"/>
      <c r="E20" s="71">
        <v>3100</v>
      </c>
      <c r="F20" s="71">
        <v>3100</v>
      </c>
      <c r="G20" s="71">
        <v>3100</v>
      </c>
      <c r="H20" s="71">
        <v>3100</v>
      </c>
      <c r="I20" s="71">
        <v>3100</v>
      </c>
      <c r="J20" s="71">
        <v>3100</v>
      </c>
    </row>
    <row r="21" spans="1:10" ht="15.75">
      <c r="A21" s="69">
        <v>16</v>
      </c>
      <c r="B21" s="69"/>
      <c r="C21" s="244" t="s">
        <v>1351</v>
      </c>
      <c r="D21" s="74"/>
      <c r="E21" s="71">
        <f>775+1350+461+178+19</f>
        <v>2783</v>
      </c>
      <c r="F21" s="71">
        <f>775+1350+461+311+19</f>
        <v>2916</v>
      </c>
      <c r="G21" s="71">
        <f>775+1350+461+311+19+319</f>
        <v>3235</v>
      </c>
      <c r="H21" s="71">
        <v>775</v>
      </c>
      <c r="I21" s="71">
        <v>2889</v>
      </c>
      <c r="J21" s="71">
        <v>2586</v>
      </c>
    </row>
    <row r="22" spans="1:10" ht="15.75">
      <c r="A22" s="69">
        <v>17</v>
      </c>
      <c r="B22" s="69"/>
      <c r="C22" s="73" t="s">
        <v>1352</v>
      </c>
      <c r="D22" s="74"/>
      <c r="E22" s="75">
        <f aca="true" t="shared" si="0" ref="E22:J22">SUM(E16:E21)</f>
        <v>12662</v>
      </c>
      <c r="F22" s="75">
        <f t="shared" si="0"/>
        <v>12795</v>
      </c>
      <c r="G22" s="75">
        <f t="shared" si="0"/>
        <v>14695</v>
      </c>
      <c r="H22" s="75">
        <f t="shared" si="0"/>
        <v>3875</v>
      </c>
      <c r="I22" s="75">
        <f t="shared" si="0"/>
        <v>12767</v>
      </c>
      <c r="J22" s="75">
        <f t="shared" si="0"/>
        <v>12464</v>
      </c>
    </row>
    <row r="23" spans="1:10" ht="15.75">
      <c r="A23" s="69">
        <v>18</v>
      </c>
      <c r="B23" s="69"/>
      <c r="C23" s="73"/>
      <c r="D23" s="74"/>
      <c r="E23" s="71"/>
      <c r="F23" s="71"/>
      <c r="G23" s="71"/>
      <c r="H23" s="71"/>
      <c r="I23" s="71"/>
      <c r="J23" s="71"/>
    </row>
    <row r="24" spans="1:10" ht="15.75">
      <c r="A24" s="69">
        <v>19</v>
      </c>
      <c r="B24" s="69"/>
      <c r="C24" s="73" t="s">
        <v>1140</v>
      </c>
      <c r="D24" s="74"/>
      <c r="E24" s="71"/>
      <c r="F24" s="71"/>
      <c r="G24" s="71"/>
      <c r="H24" s="71"/>
      <c r="I24" s="71"/>
      <c r="J24" s="71"/>
    </row>
    <row r="25" spans="1:10" ht="15.75">
      <c r="A25" s="69">
        <v>20</v>
      </c>
      <c r="B25" s="69"/>
      <c r="C25" s="244" t="s">
        <v>1136</v>
      </c>
      <c r="D25" s="245"/>
      <c r="E25" s="71"/>
      <c r="F25" s="71"/>
      <c r="G25" s="71"/>
      <c r="H25" s="71"/>
      <c r="I25" s="71"/>
      <c r="J25" s="71"/>
    </row>
    <row r="26" spans="1:10" ht="15.75">
      <c r="A26" s="69">
        <v>21</v>
      </c>
      <c r="B26" s="69">
        <v>841403</v>
      </c>
      <c r="C26" s="244" t="s">
        <v>1137</v>
      </c>
      <c r="D26" s="245">
        <v>5345</v>
      </c>
      <c r="E26" s="245">
        <v>5345</v>
      </c>
      <c r="F26" s="245">
        <v>5345</v>
      </c>
      <c r="G26" s="245"/>
      <c r="H26" s="71"/>
      <c r="I26" s="71">
        <v>0</v>
      </c>
      <c r="J26" s="71">
        <v>0</v>
      </c>
    </row>
    <row r="27" spans="1:10" ht="15.75">
      <c r="A27" s="69">
        <v>22</v>
      </c>
      <c r="B27" s="69">
        <v>841403</v>
      </c>
      <c r="C27" s="244" t="s">
        <v>1138</v>
      </c>
      <c r="D27" s="245">
        <v>1820</v>
      </c>
      <c r="E27" s="245">
        <v>1820</v>
      </c>
      <c r="F27" s="245">
        <v>1820</v>
      </c>
      <c r="G27" s="245"/>
      <c r="H27" s="71"/>
      <c r="I27" s="71">
        <v>0</v>
      </c>
      <c r="J27" s="71">
        <v>0</v>
      </c>
    </row>
    <row r="28" spans="1:10" ht="15.75">
      <c r="A28" s="69">
        <v>23</v>
      </c>
      <c r="B28" s="69"/>
      <c r="C28" s="244" t="s">
        <v>1141</v>
      </c>
      <c r="D28" s="245">
        <v>600</v>
      </c>
      <c r="E28" s="245">
        <v>600</v>
      </c>
      <c r="F28" s="245">
        <v>600</v>
      </c>
      <c r="G28" s="245">
        <v>600</v>
      </c>
      <c r="H28" s="71"/>
      <c r="I28" s="71">
        <v>0</v>
      </c>
      <c r="J28" s="71">
        <v>0</v>
      </c>
    </row>
    <row r="29" spans="1:10" ht="15.75">
      <c r="A29" s="69">
        <v>24</v>
      </c>
      <c r="B29" s="246"/>
      <c r="C29" s="77" t="s">
        <v>1139</v>
      </c>
      <c r="D29" s="74">
        <f aca="true" t="shared" si="1" ref="D29:J29">SUM(D26:D28)</f>
        <v>7765</v>
      </c>
      <c r="E29" s="74">
        <f t="shared" si="1"/>
        <v>7765</v>
      </c>
      <c r="F29" s="74">
        <f t="shared" si="1"/>
        <v>7765</v>
      </c>
      <c r="G29" s="74">
        <f t="shared" si="1"/>
        <v>600</v>
      </c>
      <c r="H29" s="74">
        <f t="shared" si="1"/>
        <v>0</v>
      </c>
      <c r="I29" s="74">
        <f t="shared" si="1"/>
        <v>0</v>
      </c>
      <c r="J29" s="74">
        <f t="shared" si="1"/>
        <v>0</v>
      </c>
    </row>
    <row r="30" spans="1:10" ht="15.75">
      <c r="A30" s="69">
        <v>25</v>
      </c>
      <c r="B30" s="69"/>
      <c r="C30" s="244"/>
      <c r="D30" s="245"/>
      <c r="E30" s="245"/>
      <c r="F30" s="245"/>
      <c r="G30" s="245"/>
      <c r="H30" s="71"/>
      <c r="I30" s="71"/>
      <c r="J30" s="71"/>
    </row>
    <row r="31" spans="1:10" ht="15.75">
      <c r="A31" s="69">
        <v>26</v>
      </c>
      <c r="B31" s="69"/>
      <c r="C31" s="73" t="s">
        <v>752</v>
      </c>
      <c r="D31" s="245"/>
      <c r="E31" s="245"/>
      <c r="F31" s="245"/>
      <c r="G31" s="245"/>
      <c r="H31" s="71"/>
      <c r="I31" s="71"/>
      <c r="J31" s="71"/>
    </row>
    <row r="32" spans="1:10" ht="15.75">
      <c r="A32" s="69">
        <v>27</v>
      </c>
      <c r="B32" s="69"/>
      <c r="C32" s="73" t="s">
        <v>1142</v>
      </c>
      <c r="D32" s="74"/>
      <c r="E32" s="74"/>
      <c r="F32" s="74"/>
      <c r="G32" s="74"/>
      <c r="H32" s="71"/>
      <c r="I32" s="71"/>
      <c r="J32" s="71"/>
    </row>
    <row r="33" spans="1:10" ht="15.75">
      <c r="A33" s="69">
        <v>28</v>
      </c>
      <c r="B33" s="69"/>
      <c r="C33" s="244" t="s">
        <v>1353</v>
      </c>
      <c r="D33" s="245">
        <v>500</v>
      </c>
      <c r="E33" s="245">
        <f>500+286</f>
        <v>786</v>
      </c>
      <c r="F33" s="245">
        <v>1036</v>
      </c>
      <c r="G33" s="245">
        <v>1036</v>
      </c>
      <c r="H33" s="71">
        <v>614</v>
      </c>
      <c r="I33" s="71">
        <v>792</v>
      </c>
      <c r="J33" s="71">
        <v>792</v>
      </c>
    </row>
    <row r="34" spans="1:10" ht="15.75">
      <c r="A34" s="69">
        <v>29</v>
      </c>
      <c r="B34" s="69"/>
      <c r="C34" s="244" t="s">
        <v>1144</v>
      </c>
      <c r="D34" s="245">
        <v>135</v>
      </c>
      <c r="E34" s="245">
        <f>135+77</f>
        <v>212</v>
      </c>
      <c r="F34" s="245">
        <v>280</v>
      </c>
      <c r="G34" s="245">
        <v>280</v>
      </c>
      <c r="H34" s="71">
        <v>166</v>
      </c>
      <c r="I34" s="71">
        <v>198</v>
      </c>
      <c r="J34" s="71">
        <v>198</v>
      </c>
    </row>
    <row r="35" spans="1:10" ht="15.75">
      <c r="A35" s="69">
        <v>30</v>
      </c>
      <c r="B35" s="69"/>
      <c r="C35" s="73" t="s">
        <v>573</v>
      </c>
      <c r="D35" s="74">
        <f aca="true" t="shared" si="2" ref="D35:J35">SUM(D33:D34)</f>
        <v>635</v>
      </c>
      <c r="E35" s="74">
        <f t="shared" si="2"/>
        <v>998</v>
      </c>
      <c r="F35" s="74">
        <f t="shared" si="2"/>
        <v>1316</v>
      </c>
      <c r="G35" s="74">
        <f t="shared" si="2"/>
        <v>1316</v>
      </c>
      <c r="H35" s="74">
        <f t="shared" si="2"/>
        <v>780</v>
      </c>
      <c r="I35" s="74">
        <f t="shared" si="2"/>
        <v>990</v>
      </c>
      <c r="J35" s="74">
        <f t="shared" si="2"/>
        <v>990</v>
      </c>
    </row>
    <row r="36" spans="1:10" ht="15.75">
      <c r="A36" s="69">
        <v>31</v>
      </c>
      <c r="B36" s="69"/>
      <c r="C36" s="73"/>
      <c r="D36" s="74"/>
      <c r="E36" s="74"/>
      <c r="F36" s="74"/>
      <c r="G36" s="74"/>
      <c r="H36" s="71"/>
      <c r="I36" s="71"/>
      <c r="J36" s="71"/>
    </row>
    <row r="37" spans="1:10" ht="15.75">
      <c r="A37" s="69">
        <v>32</v>
      </c>
      <c r="B37" s="69"/>
      <c r="C37" s="73" t="s">
        <v>1145</v>
      </c>
      <c r="D37" s="74"/>
      <c r="E37" s="74"/>
      <c r="F37" s="74"/>
      <c r="G37" s="74"/>
      <c r="H37" s="71"/>
      <c r="I37" s="71"/>
      <c r="J37" s="71"/>
    </row>
    <row r="38" spans="1:10" ht="15.75">
      <c r="A38" s="69">
        <v>33</v>
      </c>
      <c r="B38" s="69"/>
      <c r="C38" s="71" t="s">
        <v>1146</v>
      </c>
      <c r="D38" s="76">
        <v>3937</v>
      </c>
      <c r="E38" s="78">
        <f>3937+265</f>
        <v>4202</v>
      </c>
      <c r="F38" s="78">
        <f>3937+265</f>
        <v>4202</v>
      </c>
      <c r="G38" s="78">
        <f>3937+265</f>
        <v>4202</v>
      </c>
      <c r="H38" s="71">
        <v>1084</v>
      </c>
      <c r="I38" s="71">
        <v>3785</v>
      </c>
      <c r="J38" s="71">
        <f>4293</f>
        <v>4293</v>
      </c>
    </row>
    <row r="39" spans="1:10" ht="15.75">
      <c r="A39" s="69">
        <v>34</v>
      </c>
      <c r="B39" s="69"/>
      <c r="C39" s="71" t="s">
        <v>1354</v>
      </c>
      <c r="D39" s="76"/>
      <c r="E39" s="78">
        <v>1417</v>
      </c>
      <c r="F39" s="78">
        <v>1417</v>
      </c>
      <c r="G39" s="78">
        <v>1417</v>
      </c>
      <c r="H39" s="71">
        <v>1417</v>
      </c>
      <c r="I39" s="71">
        <v>1417</v>
      </c>
      <c r="J39" s="71">
        <v>1417</v>
      </c>
    </row>
    <row r="40" spans="1:10" s="77" customFormat="1" ht="15.75">
      <c r="A40" s="69">
        <v>35</v>
      </c>
      <c r="B40" s="69"/>
      <c r="C40" s="71" t="s">
        <v>1147</v>
      </c>
      <c r="D40" s="78">
        <v>1574</v>
      </c>
      <c r="E40" s="78">
        <v>1574</v>
      </c>
      <c r="F40" s="78">
        <v>1574</v>
      </c>
      <c r="G40" s="78"/>
      <c r="H40" s="75">
        <v>0</v>
      </c>
      <c r="I40" s="75">
        <v>0</v>
      </c>
      <c r="J40" s="75">
        <v>0</v>
      </c>
    </row>
    <row r="41" spans="1:2" s="77" customFormat="1" ht="15.75">
      <c r="A41" s="69">
        <v>36</v>
      </c>
      <c r="B41" s="69"/>
    </row>
    <row r="42" spans="1:10" s="77" customFormat="1" ht="15.75">
      <c r="A42" s="69">
        <v>37</v>
      </c>
      <c r="B42" s="69"/>
      <c r="C42" s="71" t="s">
        <v>1248</v>
      </c>
      <c r="D42" s="78">
        <v>1226</v>
      </c>
      <c r="E42" s="78">
        <v>1226</v>
      </c>
      <c r="F42" s="78">
        <v>1226</v>
      </c>
      <c r="G42" s="78"/>
      <c r="H42" s="75">
        <v>0</v>
      </c>
      <c r="I42" s="75">
        <v>0</v>
      </c>
      <c r="J42" s="75">
        <v>0</v>
      </c>
    </row>
    <row r="43" spans="1:10" ht="15.75">
      <c r="A43" s="69">
        <v>38</v>
      </c>
      <c r="B43" s="69"/>
      <c r="C43" s="71" t="s">
        <v>1148</v>
      </c>
      <c r="D43" s="78">
        <v>1000</v>
      </c>
      <c r="E43" s="78">
        <v>1000</v>
      </c>
      <c r="F43" s="78">
        <v>1000</v>
      </c>
      <c r="G43" s="78"/>
      <c r="H43" s="71">
        <v>0</v>
      </c>
      <c r="I43" s="71">
        <v>0</v>
      </c>
      <c r="J43" s="71">
        <v>0</v>
      </c>
    </row>
    <row r="44" spans="1:10" ht="15.75">
      <c r="A44" s="69">
        <v>39</v>
      </c>
      <c r="B44" s="69"/>
      <c r="C44" s="71" t="s">
        <v>1149</v>
      </c>
      <c r="D44" s="78">
        <f aca="true" t="shared" si="3" ref="D44:J44">SUM(D38:D43)</f>
        <v>7737</v>
      </c>
      <c r="E44" s="78">
        <f t="shared" si="3"/>
        <v>9419</v>
      </c>
      <c r="F44" s="78">
        <f t="shared" si="3"/>
        <v>9419</v>
      </c>
      <c r="G44" s="78">
        <f t="shared" si="3"/>
        <v>5619</v>
      </c>
      <c r="H44" s="78">
        <f t="shared" si="3"/>
        <v>2501</v>
      </c>
      <c r="I44" s="78">
        <f t="shared" si="3"/>
        <v>5202</v>
      </c>
      <c r="J44" s="78">
        <f t="shared" si="3"/>
        <v>5710</v>
      </c>
    </row>
    <row r="45" spans="1:10" ht="15.75">
      <c r="A45" s="69">
        <v>40</v>
      </c>
      <c r="B45" s="69"/>
      <c r="C45" s="71" t="s">
        <v>1119</v>
      </c>
      <c r="D45" s="78">
        <v>2089</v>
      </c>
      <c r="E45" s="78">
        <f>2089+169+55</f>
        <v>2313</v>
      </c>
      <c r="F45" s="78">
        <f>2089+169+55</f>
        <v>2313</v>
      </c>
      <c r="G45" s="78">
        <f>2089+169+55-331-270-425</f>
        <v>1287</v>
      </c>
      <c r="H45" s="71">
        <f>169+293</f>
        <v>462</v>
      </c>
      <c r="I45" s="71">
        <f>1205-20</f>
        <v>1185</v>
      </c>
      <c r="J45" s="71">
        <f>169+1017-20+24</f>
        <v>1190</v>
      </c>
    </row>
    <row r="46" spans="1:10" ht="15.75">
      <c r="A46" s="69">
        <v>41</v>
      </c>
      <c r="B46" s="69"/>
      <c r="C46" s="75" t="s">
        <v>902</v>
      </c>
      <c r="D46" s="76">
        <f aca="true" t="shared" si="4" ref="D46:J46">SUM(D44:D45)</f>
        <v>9826</v>
      </c>
      <c r="E46" s="76">
        <f t="shared" si="4"/>
        <v>11732</v>
      </c>
      <c r="F46" s="76">
        <f t="shared" si="4"/>
        <v>11732</v>
      </c>
      <c r="G46" s="76">
        <f t="shared" si="4"/>
        <v>6906</v>
      </c>
      <c r="H46" s="76">
        <f t="shared" si="4"/>
        <v>2963</v>
      </c>
      <c r="I46" s="76">
        <f t="shared" si="4"/>
        <v>6387</v>
      </c>
      <c r="J46" s="76">
        <f t="shared" si="4"/>
        <v>6900</v>
      </c>
    </row>
    <row r="47" spans="1:10" ht="15.75">
      <c r="A47" s="69">
        <v>42</v>
      </c>
      <c r="B47" s="69"/>
      <c r="C47" s="71"/>
      <c r="D47" s="78"/>
      <c r="E47" s="78"/>
      <c r="F47" s="78"/>
      <c r="G47" s="78"/>
      <c r="H47" s="71"/>
      <c r="I47" s="71"/>
      <c r="J47" s="71"/>
    </row>
    <row r="48" spans="1:10" ht="15.75">
      <c r="A48" s="69">
        <v>43</v>
      </c>
      <c r="B48" s="246"/>
      <c r="C48" s="77" t="s">
        <v>1151</v>
      </c>
      <c r="D48" s="76"/>
      <c r="E48" s="76"/>
      <c r="F48" s="76"/>
      <c r="G48" s="76"/>
      <c r="H48" s="71"/>
      <c r="I48" s="71"/>
      <c r="J48" s="71"/>
    </row>
    <row r="49" spans="1:10" ht="15.75">
      <c r="A49" s="69">
        <v>44</v>
      </c>
      <c r="B49" s="69"/>
      <c r="C49" s="71" t="s">
        <v>1150</v>
      </c>
      <c r="D49" s="78">
        <v>1000</v>
      </c>
      <c r="E49" s="78">
        <v>1000</v>
      </c>
      <c r="F49" s="78">
        <v>1000</v>
      </c>
      <c r="G49" s="78">
        <v>1000</v>
      </c>
      <c r="H49" s="71"/>
      <c r="I49" s="71">
        <v>0</v>
      </c>
      <c r="J49" s="71">
        <v>429</v>
      </c>
    </row>
    <row r="50" spans="1:10" ht="15.75">
      <c r="A50" s="69">
        <v>45</v>
      </c>
      <c r="B50" s="69"/>
      <c r="C50" s="71" t="s">
        <v>1119</v>
      </c>
      <c r="D50" s="78">
        <v>270</v>
      </c>
      <c r="E50" s="78">
        <v>270</v>
      </c>
      <c r="F50" s="78">
        <v>270</v>
      </c>
      <c r="G50" s="78">
        <v>270</v>
      </c>
      <c r="H50" s="71"/>
      <c r="I50" s="71">
        <v>0</v>
      </c>
      <c r="J50" s="71">
        <v>115</v>
      </c>
    </row>
    <row r="51" spans="1:10" ht="15.75">
      <c r="A51" s="69">
        <v>46</v>
      </c>
      <c r="B51" s="69"/>
      <c r="C51" s="75" t="s">
        <v>902</v>
      </c>
      <c r="D51" s="76">
        <f aca="true" t="shared" si="5" ref="D51:J51">SUM(D49:D50)</f>
        <v>1270</v>
      </c>
      <c r="E51" s="76">
        <f t="shared" si="5"/>
        <v>1270</v>
      </c>
      <c r="F51" s="76">
        <f t="shared" si="5"/>
        <v>1270</v>
      </c>
      <c r="G51" s="76">
        <f t="shared" si="5"/>
        <v>1270</v>
      </c>
      <c r="H51" s="76">
        <f t="shared" si="5"/>
        <v>0</v>
      </c>
      <c r="I51" s="76">
        <f t="shared" si="5"/>
        <v>0</v>
      </c>
      <c r="J51" s="76">
        <f t="shared" si="5"/>
        <v>544</v>
      </c>
    </row>
    <row r="52" spans="1:10" ht="15.75">
      <c r="A52" s="69">
        <v>47</v>
      </c>
      <c r="B52" s="69"/>
      <c r="C52" s="75"/>
      <c r="D52" s="76"/>
      <c r="E52" s="76"/>
      <c r="F52" s="76"/>
      <c r="G52" s="76"/>
      <c r="H52" s="71"/>
      <c r="I52" s="71"/>
      <c r="J52" s="71"/>
    </row>
    <row r="53" spans="1:10" ht="15.75">
      <c r="A53" s="69">
        <v>48</v>
      </c>
      <c r="B53" s="69"/>
      <c r="C53" s="75" t="s">
        <v>1355</v>
      </c>
      <c r="D53" s="76"/>
      <c r="E53" s="76"/>
      <c r="F53" s="76"/>
      <c r="G53" s="76"/>
      <c r="H53" s="71"/>
      <c r="I53" s="71"/>
      <c r="J53" s="71"/>
    </row>
    <row r="54" spans="1:10" ht="15.75">
      <c r="A54" s="69">
        <v>49</v>
      </c>
      <c r="B54" s="69"/>
      <c r="C54" s="71" t="s">
        <v>1356</v>
      </c>
      <c r="D54" s="76"/>
      <c r="E54" s="78">
        <v>850</v>
      </c>
      <c r="F54" s="78">
        <v>850</v>
      </c>
      <c r="G54" s="78">
        <v>850</v>
      </c>
      <c r="H54" s="71">
        <v>850</v>
      </c>
      <c r="I54" s="71">
        <v>850</v>
      </c>
      <c r="J54" s="71">
        <v>850</v>
      </c>
    </row>
    <row r="55" spans="1:10" ht="15.75">
      <c r="A55" s="69">
        <v>50</v>
      </c>
      <c r="B55" s="69"/>
      <c r="C55" s="71" t="s">
        <v>1357</v>
      </c>
      <c r="D55" s="76"/>
      <c r="E55" s="78">
        <v>846</v>
      </c>
      <c r="F55" s="78">
        <v>846</v>
      </c>
      <c r="G55" s="78">
        <v>846</v>
      </c>
      <c r="H55" s="71">
        <v>846</v>
      </c>
      <c r="I55" s="71">
        <v>846</v>
      </c>
      <c r="J55" s="71">
        <v>846</v>
      </c>
    </row>
    <row r="56" spans="1:10" ht="15.75">
      <c r="A56" s="69">
        <v>51</v>
      </c>
      <c r="B56" s="69"/>
      <c r="C56" s="71" t="s">
        <v>1144</v>
      </c>
      <c r="D56" s="76"/>
      <c r="E56" s="76">
        <f>230+229</f>
        <v>459</v>
      </c>
      <c r="F56" s="76">
        <f>230+229</f>
        <v>459</v>
      </c>
      <c r="G56" s="76">
        <v>459</v>
      </c>
      <c r="H56" s="71">
        <f>228+230</f>
        <v>458</v>
      </c>
      <c r="I56" s="71">
        <v>458</v>
      </c>
      <c r="J56" s="71">
        <v>458</v>
      </c>
    </row>
    <row r="57" spans="1:10" ht="15.75">
      <c r="A57" s="69">
        <v>52</v>
      </c>
      <c r="B57" s="69"/>
      <c r="C57" s="75" t="s">
        <v>1358</v>
      </c>
      <c r="D57" s="76"/>
      <c r="E57" s="76">
        <f aca="true" t="shared" si="6" ref="E57:J57">SUM(E54:E56)</f>
        <v>2155</v>
      </c>
      <c r="F57" s="76">
        <f t="shared" si="6"/>
        <v>2155</v>
      </c>
      <c r="G57" s="76">
        <f t="shared" si="6"/>
        <v>2155</v>
      </c>
      <c r="H57" s="76">
        <f t="shared" si="6"/>
        <v>2154</v>
      </c>
      <c r="I57" s="76">
        <f t="shared" si="6"/>
        <v>2154</v>
      </c>
      <c r="J57" s="76">
        <f t="shared" si="6"/>
        <v>2154</v>
      </c>
    </row>
    <row r="58" spans="1:10" ht="15.75">
      <c r="A58" s="69">
        <v>53</v>
      </c>
      <c r="B58" s="69"/>
      <c r="C58" s="75"/>
      <c r="D58" s="76"/>
      <c r="E58" s="76"/>
      <c r="F58" s="76"/>
      <c r="G58" s="76"/>
      <c r="H58" s="71"/>
      <c r="I58" s="71"/>
      <c r="J58" s="71"/>
    </row>
    <row r="59" spans="1:10" ht="15.75">
      <c r="A59" s="69">
        <v>54</v>
      </c>
      <c r="B59" s="69"/>
      <c r="C59" s="75"/>
      <c r="D59" s="78"/>
      <c r="E59" s="78"/>
      <c r="F59" s="78"/>
      <c r="G59" s="78"/>
      <c r="H59" s="71"/>
      <c r="I59" s="71"/>
      <c r="J59" s="71"/>
    </row>
    <row r="60" spans="1:11" ht="15.75">
      <c r="A60" s="69">
        <v>55</v>
      </c>
      <c r="B60" s="69"/>
      <c r="C60" s="75" t="s">
        <v>1163</v>
      </c>
      <c r="D60" s="76">
        <f>D49+D44+D33</f>
        <v>9237</v>
      </c>
      <c r="E60" s="76">
        <f>E49+E44+E33+E54+E55</f>
        <v>12901</v>
      </c>
      <c r="F60" s="76">
        <f>F49+F44+F33+F54+F55</f>
        <v>13151</v>
      </c>
      <c r="G60" s="76">
        <f>G49+G44+G33+G54+G55+G12+G10</f>
        <v>21920</v>
      </c>
      <c r="H60" s="76">
        <f>H49+H44+H33+H54+H55+H12+I10</f>
        <v>4811</v>
      </c>
      <c r="I60" s="76">
        <f>I49+I44+I33+I54+I55+I12+J10</f>
        <v>8880</v>
      </c>
      <c r="J60" s="76">
        <f>J49+J44+J33+J54+J55+J12</f>
        <v>14664</v>
      </c>
      <c r="K60" s="66">
        <v>14664</v>
      </c>
    </row>
    <row r="61" spans="1:11" s="77" customFormat="1" ht="15.75">
      <c r="A61" s="69">
        <v>56</v>
      </c>
      <c r="B61" s="69"/>
      <c r="C61" s="75" t="s">
        <v>1152</v>
      </c>
      <c r="D61" s="76">
        <f>D50+D45+D34</f>
        <v>2494</v>
      </c>
      <c r="E61" s="76">
        <f>E50+E45+E34+E56</f>
        <v>3254</v>
      </c>
      <c r="F61" s="76">
        <f>F50+F45+F34+F56</f>
        <v>3322</v>
      </c>
      <c r="G61" s="76">
        <f>G50+G45+G34+G56+G13+311</f>
        <v>5312</v>
      </c>
      <c r="H61" s="76">
        <f>H50+H45+H34+H56+H13+311</f>
        <v>1397</v>
      </c>
      <c r="I61" s="76">
        <f>I50+I45+I34+I56+I13+311</f>
        <v>2152</v>
      </c>
      <c r="J61" s="76">
        <f>J50+J45+J34+J56+J13</f>
        <v>3573</v>
      </c>
      <c r="K61" s="77">
        <v>3573</v>
      </c>
    </row>
    <row r="62" spans="1:11" ht="15.75">
      <c r="A62" s="69">
        <v>57</v>
      </c>
      <c r="B62" s="69"/>
      <c r="C62" s="75" t="s">
        <v>1164</v>
      </c>
      <c r="D62" s="76">
        <f aca="true" t="shared" si="7" ref="D62:I62">SUM(D60:D61)</f>
        <v>11731</v>
      </c>
      <c r="E62" s="76">
        <f t="shared" si="7"/>
        <v>16155</v>
      </c>
      <c r="F62" s="76">
        <f t="shared" si="7"/>
        <v>16473</v>
      </c>
      <c r="G62" s="76">
        <f t="shared" si="7"/>
        <v>27232</v>
      </c>
      <c r="H62" s="76">
        <f t="shared" si="7"/>
        <v>6208</v>
      </c>
      <c r="I62" s="76">
        <f t="shared" si="7"/>
        <v>11032</v>
      </c>
      <c r="J62" s="76">
        <f>SUM(J60:J61)</f>
        <v>18237</v>
      </c>
      <c r="K62" s="66">
        <f>SUM(K60:K61)</f>
        <v>18237</v>
      </c>
    </row>
    <row r="63" spans="1:10" s="77" customFormat="1" ht="15.75">
      <c r="A63" s="69">
        <v>58</v>
      </c>
      <c r="B63" s="69"/>
      <c r="C63" s="75"/>
      <c r="D63" s="76"/>
      <c r="E63" s="76"/>
      <c r="F63" s="76"/>
      <c r="G63" s="76"/>
      <c r="H63" s="75"/>
      <c r="I63" s="75"/>
      <c r="J63" s="75"/>
    </row>
    <row r="64" spans="1:10" s="77" customFormat="1" ht="15.75">
      <c r="A64" s="69">
        <v>59</v>
      </c>
      <c r="B64" s="69"/>
      <c r="C64" s="71" t="s">
        <v>1165</v>
      </c>
      <c r="D64" s="78"/>
      <c r="E64" s="78"/>
      <c r="F64" s="78"/>
      <c r="G64" s="78"/>
      <c r="H64" s="75"/>
      <c r="I64" s="75"/>
      <c r="J64" s="75"/>
    </row>
    <row r="65" spans="1:10" s="77" customFormat="1" ht="15.75">
      <c r="A65" s="69">
        <v>60</v>
      </c>
      <c r="B65" s="69"/>
      <c r="C65" s="75" t="s">
        <v>1153</v>
      </c>
      <c r="D65" s="78"/>
      <c r="E65" s="78"/>
      <c r="F65" s="78"/>
      <c r="G65" s="78"/>
      <c r="H65" s="75"/>
      <c r="I65" s="75"/>
      <c r="J65" s="75"/>
    </row>
    <row r="66" spans="1:10" s="77" customFormat="1" ht="15.75">
      <c r="A66" s="69">
        <v>61</v>
      </c>
      <c r="B66" s="69"/>
      <c r="C66" s="71" t="s">
        <v>1359</v>
      </c>
      <c r="D66" s="78">
        <v>250</v>
      </c>
      <c r="E66" s="78">
        <v>250</v>
      </c>
      <c r="F66" s="78">
        <v>250</v>
      </c>
      <c r="G66" s="78">
        <f>250+1417</f>
        <v>1667</v>
      </c>
      <c r="H66" s="75">
        <v>186</v>
      </c>
      <c r="I66" s="75">
        <v>186</v>
      </c>
      <c r="J66" s="75">
        <v>1355</v>
      </c>
    </row>
    <row r="67" spans="1:10" s="77" customFormat="1" ht="15.75">
      <c r="A67" s="69">
        <v>62</v>
      </c>
      <c r="B67" s="69"/>
      <c r="C67" s="71" t="s">
        <v>1116</v>
      </c>
      <c r="D67" s="78">
        <v>68</v>
      </c>
      <c r="E67" s="78">
        <v>68</v>
      </c>
      <c r="F67" s="78">
        <v>68</v>
      </c>
      <c r="G67" s="78">
        <f>68+383</f>
        <v>451</v>
      </c>
      <c r="H67" s="75">
        <v>50</v>
      </c>
      <c r="I67" s="75">
        <v>50</v>
      </c>
      <c r="J67" s="75">
        <v>366</v>
      </c>
    </row>
    <row r="68" spans="1:10" s="77" customFormat="1" ht="15.75">
      <c r="A68" s="69">
        <v>63</v>
      </c>
      <c r="B68" s="69"/>
      <c r="C68" s="75" t="s">
        <v>1117</v>
      </c>
      <c r="D68" s="76">
        <f aca="true" t="shared" si="8" ref="D68:J68">SUM(D64:D67)</f>
        <v>318</v>
      </c>
      <c r="E68" s="76">
        <f t="shared" si="8"/>
        <v>318</v>
      </c>
      <c r="F68" s="76">
        <f t="shared" si="8"/>
        <v>318</v>
      </c>
      <c r="G68" s="76">
        <f t="shared" si="8"/>
        <v>2118</v>
      </c>
      <c r="H68" s="76">
        <f t="shared" si="8"/>
        <v>236</v>
      </c>
      <c r="I68" s="76">
        <f t="shared" si="8"/>
        <v>236</v>
      </c>
      <c r="J68" s="76">
        <f t="shared" si="8"/>
        <v>1721</v>
      </c>
    </row>
    <row r="69" spans="1:10" s="77" customFormat="1" ht="15.75">
      <c r="A69" s="69">
        <v>64</v>
      </c>
      <c r="B69" s="69"/>
      <c r="C69" s="71"/>
      <c r="D69" s="78"/>
      <c r="E69" s="78"/>
      <c r="F69" s="78"/>
      <c r="G69" s="78"/>
      <c r="H69" s="75"/>
      <c r="I69" s="75"/>
      <c r="J69" s="75"/>
    </row>
    <row r="70" spans="1:14" s="77" customFormat="1" ht="15.75">
      <c r="A70" s="69">
        <v>65</v>
      </c>
      <c r="B70" s="69"/>
      <c r="C70" s="75" t="s">
        <v>708</v>
      </c>
      <c r="D70" s="76"/>
      <c r="E70" s="76"/>
      <c r="F70" s="76"/>
      <c r="G70" s="76"/>
      <c r="H70" s="75"/>
      <c r="I70" s="75"/>
      <c r="J70" s="75"/>
      <c r="K70" s="66"/>
      <c r="L70" s="66"/>
      <c r="M70" s="247"/>
      <c r="N70" s="66"/>
    </row>
    <row r="71" spans="1:14" s="77" customFormat="1" ht="15.75">
      <c r="A71" s="69">
        <v>66</v>
      </c>
      <c r="B71" s="69"/>
      <c r="C71" s="71" t="s">
        <v>1360</v>
      </c>
      <c r="D71" s="78">
        <v>1090</v>
      </c>
      <c r="E71" s="78">
        <f>1090+394</f>
        <v>1484</v>
      </c>
      <c r="F71" s="78">
        <v>1484</v>
      </c>
      <c r="G71" s="78">
        <f>1090+394+236-500</f>
        <v>1220</v>
      </c>
      <c r="H71" s="71">
        <v>1139</v>
      </c>
      <c r="I71" s="71">
        <v>1140</v>
      </c>
      <c r="J71" s="71">
        <v>1144</v>
      </c>
      <c r="K71" s="66"/>
      <c r="L71" s="66"/>
      <c r="M71" s="66"/>
      <c r="N71" s="66"/>
    </row>
    <row r="72" spans="1:14" s="77" customFormat="1" ht="15.75">
      <c r="A72" s="69">
        <v>67</v>
      </c>
      <c r="B72" s="69"/>
      <c r="C72" s="71" t="s">
        <v>1386</v>
      </c>
      <c r="D72" s="78"/>
      <c r="E72" s="78"/>
      <c r="F72" s="78">
        <v>100</v>
      </c>
      <c r="G72" s="78">
        <v>100</v>
      </c>
      <c r="H72" s="71"/>
      <c r="I72" s="71">
        <v>95</v>
      </c>
      <c r="J72" s="71">
        <v>95</v>
      </c>
      <c r="K72" s="66"/>
      <c r="L72" s="66"/>
      <c r="M72" s="66"/>
      <c r="N72" s="66"/>
    </row>
    <row r="73" spans="1:10" ht="15.75">
      <c r="A73" s="69">
        <v>68</v>
      </c>
      <c r="B73" s="69"/>
      <c r="C73" s="71" t="s">
        <v>1154</v>
      </c>
      <c r="D73" s="78">
        <v>5000</v>
      </c>
      <c r="E73" s="78">
        <v>0</v>
      </c>
      <c r="F73" s="78">
        <v>0</v>
      </c>
      <c r="G73" s="78"/>
      <c r="H73" s="71">
        <v>0</v>
      </c>
      <c r="I73" s="71">
        <v>0</v>
      </c>
      <c r="J73" s="71"/>
    </row>
    <row r="74" spans="1:10" ht="15.75">
      <c r="A74" s="69"/>
      <c r="B74" s="69"/>
      <c r="C74" s="71" t="s">
        <v>1385</v>
      </c>
      <c r="D74" s="78"/>
      <c r="E74" s="78"/>
      <c r="F74" s="78"/>
      <c r="G74" s="78"/>
      <c r="H74" s="75"/>
      <c r="I74" s="75">
        <v>72</v>
      </c>
      <c r="J74" s="75">
        <v>72</v>
      </c>
    </row>
    <row r="75" spans="1:10" ht="15.75">
      <c r="A75" s="69">
        <v>69</v>
      </c>
      <c r="B75" s="69"/>
      <c r="C75" s="71" t="s">
        <v>1361</v>
      </c>
      <c r="D75" s="78"/>
      <c r="E75" s="78"/>
      <c r="F75" s="78">
        <v>100</v>
      </c>
      <c r="G75" s="78">
        <v>100</v>
      </c>
      <c r="H75" s="71">
        <v>100</v>
      </c>
      <c r="I75" s="71">
        <v>100</v>
      </c>
      <c r="J75" s="71">
        <v>100</v>
      </c>
    </row>
    <row r="76" spans="1:10" ht="15.75">
      <c r="A76" s="69">
        <v>70</v>
      </c>
      <c r="B76" s="69"/>
      <c r="C76" s="71" t="s">
        <v>1155</v>
      </c>
      <c r="D76" s="78">
        <v>530</v>
      </c>
      <c r="E76" s="78">
        <v>530</v>
      </c>
      <c r="F76" s="78">
        <v>530</v>
      </c>
      <c r="G76" s="78">
        <v>530</v>
      </c>
      <c r="H76" s="71">
        <v>530</v>
      </c>
      <c r="I76" s="71">
        <v>529</v>
      </c>
      <c r="J76" s="71">
        <v>529</v>
      </c>
    </row>
    <row r="77" spans="1:14" ht="15.75">
      <c r="A77" s="69">
        <v>71</v>
      </c>
      <c r="B77" s="69"/>
      <c r="C77" s="71" t="s">
        <v>1156</v>
      </c>
      <c r="D77" s="78">
        <f aca="true" t="shared" si="9" ref="D77:J77">SUM(D71:D76)</f>
        <v>6620</v>
      </c>
      <c r="E77" s="78">
        <f t="shared" si="9"/>
        <v>2014</v>
      </c>
      <c r="F77" s="78">
        <f t="shared" si="9"/>
        <v>2214</v>
      </c>
      <c r="G77" s="78">
        <f t="shared" si="9"/>
        <v>1950</v>
      </c>
      <c r="H77" s="78">
        <f t="shared" si="9"/>
        <v>1769</v>
      </c>
      <c r="I77" s="78">
        <f t="shared" si="9"/>
        <v>1936</v>
      </c>
      <c r="J77" s="78">
        <f t="shared" si="9"/>
        <v>1940</v>
      </c>
      <c r="K77" s="77"/>
      <c r="L77" s="77"/>
      <c r="M77" s="77"/>
      <c r="N77" s="77"/>
    </row>
    <row r="78" spans="1:10" ht="15.75">
      <c r="A78" s="69">
        <v>72</v>
      </c>
      <c r="B78" s="69"/>
      <c r="C78" s="75" t="s">
        <v>1119</v>
      </c>
      <c r="D78" s="78">
        <v>1787</v>
      </c>
      <c r="E78" s="78">
        <f>1787+106-1350</f>
        <v>543</v>
      </c>
      <c r="F78" s="78">
        <f>1787+106-1350+54</f>
        <v>597</v>
      </c>
      <c r="G78" s="78">
        <f>1787+106-1350+54+64-135</f>
        <v>526</v>
      </c>
      <c r="H78" s="71">
        <f>143+308+27</f>
        <v>478</v>
      </c>
      <c r="I78" s="71">
        <f>503+20</f>
        <v>523</v>
      </c>
      <c r="J78" s="71">
        <f>308+25+27+143+20</f>
        <v>523</v>
      </c>
    </row>
    <row r="79" spans="1:10" ht="15.75">
      <c r="A79" s="69">
        <v>73</v>
      </c>
      <c r="B79" s="69"/>
      <c r="C79" s="75" t="s">
        <v>1157</v>
      </c>
      <c r="D79" s="76">
        <f aca="true" t="shared" si="10" ref="D79:J79">SUM(D77:D78)</f>
        <v>8407</v>
      </c>
      <c r="E79" s="76">
        <f t="shared" si="10"/>
        <v>2557</v>
      </c>
      <c r="F79" s="76">
        <f t="shared" si="10"/>
        <v>2811</v>
      </c>
      <c r="G79" s="76">
        <f t="shared" si="10"/>
        <v>2476</v>
      </c>
      <c r="H79" s="76">
        <f t="shared" si="10"/>
        <v>2247</v>
      </c>
      <c r="I79" s="76">
        <f t="shared" si="10"/>
        <v>2459</v>
      </c>
      <c r="J79" s="76">
        <f t="shared" si="10"/>
        <v>2463</v>
      </c>
    </row>
    <row r="80" spans="1:10" ht="15.75">
      <c r="A80" s="69">
        <v>74</v>
      </c>
      <c r="B80" s="69"/>
      <c r="C80" s="75"/>
      <c r="D80" s="76"/>
      <c r="E80" s="76"/>
      <c r="F80" s="76"/>
      <c r="G80" s="76"/>
      <c r="H80" s="71"/>
      <c r="I80" s="71"/>
      <c r="J80" s="71"/>
    </row>
    <row r="81" spans="1:10" ht="15.75">
      <c r="A81" s="69">
        <v>75</v>
      </c>
      <c r="B81" s="69"/>
      <c r="C81" s="75" t="s">
        <v>1362</v>
      </c>
      <c r="D81" s="71"/>
      <c r="E81" s="71"/>
      <c r="F81" s="71"/>
      <c r="G81" s="71"/>
      <c r="H81" s="71"/>
      <c r="I81" s="71"/>
      <c r="J81" s="71"/>
    </row>
    <row r="82" spans="1:10" ht="15.75">
      <c r="A82" s="69">
        <v>76</v>
      </c>
      <c r="B82" s="69"/>
      <c r="C82" s="71" t="s">
        <v>1387</v>
      </c>
      <c r="D82" s="71"/>
      <c r="E82" s="71">
        <v>168</v>
      </c>
      <c r="F82" s="71">
        <v>168</v>
      </c>
      <c r="G82" s="71">
        <v>168</v>
      </c>
      <c r="H82" s="71"/>
      <c r="I82" s="71">
        <f>58+15</f>
        <v>73</v>
      </c>
      <c r="J82" s="71">
        <v>73</v>
      </c>
    </row>
    <row r="83" spans="1:10" ht="15.75">
      <c r="A83" s="69">
        <v>77</v>
      </c>
      <c r="B83" s="69"/>
      <c r="C83" s="71" t="s">
        <v>1439</v>
      </c>
      <c r="D83" s="71"/>
      <c r="E83" s="71"/>
      <c r="F83" s="71"/>
      <c r="G83" s="71"/>
      <c r="H83" s="71"/>
      <c r="I83" s="71"/>
      <c r="J83" s="71">
        <v>46</v>
      </c>
    </row>
    <row r="84" spans="1:10" ht="15.75">
      <c r="A84" s="69">
        <v>78</v>
      </c>
      <c r="B84" s="69"/>
      <c r="C84" s="71" t="s">
        <v>1363</v>
      </c>
      <c r="D84" s="71"/>
      <c r="E84" s="71">
        <v>45</v>
      </c>
      <c r="F84" s="71">
        <v>45</v>
      </c>
      <c r="G84" s="71">
        <v>45</v>
      </c>
      <c r="H84" s="71"/>
      <c r="I84" s="71">
        <v>19</v>
      </c>
      <c r="J84" s="71">
        <v>32</v>
      </c>
    </row>
    <row r="85" spans="1:20" ht="15.75">
      <c r="A85" s="69">
        <v>79</v>
      </c>
      <c r="B85" s="69"/>
      <c r="C85" s="75" t="s">
        <v>535</v>
      </c>
      <c r="D85" s="76"/>
      <c r="E85" s="76">
        <f aca="true" t="shared" si="11" ref="E85:J85">SUM(E82:E84)</f>
        <v>213</v>
      </c>
      <c r="F85" s="76">
        <f t="shared" si="11"/>
        <v>213</v>
      </c>
      <c r="G85" s="76">
        <f t="shared" si="11"/>
        <v>213</v>
      </c>
      <c r="H85" s="76">
        <f t="shared" si="11"/>
        <v>0</v>
      </c>
      <c r="I85" s="76">
        <f t="shared" si="11"/>
        <v>92</v>
      </c>
      <c r="J85" s="76">
        <f t="shared" si="11"/>
        <v>151</v>
      </c>
      <c r="R85" s="65"/>
      <c r="S85" s="65"/>
      <c r="T85" s="65"/>
    </row>
    <row r="86" spans="1:20" ht="15.75">
      <c r="A86" s="69">
        <v>80</v>
      </c>
      <c r="B86" s="69"/>
      <c r="C86" s="71"/>
      <c r="D86" s="76"/>
      <c r="E86" s="76"/>
      <c r="F86" s="76"/>
      <c r="G86" s="76"/>
      <c r="H86" s="71"/>
      <c r="I86" s="71"/>
      <c r="J86" s="71"/>
      <c r="R86" s="65"/>
      <c r="S86" s="65"/>
      <c r="T86" s="65"/>
    </row>
    <row r="87" spans="1:10" ht="15.75">
      <c r="A87" s="69">
        <v>81</v>
      </c>
      <c r="B87" s="69"/>
      <c r="C87" s="75" t="s">
        <v>1158</v>
      </c>
      <c r="D87" s="76"/>
      <c r="E87" s="76"/>
      <c r="F87" s="76"/>
      <c r="G87" s="76"/>
      <c r="H87" s="71"/>
      <c r="I87" s="71"/>
      <c r="J87" s="71"/>
    </row>
    <row r="88" spans="1:20" ht="15.75">
      <c r="A88" s="69">
        <v>82</v>
      </c>
      <c r="B88" s="69"/>
      <c r="C88" s="71" t="s">
        <v>1159</v>
      </c>
      <c r="D88" s="78">
        <v>2500</v>
      </c>
      <c r="E88" s="78">
        <v>2500</v>
      </c>
      <c r="F88" s="78">
        <v>2500</v>
      </c>
      <c r="G88" s="78">
        <f>2500-1907</f>
        <v>593</v>
      </c>
      <c r="H88" s="71">
        <v>37</v>
      </c>
      <c r="I88" s="71">
        <v>37</v>
      </c>
      <c r="J88" s="71">
        <v>593</v>
      </c>
      <c r="R88" s="65"/>
      <c r="S88" s="65"/>
      <c r="T88" s="65"/>
    </row>
    <row r="89" spans="1:20" ht="15.75">
      <c r="A89" s="69">
        <v>83</v>
      </c>
      <c r="B89" s="69"/>
      <c r="C89" s="71"/>
      <c r="D89" s="78"/>
      <c r="E89" s="78"/>
      <c r="F89" s="78"/>
      <c r="G89" s="78"/>
      <c r="H89" s="71"/>
      <c r="I89" s="71"/>
      <c r="J89" s="71"/>
      <c r="R89" s="65"/>
      <c r="S89" s="65"/>
      <c r="T89" s="65"/>
    </row>
    <row r="90" spans="1:20" ht="15.75">
      <c r="A90" s="69">
        <v>84</v>
      </c>
      <c r="B90" s="69"/>
      <c r="C90" s="75" t="s">
        <v>761</v>
      </c>
      <c r="D90" s="78"/>
      <c r="E90" s="78"/>
      <c r="F90" s="78"/>
      <c r="G90" s="78"/>
      <c r="H90" s="71"/>
      <c r="I90" s="71"/>
      <c r="J90" s="71"/>
      <c r="T90" s="65"/>
    </row>
    <row r="91" spans="1:10" ht="15.75">
      <c r="A91" s="69">
        <v>85</v>
      </c>
      <c r="B91" s="69"/>
      <c r="C91" s="71" t="s">
        <v>1466</v>
      </c>
      <c r="D91" s="78"/>
      <c r="E91" s="78"/>
      <c r="F91" s="78">
        <v>331</v>
      </c>
      <c r="G91" s="78">
        <v>331</v>
      </c>
      <c r="H91" s="71"/>
      <c r="I91" s="71">
        <v>331</v>
      </c>
      <c r="J91" s="71">
        <v>401</v>
      </c>
    </row>
    <row r="92" spans="1:10" ht="15.75">
      <c r="A92" s="69">
        <v>86</v>
      </c>
      <c r="B92" s="69"/>
      <c r="C92" s="71" t="s">
        <v>1351</v>
      </c>
      <c r="D92" s="78"/>
      <c r="E92" s="78"/>
      <c r="F92" s="78">
        <v>89</v>
      </c>
      <c r="G92" s="78">
        <v>89</v>
      </c>
      <c r="H92" s="71"/>
      <c r="I92" s="71">
        <v>89</v>
      </c>
      <c r="J92" s="71">
        <v>108</v>
      </c>
    </row>
    <row r="93" spans="1:10" ht="15.75">
      <c r="A93" s="69">
        <v>87</v>
      </c>
      <c r="B93" s="69"/>
      <c r="C93" s="79" t="s">
        <v>535</v>
      </c>
      <c r="D93" s="49"/>
      <c r="E93" s="49"/>
      <c r="F93" s="49">
        <f>SUM(F91:F92)</f>
        <v>420</v>
      </c>
      <c r="G93" s="49">
        <f>SUM(G91:G92)</f>
        <v>420</v>
      </c>
      <c r="H93" s="49">
        <f>SUM(H91:H92)</f>
        <v>0</v>
      </c>
      <c r="I93" s="49">
        <f>SUM(I91:I92)</f>
        <v>420</v>
      </c>
      <c r="J93" s="49">
        <f>SUM(J91:J92)</f>
        <v>509</v>
      </c>
    </row>
    <row r="94" spans="1:10" ht="15.75">
      <c r="A94" s="69"/>
      <c r="B94" s="69"/>
      <c r="C94" s="79"/>
      <c r="D94" s="49"/>
      <c r="E94" s="49"/>
      <c r="F94" s="49"/>
      <c r="G94" s="49"/>
      <c r="H94" s="49"/>
      <c r="I94" s="49"/>
      <c r="J94" s="49"/>
    </row>
    <row r="95" spans="1:10" ht="15.75">
      <c r="A95" s="69"/>
      <c r="B95" s="69"/>
      <c r="C95" s="79" t="s">
        <v>1463</v>
      </c>
      <c r="D95" s="49"/>
      <c r="E95" s="49"/>
      <c r="F95" s="49"/>
      <c r="G95" s="49"/>
      <c r="H95" s="49"/>
      <c r="I95" s="49"/>
      <c r="J95" s="49"/>
    </row>
    <row r="96" spans="1:10" ht="15.75">
      <c r="A96" s="69"/>
      <c r="B96" s="69"/>
      <c r="C96" s="79" t="s">
        <v>1464</v>
      </c>
      <c r="D96" s="49"/>
      <c r="E96" s="49"/>
      <c r="F96" s="49"/>
      <c r="G96" s="49"/>
      <c r="H96" s="49"/>
      <c r="I96" s="49"/>
      <c r="J96" s="49">
        <v>414</v>
      </c>
    </row>
    <row r="97" spans="1:10" ht="15.75">
      <c r="A97" s="69"/>
      <c r="B97" s="69"/>
      <c r="C97" s="79" t="s">
        <v>1119</v>
      </c>
      <c r="D97" s="49"/>
      <c r="E97" s="49"/>
      <c r="F97" s="49"/>
      <c r="G97" s="49"/>
      <c r="H97" s="49"/>
      <c r="I97" s="49"/>
      <c r="J97" s="49">
        <v>112</v>
      </c>
    </row>
    <row r="98" spans="1:10" ht="15.75">
      <c r="A98" s="69"/>
      <c r="B98" s="69"/>
      <c r="C98" s="79" t="s">
        <v>1465</v>
      </c>
      <c r="D98" s="49"/>
      <c r="E98" s="49"/>
      <c r="F98" s="49"/>
      <c r="G98" s="49"/>
      <c r="H98" s="49"/>
      <c r="I98" s="49"/>
      <c r="J98" s="49">
        <f>SUM(J96:J97)</f>
        <v>526</v>
      </c>
    </row>
    <row r="99" spans="1:10" ht="15.75">
      <c r="A99" s="69">
        <v>88</v>
      </c>
      <c r="B99" s="69"/>
      <c r="C99" s="71"/>
      <c r="D99" s="78"/>
      <c r="E99" s="78"/>
      <c r="F99" s="78"/>
      <c r="G99" s="78"/>
      <c r="H99" s="71"/>
      <c r="I99" s="71"/>
      <c r="J99" s="71"/>
    </row>
    <row r="100" spans="1:10" ht="15.75">
      <c r="A100" s="69">
        <v>89</v>
      </c>
      <c r="B100" s="69"/>
      <c r="C100" s="75" t="s">
        <v>1160</v>
      </c>
      <c r="D100" s="78"/>
      <c r="E100" s="78"/>
      <c r="F100" s="78"/>
      <c r="G100" s="78"/>
      <c r="H100" s="71"/>
      <c r="I100" s="71"/>
      <c r="J100" s="71"/>
    </row>
    <row r="101" spans="1:10" ht="15.75">
      <c r="A101" s="69">
        <v>90</v>
      </c>
      <c r="B101" s="69"/>
      <c r="C101" s="71" t="s">
        <v>1161</v>
      </c>
      <c r="D101" s="78"/>
      <c r="E101" s="78"/>
      <c r="F101" s="78"/>
      <c r="G101" s="78"/>
      <c r="H101" s="71"/>
      <c r="I101" s="71"/>
      <c r="J101" s="71"/>
    </row>
    <row r="102" spans="1:10" ht="15.75">
      <c r="A102" s="69">
        <v>91</v>
      </c>
      <c r="B102" s="69"/>
      <c r="C102" s="71" t="s">
        <v>1121</v>
      </c>
      <c r="D102" s="78">
        <v>120</v>
      </c>
      <c r="E102" s="78">
        <v>120</v>
      </c>
      <c r="F102" s="78">
        <v>120</v>
      </c>
      <c r="G102" s="78">
        <v>120</v>
      </c>
      <c r="H102" s="71">
        <v>118</v>
      </c>
      <c r="I102" s="71">
        <v>118</v>
      </c>
      <c r="J102" s="71">
        <v>118</v>
      </c>
    </row>
    <row r="103" spans="1:10" ht="15.75">
      <c r="A103" s="69">
        <v>92</v>
      </c>
      <c r="B103" s="69"/>
      <c r="C103" s="71" t="s">
        <v>1162</v>
      </c>
      <c r="D103" s="78">
        <v>32</v>
      </c>
      <c r="E103" s="78">
        <v>32</v>
      </c>
      <c r="F103" s="78">
        <v>32</v>
      </c>
      <c r="G103" s="78">
        <v>32</v>
      </c>
      <c r="H103" s="71">
        <v>32</v>
      </c>
      <c r="I103" s="71">
        <v>32</v>
      </c>
      <c r="J103" s="71">
        <v>32</v>
      </c>
    </row>
    <row r="104" spans="1:10" ht="15.75">
      <c r="A104" s="69">
        <v>93</v>
      </c>
      <c r="B104" s="69"/>
      <c r="C104" s="75" t="s">
        <v>1122</v>
      </c>
      <c r="D104" s="76">
        <f aca="true" t="shared" si="12" ref="D104:J104">SUM(D102:D103)</f>
        <v>152</v>
      </c>
      <c r="E104" s="76">
        <f t="shared" si="12"/>
        <v>152</v>
      </c>
      <c r="F104" s="76">
        <f t="shared" si="12"/>
        <v>152</v>
      </c>
      <c r="G104" s="76">
        <f t="shared" si="12"/>
        <v>152</v>
      </c>
      <c r="H104" s="76">
        <f t="shared" si="12"/>
        <v>150</v>
      </c>
      <c r="I104" s="76">
        <f t="shared" si="12"/>
        <v>150</v>
      </c>
      <c r="J104" s="76">
        <f t="shared" si="12"/>
        <v>150</v>
      </c>
    </row>
    <row r="105" spans="1:10" ht="15.75">
      <c r="A105" s="69">
        <v>94</v>
      </c>
      <c r="B105" s="69"/>
      <c r="C105" s="71"/>
      <c r="D105" s="78"/>
      <c r="E105" s="78"/>
      <c r="F105" s="78"/>
      <c r="G105" s="78"/>
      <c r="H105" s="71"/>
      <c r="I105" s="71"/>
      <c r="J105" s="71"/>
    </row>
    <row r="106" spans="1:11" s="77" customFormat="1" ht="15.75">
      <c r="A106" s="69">
        <v>95</v>
      </c>
      <c r="B106" s="69"/>
      <c r="C106" s="75" t="s">
        <v>1166</v>
      </c>
      <c r="D106" s="76">
        <f>D102+D77+D66</f>
        <v>6990</v>
      </c>
      <c r="E106" s="76">
        <f>E102+E77+E66+E82+E16+E10+E20</f>
        <v>13153</v>
      </c>
      <c r="F106" s="76">
        <f>F102+F77+F66+F82+F16+F10+F20+F91</f>
        <v>14177</v>
      </c>
      <c r="G106" s="76">
        <f>G102+G77+G66+G82+G16+G10+G20+G91+G18+G19-G10</f>
        <v>15696</v>
      </c>
      <c r="H106" s="76">
        <f>H102+H77+H66+H82+H16+I10+H20+H91+H18+H19-I10</f>
        <v>5173</v>
      </c>
      <c r="I106" s="76">
        <f>I102+I77+I66+I82+I16+J10+I20+I91+I18+I19-J10</f>
        <v>12522</v>
      </c>
      <c r="J106" s="76">
        <f>J102+J77+J66+J82+J16+J20+J91+J18+J19+J83+J96</f>
        <v>14225</v>
      </c>
      <c r="K106" s="77">
        <v>14225</v>
      </c>
    </row>
    <row r="107" spans="1:11" ht="15.75">
      <c r="A107" s="69">
        <v>96</v>
      </c>
      <c r="B107" s="69"/>
      <c r="C107" s="75" t="s">
        <v>1119</v>
      </c>
      <c r="D107" s="76">
        <f>D103+D78+D67</f>
        <v>1887</v>
      </c>
      <c r="E107" s="76">
        <f>E103+E78+E67+E84+E21</f>
        <v>3471</v>
      </c>
      <c r="F107" s="76">
        <f>F103+F78+F67+F84+F21+F92</f>
        <v>3747</v>
      </c>
      <c r="G107" s="76">
        <f>G103+G78+G67+G84+G21+G92-311</f>
        <v>4067</v>
      </c>
      <c r="H107" s="76">
        <f>H103+H78+H67+H84+H21+H92-311</f>
        <v>1024</v>
      </c>
      <c r="I107" s="76">
        <f>I103+I78+I67+I84+I21+I92-311</f>
        <v>3291</v>
      </c>
      <c r="J107" s="76">
        <f>J103+J78+J67+J84+J21+J92+J97</f>
        <v>3759</v>
      </c>
      <c r="K107" s="66">
        <v>3759</v>
      </c>
    </row>
    <row r="108" spans="1:11" s="77" customFormat="1" ht="15.75">
      <c r="A108" s="69">
        <v>97</v>
      </c>
      <c r="B108" s="69"/>
      <c r="C108" s="75" t="s">
        <v>1167</v>
      </c>
      <c r="D108" s="76">
        <f aca="true" t="shared" si="13" ref="D108:J108">SUM(D106:D107)</f>
        <v>8877</v>
      </c>
      <c r="E108" s="76">
        <f t="shared" si="13"/>
        <v>16624</v>
      </c>
      <c r="F108" s="76">
        <f t="shared" si="13"/>
        <v>17924</v>
      </c>
      <c r="G108" s="76">
        <f t="shared" si="13"/>
        <v>19763</v>
      </c>
      <c r="H108" s="76">
        <f t="shared" si="13"/>
        <v>6197</v>
      </c>
      <c r="I108" s="76">
        <f t="shared" si="13"/>
        <v>15813</v>
      </c>
      <c r="J108" s="76">
        <f t="shared" si="13"/>
        <v>17984</v>
      </c>
      <c r="K108" s="77">
        <f>SUM(K106:K107)</f>
        <v>17984</v>
      </c>
    </row>
    <row r="109" spans="1:10" ht="15.75">
      <c r="A109" s="69">
        <v>98</v>
      </c>
      <c r="B109" s="69"/>
      <c r="C109" s="75"/>
      <c r="D109" s="76"/>
      <c r="E109" s="76"/>
      <c r="F109" s="76"/>
      <c r="G109" s="76"/>
      <c r="H109" s="71"/>
      <c r="I109" s="71"/>
      <c r="J109" s="71"/>
    </row>
    <row r="110" spans="1:10" ht="15.75">
      <c r="A110" s="69">
        <v>99</v>
      </c>
      <c r="B110" s="69"/>
      <c r="C110" s="75" t="s">
        <v>1168</v>
      </c>
      <c r="D110" s="76">
        <f>D88+D29</f>
        <v>10265</v>
      </c>
      <c r="E110" s="76">
        <f>E88+E29</f>
        <v>10265</v>
      </c>
      <c r="F110" s="76">
        <f>F88+F29</f>
        <v>10265</v>
      </c>
      <c r="G110" s="76">
        <f>G88+G29</f>
        <v>1193</v>
      </c>
      <c r="H110" s="76">
        <f>H88+H29</f>
        <v>37</v>
      </c>
      <c r="I110" s="71">
        <v>37</v>
      </c>
      <c r="J110" s="71">
        <v>593</v>
      </c>
    </row>
    <row r="111" spans="1:10" ht="15.75">
      <c r="A111" s="69">
        <v>100</v>
      </c>
      <c r="B111" s="69"/>
      <c r="C111" s="75"/>
      <c r="D111" s="76"/>
      <c r="E111" s="76"/>
      <c r="F111" s="76"/>
      <c r="G111" s="76"/>
      <c r="H111" s="71"/>
      <c r="I111" s="71"/>
      <c r="J111" s="71"/>
    </row>
    <row r="112" spans="1:11" ht="15.75">
      <c r="A112" s="69">
        <v>101</v>
      </c>
      <c r="B112" s="69"/>
      <c r="C112" s="75" t="s">
        <v>1364</v>
      </c>
      <c r="D112" s="76">
        <f aca="true" t="shared" si="14" ref="D112:J112">D110+D108+D62</f>
        <v>30873</v>
      </c>
      <c r="E112" s="76">
        <f t="shared" si="14"/>
        <v>43044</v>
      </c>
      <c r="F112" s="76">
        <f t="shared" si="14"/>
        <v>44662</v>
      </c>
      <c r="G112" s="76">
        <f t="shared" si="14"/>
        <v>48188</v>
      </c>
      <c r="H112" s="76">
        <f t="shared" si="14"/>
        <v>12442</v>
      </c>
      <c r="I112" s="76">
        <f t="shared" si="14"/>
        <v>26882</v>
      </c>
      <c r="J112" s="76">
        <f t="shared" si="14"/>
        <v>36814</v>
      </c>
      <c r="K112" s="66">
        <v>36814</v>
      </c>
    </row>
    <row r="115" spans="6:10" ht="15.75">
      <c r="F115" s="65"/>
      <c r="G115" s="65"/>
      <c r="H115" s="65"/>
      <c r="I115" s="65"/>
      <c r="J115" s="65"/>
    </row>
  </sheetData>
  <sheetProtection/>
  <mergeCells count="2">
    <mergeCell ref="A1:C1"/>
    <mergeCell ref="C2:D2"/>
  </mergeCells>
  <printOptions/>
  <pageMargins left="0.7" right="0.7" top="0.75" bottom="0.75" header="0.3" footer="0.3"/>
  <pageSetup horizontalDpi="300" verticalDpi="300" orientation="portrait" paperSize="9" scale="59" r:id="rId1"/>
  <rowBreaks count="1" manualBreakCount="1">
    <brk id="6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D31"/>
  <sheetViews>
    <sheetView view="pageBreakPreview" zoomScale="60" zoomScalePageLayoutView="0" workbookViewId="0" topLeftCell="A1">
      <selection activeCell="N15" sqref="N15"/>
    </sheetView>
  </sheetViews>
  <sheetFormatPr defaultColWidth="9.140625" defaultRowHeight="15"/>
  <cols>
    <col min="2" max="2" width="3.8515625" style="0" bestFit="1" customWidth="1"/>
    <col min="3" max="3" width="57.140625" style="0" customWidth="1"/>
    <col min="4" max="4" width="11.421875" style="0" bestFit="1" customWidth="1"/>
  </cols>
  <sheetData>
    <row r="1" ht="15">
      <c r="C1" t="s">
        <v>446</v>
      </c>
    </row>
    <row r="2" spans="2:4" ht="51.75" customHeight="1">
      <c r="B2" s="771" t="s">
        <v>1733</v>
      </c>
      <c r="C2" s="772"/>
      <c r="D2" s="772"/>
    </row>
    <row r="3" spans="2:4" ht="15">
      <c r="B3" s="772"/>
      <c r="C3" s="772"/>
      <c r="D3" s="772"/>
    </row>
    <row r="4" spans="2:4" ht="16.5" thickBot="1">
      <c r="B4" s="773" t="s">
        <v>233</v>
      </c>
      <c r="C4" s="774"/>
      <c r="D4" s="774"/>
    </row>
    <row r="5" spans="2:4" ht="15">
      <c r="B5" s="515"/>
      <c r="C5" s="516" t="s">
        <v>617</v>
      </c>
      <c r="D5" s="517" t="s">
        <v>234</v>
      </c>
    </row>
    <row r="6" spans="2:4" ht="21" customHeight="1">
      <c r="B6" s="518" t="s">
        <v>235</v>
      </c>
      <c r="C6" s="519" t="s">
        <v>236</v>
      </c>
      <c r="D6" s="520">
        <v>389874</v>
      </c>
    </row>
    <row r="7" spans="2:4" ht="21.75" customHeight="1">
      <c r="B7" s="518" t="s">
        <v>237</v>
      </c>
      <c r="C7" s="519" t="s">
        <v>238</v>
      </c>
      <c r="D7" s="520">
        <v>356858</v>
      </c>
    </row>
    <row r="8" spans="2:4" ht="51.75" customHeight="1">
      <c r="B8" s="521" t="s">
        <v>239</v>
      </c>
      <c r="C8" s="522" t="s">
        <v>240</v>
      </c>
      <c r="D8" s="523">
        <f>D6-D7</f>
        <v>33016</v>
      </c>
    </row>
    <row r="9" spans="2:4" ht="15">
      <c r="B9" s="518" t="s">
        <v>241</v>
      </c>
      <c r="C9" s="519" t="s">
        <v>242</v>
      </c>
      <c r="D9" s="520">
        <v>569589</v>
      </c>
    </row>
    <row r="10" spans="2:4" ht="15">
      <c r="B10" s="518" t="s">
        <v>243</v>
      </c>
      <c r="C10" s="519" t="s">
        <v>244</v>
      </c>
      <c r="D10" s="520">
        <v>532838</v>
      </c>
    </row>
    <row r="11" spans="2:4" ht="52.5" customHeight="1">
      <c r="B11" s="521" t="s">
        <v>245</v>
      </c>
      <c r="C11" s="522" t="s">
        <v>246</v>
      </c>
      <c r="D11" s="523">
        <f>D9-D10</f>
        <v>36751</v>
      </c>
    </row>
    <row r="12" spans="2:4" ht="36" customHeight="1">
      <c r="B12" s="521" t="s">
        <v>247</v>
      </c>
      <c r="C12" s="522" t="s">
        <v>248</v>
      </c>
      <c r="D12" s="523">
        <f>D8+D11</f>
        <v>69767</v>
      </c>
    </row>
    <row r="13" spans="2:4" ht="34.5" customHeight="1">
      <c r="B13" s="518" t="s">
        <v>249</v>
      </c>
      <c r="C13" s="519" t="s">
        <v>250</v>
      </c>
      <c r="D13" s="520">
        <v>0</v>
      </c>
    </row>
    <row r="14" spans="2:4" ht="38.25" customHeight="1">
      <c r="B14" s="518" t="s">
        <v>251</v>
      </c>
      <c r="C14" s="519" t="s">
        <v>252</v>
      </c>
      <c r="D14" s="520">
        <v>0</v>
      </c>
    </row>
    <row r="15" spans="2:4" ht="52.5" customHeight="1">
      <c r="B15" s="521" t="s">
        <v>1197</v>
      </c>
      <c r="C15" s="522" t="s">
        <v>253</v>
      </c>
      <c r="D15" s="523">
        <v>0</v>
      </c>
    </row>
    <row r="16" spans="2:4" ht="30">
      <c r="B16" s="518" t="s">
        <v>254</v>
      </c>
      <c r="C16" s="519" t="s">
        <v>255</v>
      </c>
      <c r="D16" s="520">
        <v>0</v>
      </c>
    </row>
    <row r="17" spans="2:4" ht="30">
      <c r="B17" s="518" t="s">
        <v>256</v>
      </c>
      <c r="C17" s="519" t="s">
        <v>257</v>
      </c>
      <c r="D17" s="520">
        <v>0</v>
      </c>
    </row>
    <row r="18" spans="2:4" ht="31.5">
      <c r="B18" s="521" t="s">
        <v>258</v>
      </c>
      <c r="C18" s="522" t="s">
        <v>259</v>
      </c>
      <c r="D18" s="523">
        <v>0</v>
      </c>
    </row>
    <row r="19" spans="2:4" ht="31.5">
      <c r="B19" s="521" t="s">
        <v>260</v>
      </c>
      <c r="C19" s="522" t="s">
        <v>261</v>
      </c>
      <c r="D19" s="523">
        <v>0</v>
      </c>
    </row>
    <row r="20" spans="2:4" ht="15.75">
      <c r="B20" s="521" t="s">
        <v>262</v>
      </c>
      <c r="C20" s="522" t="s">
        <v>263</v>
      </c>
      <c r="D20" s="523">
        <f>D12+D15</f>
        <v>69767</v>
      </c>
    </row>
    <row r="21" spans="2:4" ht="31.5">
      <c r="B21" s="521" t="s">
        <v>264</v>
      </c>
      <c r="C21" s="522" t="s">
        <v>265</v>
      </c>
      <c r="D21" s="523">
        <v>15509</v>
      </c>
    </row>
    <row r="22" spans="2:4" ht="44.25" customHeight="1">
      <c r="B22" s="521" t="s">
        <v>266</v>
      </c>
      <c r="C22" s="522" t="s">
        <v>267</v>
      </c>
      <c r="D22" s="523">
        <v>54258</v>
      </c>
    </row>
    <row r="23" spans="2:4" ht="43.5" customHeight="1">
      <c r="B23" s="521" t="s">
        <v>268</v>
      </c>
      <c r="C23" s="522" t="s">
        <v>269</v>
      </c>
      <c r="D23" s="523">
        <v>0</v>
      </c>
    </row>
    <row r="24" spans="2:4" ht="53.25" customHeight="1" thickBot="1">
      <c r="B24" s="524" t="s">
        <v>270</v>
      </c>
      <c r="C24" s="525" t="s">
        <v>271</v>
      </c>
      <c r="D24" s="526">
        <v>0</v>
      </c>
    </row>
    <row r="25" spans="2:4" ht="15.75">
      <c r="B25" s="576"/>
      <c r="C25" s="576"/>
      <c r="D25" s="576"/>
    </row>
    <row r="26" spans="2:4" ht="15.75">
      <c r="B26" s="576"/>
      <c r="C26" s="576"/>
      <c r="D26" s="576"/>
    </row>
    <row r="27" spans="2:4" ht="15.75">
      <c r="B27" s="576"/>
      <c r="C27" s="576"/>
      <c r="D27" s="576"/>
    </row>
    <row r="28" spans="2:4" ht="15.75">
      <c r="B28" s="576"/>
      <c r="C28" s="527"/>
      <c r="D28" s="576"/>
    </row>
    <row r="29" spans="2:4" ht="15.75">
      <c r="B29" s="576"/>
      <c r="C29" s="527"/>
      <c r="D29" s="576"/>
    </row>
    <row r="30" spans="2:4" ht="15.75">
      <c r="B30" s="576"/>
      <c r="C30" s="527"/>
      <c r="D30" s="576"/>
    </row>
    <row r="31" spans="2:4" ht="15.75">
      <c r="B31" s="576"/>
      <c r="C31" s="576"/>
      <c r="D31" s="576"/>
    </row>
  </sheetData>
  <sheetProtection/>
  <mergeCells count="2">
    <mergeCell ref="B2:D3"/>
    <mergeCell ref="B4:D4"/>
  </mergeCells>
  <printOptions/>
  <pageMargins left="0.7" right="0.7" top="0.75" bottom="0.75" header="0.3" footer="0.3"/>
  <pageSetup horizontalDpi="300" verticalDpi="300" orientation="portrait" paperSize="9" scale="96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2015-04-20T15:36:13Z</cp:lastPrinted>
  <dcterms:created xsi:type="dcterms:W3CDTF">2006-10-17T13:40:18Z</dcterms:created>
  <dcterms:modified xsi:type="dcterms:W3CDTF">2015-04-22T12:02:46Z</dcterms:modified>
  <cp:category/>
  <cp:version/>
  <cp:contentType/>
  <cp:contentStatus/>
</cp:coreProperties>
</file>