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545" windowHeight="5775" firstSheet="18" activeTab="24"/>
  </bookViews>
  <sheets>
    <sheet name="Szf.össz." sheetId="1" r:id="rId1"/>
    <sheet name="851011" sheetId="2" r:id="rId2"/>
    <sheet name="370000" sheetId="3" r:id="rId3"/>
    <sheet name="381103" sheetId="4" r:id="rId4"/>
    <sheet name="522000" sheetId="5" r:id="rId5"/>
    <sheet name="562912" sheetId="6" r:id="rId6"/>
    <sheet name="562913" sheetId="7" r:id="rId7"/>
    <sheet name="562916" sheetId="8" r:id="rId8"/>
    <sheet name="562917" sheetId="9" r:id="rId9"/>
    <sheet name="680001" sheetId="10" r:id="rId10"/>
    <sheet name="680002" sheetId="11" r:id="rId11"/>
    <sheet name="750000" sheetId="12" r:id="rId12"/>
    <sheet name="841358" sheetId="13" r:id="rId13"/>
    <sheet name="811000" sheetId="14" r:id="rId14"/>
    <sheet name="813000" sheetId="15" r:id="rId15"/>
    <sheet name="841154" sheetId="16" r:id="rId16"/>
    <sheet name="841402" sheetId="17" r:id="rId17"/>
    <sheet name="841403" sheetId="18" r:id="rId18"/>
    <sheet name="842155" sheetId="19" r:id="rId19"/>
    <sheet name="852011" sheetId="20" r:id="rId20"/>
    <sheet name="862101" sheetId="21" r:id="rId21"/>
    <sheet name="862102" sheetId="22" r:id="rId22"/>
    <sheet name="862231" sheetId="23" r:id="rId23"/>
    <sheet name="862301" sheetId="24" r:id="rId24"/>
    <sheet name="869041" sheetId="25" r:id="rId25"/>
    <sheet name="889921" sheetId="26" r:id="rId26"/>
    <sheet name="889924" sheetId="27" r:id="rId27"/>
    <sheet name="889928" sheetId="28" r:id="rId28"/>
    <sheet name="890301" sheetId="29" r:id="rId29"/>
    <sheet name="támogatás" sheetId="30" r:id="rId30"/>
    <sheet name="890442" sheetId="31" r:id="rId31"/>
    <sheet name="890444" sheetId="32" r:id="rId32"/>
    <sheet name="910123" sheetId="33" r:id="rId33"/>
    <sheet name="910502" sheetId="34" r:id="rId34"/>
    <sheet name="rendezv" sheetId="35" r:id="rId35"/>
    <sheet name="932911" sheetId="36" r:id="rId36"/>
    <sheet name="940000" sheetId="37" r:id="rId37"/>
    <sheet name="960302" sheetId="38" r:id="rId38"/>
    <sheet name="Munka1" sheetId="39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Area" localSheetId="2">'370000'!$A$1:$G$13</definedName>
    <definedName name="_xlnm.Print_Area" localSheetId="3">'381103'!$A$1:$K$38</definedName>
    <definedName name="_xlnm.Print_Area" localSheetId="4">'522000'!$A$1:$M$40</definedName>
    <definedName name="_xlnm.Print_Area" localSheetId="5">'562912'!$A$1:$I$43</definedName>
    <definedName name="_xlnm.Print_Area" localSheetId="6">'562913'!$A$1:$K$181</definedName>
    <definedName name="_xlnm.Print_Area" localSheetId="8">'562917'!$A$1:$G$40</definedName>
    <definedName name="_xlnm.Print_Area" localSheetId="9">'680001'!$A$1:$J$25</definedName>
    <definedName name="_xlnm.Print_Area" localSheetId="11">'750000'!$A$1:$G$15</definedName>
    <definedName name="_xlnm.Print_Area" localSheetId="13">'811000'!$A$1:$K$43</definedName>
    <definedName name="_xlnm.Print_Area" localSheetId="14">'813000'!$A$1:$M$64</definedName>
    <definedName name="_xlnm.Print_Area" localSheetId="15">'841154'!$A$1:$H$86</definedName>
    <definedName name="_xlnm.Print_Area" localSheetId="12">'841358'!$A$1:$H$48</definedName>
    <definedName name="_xlnm.Print_Area" localSheetId="16">'841402'!$A$1:$G$22</definedName>
    <definedName name="_xlnm.Print_Area" localSheetId="17">'841403'!$A$1:$M$65</definedName>
    <definedName name="_xlnm.Print_Area" localSheetId="18">'842155'!$A$1:$G$14</definedName>
    <definedName name="_xlnm.Print_Area" localSheetId="1">'851011'!$A$1:$N$76</definedName>
    <definedName name="_xlnm.Print_Area" localSheetId="19">'852011'!$A$1:$H$78</definedName>
    <definedName name="_xlnm.Print_Area" localSheetId="20">'862101'!$A$1:$I$61</definedName>
    <definedName name="_xlnm.Print_Area" localSheetId="24">'869041'!$A$1:$H$61</definedName>
    <definedName name="_xlnm.Print_Area" localSheetId="25">'889921'!$A$1:$F$40</definedName>
    <definedName name="_xlnm.Print_Area" localSheetId="26">'889924'!$A$1:$K$13</definedName>
    <definedName name="_xlnm.Print_Area" localSheetId="27">'889928'!$A$1:$K$47</definedName>
    <definedName name="_xlnm.Print_Area" localSheetId="28">'890301'!$A$1:$H$12</definedName>
    <definedName name="_xlnm.Print_Area" localSheetId="30">'890442'!$A$1:$K$33</definedName>
    <definedName name="_xlnm.Print_Area" localSheetId="31">'890444'!$A$1:$I$33</definedName>
    <definedName name="_xlnm.Print_Area" localSheetId="32">'910123'!$A$1:$J$52</definedName>
    <definedName name="_xlnm.Print_Area" localSheetId="33">'910502'!$A$1:$K$59</definedName>
    <definedName name="_xlnm.Print_Area" localSheetId="35">'932911'!$A$1:$L$18</definedName>
    <definedName name="_xlnm.Print_Area" localSheetId="37">'960302'!$A$1:$M$38</definedName>
    <definedName name="_xlnm.Print_Area" localSheetId="0">'Szf.össz.'!$A$1:$D$52</definedName>
  </definedNames>
  <calcPr fullCalcOnLoad="1"/>
</workbook>
</file>

<file path=xl/sharedStrings.xml><?xml version="1.0" encoding="utf-8"?>
<sst xmlns="http://schemas.openxmlformats.org/spreadsheetml/2006/main" count="1461" uniqueCount="855">
  <si>
    <t>Költségvetési kiadások összesen:</t>
  </si>
  <si>
    <t>Közlekedési költségtérítés</t>
  </si>
  <si>
    <t>Társadalombiztosítási járulék</t>
  </si>
  <si>
    <t>Munkaadói járulék</t>
  </si>
  <si>
    <t>Egészségügyi hozzájárulás</t>
  </si>
  <si>
    <t>Munkaadókat terhelő járulékok összesen</t>
  </si>
  <si>
    <t>Irodaszer,nyomtatvány beszerzés</t>
  </si>
  <si>
    <t>Készletbeszerzések összesen</t>
  </si>
  <si>
    <t>Nem adatátvitel célú távközlési díjak</t>
  </si>
  <si>
    <t>Szállítási szolgáltatások</t>
  </si>
  <si>
    <t>Gázenergia-szolgáltatás díjak</t>
  </si>
  <si>
    <t>Villamosenergia-szolgáltatás díjak</t>
  </si>
  <si>
    <t>Víz-és csatornadíjak</t>
  </si>
  <si>
    <t>Gépek,berendezések karbantartása</t>
  </si>
  <si>
    <t>Egyéb üzemeltetési,fenntartási szolgáltatás</t>
  </si>
  <si>
    <t>Postai levél, csomag, távirat</t>
  </si>
  <si>
    <t>Szolgáltatások összesen</t>
  </si>
  <si>
    <t>Vásárolt termékek és szolg.ÁFA.</t>
  </si>
  <si>
    <t>Belföldi kiküldetés</t>
  </si>
  <si>
    <t>Reprezentáció</t>
  </si>
  <si>
    <t>Különféle dologi kiadások</t>
  </si>
  <si>
    <t>OTP közreműködési költség</t>
  </si>
  <si>
    <t>Biztosítási díj</t>
  </si>
  <si>
    <t>Egyéb folyó kiadások összesen</t>
  </si>
  <si>
    <t>Tanfolyam díjak</t>
  </si>
  <si>
    <t>Külső személyi juttatások összesen</t>
  </si>
  <si>
    <t>Ingatlan karbantartás</t>
  </si>
  <si>
    <t>Üdülési hozzájárulás</t>
  </si>
  <si>
    <t>Munkaruha, védőruha</t>
  </si>
  <si>
    <t>Dologi kiadások összesen:</t>
  </si>
  <si>
    <t>Napidíj</t>
  </si>
  <si>
    <t>Könyv,folyóirat,egyéb inf.hord. Beszerzés</t>
  </si>
  <si>
    <t>Egyéb készlet beszerzés</t>
  </si>
  <si>
    <t>Nem adatátviteli célu távközlési díjak</t>
  </si>
  <si>
    <t>Egyéb kommunikációs szolgáltatások</t>
  </si>
  <si>
    <t>Villamosenergia- szolgáltatás díjak</t>
  </si>
  <si>
    <t>Gázenergia- szolgáltatás díjak</t>
  </si>
  <si>
    <t>Postai levél,csomag,távirat</t>
  </si>
  <si>
    <t>Vásárolt termékek és szolg. ÁFA</t>
  </si>
  <si>
    <t xml:space="preserve">Étkezési hozzájárulás </t>
  </si>
  <si>
    <t>Tanfolyam díjak(Felsőfokú,egyéb tanf.)</t>
  </si>
  <si>
    <t>Fejlesztési kiadások összesen</t>
  </si>
  <si>
    <t>Táppénz hozzájárulás</t>
  </si>
  <si>
    <t>Működési kiadások összesen:</t>
  </si>
  <si>
    <t>Személyi juttatások össszesen:</t>
  </si>
  <si>
    <t>Napidíj(költségtérítés)</t>
  </si>
  <si>
    <t xml:space="preserve">Állományba nem tart. juttatásai </t>
  </si>
  <si>
    <t>Egyéb készletbeszerzés(tisztítószer, karb.anyag)</t>
  </si>
  <si>
    <t>Jubileumi jutalom</t>
  </si>
  <si>
    <t>Szabadidő megváltás</t>
  </si>
  <si>
    <t>Rendszeres és nem rendsz.szem.jutt. összesen</t>
  </si>
  <si>
    <t>Szolgáltatások</t>
  </si>
  <si>
    <t>Vásárolt term.és szolg.ÁFA-ja</t>
  </si>
  <si>
    <t>Kül. dologi kiadások</t>
  </si>
  <si>
    <t>ÁFA</t>
  </si>
  <si>
    <t>Vásárolt termékek és szolg.ÁFA</t>
  </si>
  <si>
    <t>Különféle dologi kiadások összesen</t>
  </si>
  <si>
    <t>Város és községgazdálkodás</t>
  </si>
  <si>
    <t>Villamos-energia szolgáltatás díj</t>
  </si>
  <si>
    <t>Víz-csatorna díj</t>
  </si>
  <si>
    <t>Vásárolt termékek és szolgáltatások ÁFA.</t>
  </si>
  <si>
    <t>Ingatlan karbantartás (bérlemények)</t>
  </si>
  <si>
    <t>Hiteltörlesztések összesen</t>
  </si>
  <si>
    <t>Összesen:</t>
  </si>
  <si>
    <t>Fejlesztési kiadás összesen:</t>
  </si>
  <si>
    <t>Szolgáltatások összesen:</t>
  </si>
  <si>
    <t>ÁFA befizetés</t>
  </si>
  <si>
    <t>Közalkalmazottak alapilletménye</t>
  </si>
  <si>
    <t>Helyettesítés</t>
  </si>
  <si>
    <t>Rendsz. és nem rendsz. szem.juttatás össz.:</t>
  </si>
  <si>
    <t>Munkaadókat terhelő járulékok</t>
  </si>
  <si>
    <t>Dologi kiadások összesen</t>
  </si>
  <si>
    <t>Munkaegészségügyi ellátás</t>
  </si>
  <si>
    <t>Polgármesteri Hivatal</t>
  </si>
  <si>
    <t xml:space="preserve"> </t>
  </si>
  <si>
    <t xml:space="preserve">Költségvetési kiadások összesen: </t>
  </si>
  <si>
    <t>Közalkalmazottak egyéb köt.ill.pótléka</t>
  </si>
  <si>
    <t>Rendszeres és nem rendsz.szem.jutt.összesen</t>
  </si>
  <si>
    <t>Munkaadókat terhelő járulék összesen</t>
  </si>
  <si>
    <t>Irodaszer, nyomtatvány beszerzés</t>
  </si>
  <si>
    <t>Szakmai anyag és kisért.tárgyi eszközök</t>
  </si>
  <si>
    <t>Munkaruha,védőruha,formaruha,egyenruha</t>
  </si>
  <si>
    <t>Nem adatátvitelű célú távközlési díjak</t>
  </si>
  <si>
    <t>Egyéb folyó kiadások</t>
  </si>
  <si>
    <t>Víz és csatorna szolg.dija</t>
  </si>
  <si>
    <t>Egyéb üzemeltetési és fenntartási szolg.</t>
  </si>
  <si>
    <t>Gép,berendezés karbant.</t>
  </si>
  <si>
    <t>Egyéb üzemeltetési fenntart. szolg.</t>
  </si>
  <si>
    <t>Szakmai tev. igénybevett szolgáltatás</t>
  </si>
  <si>
    <t>Hajtó és kenőanyag</t>
  </si>
  <si>
    <t>Szakmai anyagok</t>
  </si>
  <si>
    <t>Egyéb készlet</t>
  </si>
  <si>
    <t>Rendszeres és nem rendszeres szem.jutt. össz.</t>
  </si>
  <si>
    <t>Készletbeszerzések</t>
  </si>
  <si>
    <t>Járművek karbantartási költsége</t>
  </si>
  <si>
    <t>Szolgáltatás összesen</t>
  </si>
  <si>
    <t>Nem adatátvitel célú távközlési díjak(mobil telefon)</t>
  </si>
  <si>
    <t>Biztosítási díj  (vagyon, cascó, kötelező)</t>
  </si>
  <si>
    <t>Egyéb készletbeszerzés</t>
  </si>
  <si>
    <t>Működési kiadás összesen:</t>
  </si>
  <si>
    <t>Összesen</t>
  </si>
  <si>
    <t>Gáz-energia szolgáltatás díja</t>
  </si>
  <si>
    <t>Villamos-energia szolgáltatás díja</t>
  </si>
  <si>
    <t>Víz- csatorna díj</t>
  </si>
  <si>
    <t>Vásárolt termékek és szolgáltatások ÁFA</t>
  </si>
  <si>
    <t>Nem adatatv. célú távk. díjak</t>
  </si>
  <si>
    <t>Személyi juttatás összesen:</t>
  </si>
  <si>
    <t>Könyv, folyóirat</t>
  </si>
  <si>
    <t>Műk.célú pe.átadás non-profit szervnek</t>
  </si>
  <si>
    <t>Kiadások összesen:</t>
  </si>
  <si>
    <t>Fejlesztési kiadások</t>
  </si>
  <si>
    <t>Működési kiadások</t>
  </si>
  <si>
    <t>Működési kadások összesen:</t>
  </si>
  <si>
    <t>kisértékű tárgyi eszközök</t>
  </si>
  <si>
    <t>Reklám és propaganda</t>
  </si>
  <si>
    <t>Karbantartási költség</t>
  </si>
  <si>
    <t>Szakmai anyag és kisértékű te.besz.</t>
  </si>
  <si>
    <t>Turisztikai alapból Támogatás</t>
  </si>
  <si>
    <t xml:space="preserve">Közalkalmazottak alapilletménye </t>
  </si>
  <si>
    <t>Költségvetési kiadások összesen</t>
  </si>
  <si>
    <t>Működésre átadott pénzeszköz</t>
  </si>
  <si>
    <t>Fejlesztési kiadások:</t>
  </si>
  <si>
    <t>Részfoglalkozású közalk. Alapilletmény</t>
  </si>
  <si>
    <t>Egyéb kommunikációs szolgáltatások, internet</t>
  </si>
  <si>
    <t>Készletek összesen:</t>
  </si>
  <si>
    <t>Egyéb információhordozó</t>
  </si>
  <si>
    <t>Bérlakás építésére felvett hosszú lejáratú hitel</t>
  </si>
  <si>
    <t>Gázenergia szolgáltatás díja</t>
  </si>
  <si>
    <t>Munkaruha,védőruha</t>
  </si>
  <si>
    <t>Egyéb készlet beszerzés (tisztitószer, kézművesműhely)</t>
  </si>
  <si>
    <t>Munkaruha</t>
  </si>
  <si>
    <t>Áll. nem tartozók juttatása( helyettesítés)</t>
  </si>
  <si>
    <t>Túlóra</t>
  </si>
  <si>
    <t>Irodaszer</t>
  </si>
  <si>
    <t xml:space="preserve">Szakmai anyag </t>
  </si>
  <si>
    <t>Adatátvitel</t>
  </si>
  <si>
    <t>Rendszeres személyi jut össz</t>
  </si>
  <si>
    <t>MT. foglalk./takarító/</t>
  </si>
  <si>
    <t xml:space="preserve">Nyomtatvány </t>
  </si>
  <si>
    <t>Kurtaxa</t>
  </si>
  <si>
    <t xml:space="preserve">Foglalkozásegészségügyi tevékenység </t>
  </si>
  <si>
    <t>Közvilágítási feladatok .</t>
  </si>
  <si>
    <t>13.havi illetmény</t>
  </si>
  <si>
    <t>Hitel kamata</t>
  </si>
  <si>
    <t>Reklám és propaganda kiadások (szorólap)</t>
  </si>
  <si>
    <t>Részmunkaidős egyéb jutt.</t>
  </si>
  <si>
    <t>Átadott pézeszk. Összesen</t>
  </si>
  <si>
    <t>Vásárolt közszolg.(Utazás kiállítás)</t>
  </si>
  <si>
    <t>Ingatlan karbantartás (festés, ,javítás)</t>
  </si>
  <si>
    <t>Kisértékű tárgyi eszközök beszerzése(asztalok)</t>
  </si>
  <si>
    <t>Betegszabadság</t>
  </si>
  <si>
    <r>
      <t>Továbbszámlázott szolgáltatás</t>
    </r>
    <r>
      <rPr>
        <sz val="12"/>
        <rFont val="Times New Roman CE"/>
        <family val="0"/>
      </rPr>
      <t xml:space="preserve"> ,</t>
    </r>
    <r>
      <rPr>
        <sz val="12"/>
        <rFont val="Arial"/>
        <family val="2"/>
      </rPr>
      <t xml:space="preserve"> Gagarin,víz,szennyviz</t>
    </r>
  </si>
  <si>
    <t>Szakmai tev.igénybevett szolgáltatás (gyermekjóléti- családsegítő szolgálat működtetése, házi seg.) Bkenese</t>
  </si>
  <si>
    <t>Személyi juttatások összesen:</t>
  </si>
  <si>
    <t>Kisértékű tárgyi eszköz beszerzés</t>
  </si>
  <si>
    <t>Szakmai ig. szolg.</t>
  </si>
  <si>
    <t xml:space="preserve">Vásárolt termékek és szolgáltatások ÁFA. </t>
  </si>
  <si>
    <t>Reklám és propaganda kiadások (hírdetési díj)</t>
  </si>
  <si>
    <t>Bérleti díj (világítás korsz.)</t>
  </si>
  <si>
    <r>
      <t>Egyéb kommunikációs szolg.(</t>
    </r>
    <r>
      <rPr>
        <sz val="10"/>
        <rFont val="Times New Roman CE"/>
        <family val="0"/>
      </rPr>
      <t>programfelügy.díjak, CD jogtár, adó, főkönyvi, népesség, szoc.)</t>
    </r>
  </si>
  <si>
    <t>Fejlesztés</t>
  </si>
  <si>
    <t>Fejlsztési kiadások</t>
  </si>
  <si>
    <t>Szervezetek</t>
  </si>
  <si>
    <t>Megyei Könyvtár</t>
  </si>
  <si>
    <t>Nyugdíjasklub</t>
  </si>
  <si>
    <t>Polgárőrség</t>
  </si>
  <si>
    <t>Nők szervezete</t>
  </si>
  <si>
    <t>Dalkör</t>
  </si>
  <si>
    <t>Megnevezés</t>
  </si>
  <si>
    <t>napidíj</t>
  </si>
  <si>
    <t>egyéb készlet</t>
  </si>
  <si>
    <t>Készletbeszerzés</t>
  </si>
  <si>
    <t>Vásárolt élelmezés</t>
  </si>
  <si>
    <t>Felújítás összesen:</t>
  </si>
  <si>
    <t>Beruházás nettó</t>
  </si>
  <si>
    <t>beruházás áfa</t>
  </si>
  <si>
    <t>Beruházás összesen</t>
  </si>
  <si>
    <t>Közalk.egyéb jutt.</t>
  </si>
  <si>
    <t>Egyéb bérrendszer alá tart.jutt.</t>
  </si>
  <si>
    <t>Készlet beszerzés</t>
  </si>
  <si>
    <t>Mozdulj Világos Sportegyesület</t>
  </si>
  <si>
    <t>Cafetéria (Étkezési hozzájárulás, beisk.,stb)</t>
  </si>
  <si>
    <t xml:space="preserve">Megbízási díj </t>
  </si>
  <si>
    <t>Balatoni futár</t>
  </si>
  <si>
    <t>Szállítási szolg.</t>
  </si>
  <si>
    <t>Cafeteria</t>
  </si>
  <si>
    <t>Étkezési hozzájárulás+cafeteria</t>
  </si>
  <si>
    <t>Általános Rendezési Terv</t>
  </si>
  <si>
    <t xml:space="preserve">Kiadások összesen: </t>
  </si>
  <si>
    <t>Kiadványra átadott pénzeszköz</t>
  </si>
  <si>
    <t>Átadott pémzeszköz összesen:</t>
  </si>
  <si>
    <t xml:space="preserve">841402 1 </t>
  </si>
  <si>
    <t>841403 1</t>
  </si>
  <si>
    <t>Máshová nem sorolt egyéb közösségi tevékenység</t>
  </si>
  <si>
    <t>Mozdulj Balaton</t>
  </si>
  <si>
    <t xml:space="preserve">Állategészségügyi ellátás </t>
  </si>
  <si>
    <t>862101 1</t>
  </si>
  <si>
    <t>Család és nővédelmi egészs.gondozás</t>
  </si>
  <si>
    <t>869041 1</t>
  </si>
  <si>
    <t xml:space="preserve">Háziorvosi alapellátás </t>
  </si>
  <si>
    <t>megbízási díj (mosásért)</t>
  </si>
  <si>
    <t>Könyvtáros megbízási díja</t>
  </si>
  <si>
    <t>Adatátvételi távközlési díjak (internet)</t>
  </si>
  <si>
    <t>*</t>
  </si>
  <si>
    <t>Szakmai anyag besz.</t>
  </si>
  <si>
    <t>Könyv beszerzés</t>
  </si>
  <si>
    <t>folyóirat(közlönyök,szakkönyvek,újság) beszerzés</t>
  </si>
  <si>
    <t xml:space="preserve">
 910123 könyvtári szolgáltatások </t>
  </si>
  <si>
    <t xml:space="preserve">  Családsegítés</t>
  </si>
  <si>
    <t xml:space="preserve"> Tanyagondnoki Szolgálat  </t>
  </si>
  <si>
    <t>Fogorvosi alapellátás</t>
  </si>
  <si>
    <t>Szakmai igénybe vett szolgáltatás</t>
  </si>
  <si>
    <t>Háziorvosi ügyeleti ellátás</t>
  </si>
  <si>
    <t>Civil szervezetek támogatása</t>
  </si>
  <si>
    <t xml:space="preserve">BAHART tőkeemlés </t>
  </si>
  <si>
    <t xml:space="preserve">910502 Közművelődési színterek műk.
</t>
  </si>
  <si>
    <t>Munkáltató álral fizetett SZJA</t>
  </si>
  <si>
    <t>Munk.által fiz.SZJA</t>
  </si>
  <si>
    <t>Munk.áltak fiz. SZJA</t>
  </si>
  <si>
    <t>jutalom</t>
  </si>
  <si>
    <t>Munkáltató által fizetett szja</t>
  </si>
  <si>
    <t xml:space="preserve">Rehab.hozzájár. </t>
  </si>
  <si>
    <t>Szakmai tev.igénybevett szolgáltatás (takarnet,) (könyvvizsg.díj,audit, besz.közzététel, térinf., irat archiválás, SALDÓ tagdíj)</t>
  </si>
  <si>
    <t xml:space="preserve">Egészségügyi hozzájárulás </t>
  </si>
  <si>
    <t>Jutalom</t>
  </si>
  <si>
    <t>Rendezvények</t>
  </si>
  <si>
    <t>Nemzetközi kapcsolatok</t>
  </si>
  <si>
    <t>Számítógép beszerzés</t>
  </si>
  <si>
    <t>Lakóingatlan bérbeadása üzemeltetése</t>
  </si>
  <si>
    <t>Gagarin ltp. 4. felújítás</t>
  </si>
  <si>
    <t>fénymásoló bérlés</t>
  </si>
  <si>
    <t>Szakfeladat</t>
  </si>
  <si>
    <t>Bevétel</t>
  </si>
  <si>
    <t>Kiadás</t>
  </si>
  <si>
    <t>Közvilágítás</t>
  </si>
  <si>
    <t>Műszerbeszerzés</t>
  </si>
  <si>
    <t>Áfa</t>
  </si>
  <si>
    <t>Fejlesztés összesen:</t>
  </si>
  <si>
    <t>Vásárolt közszolgáltatás</t>
  </si>
  <si>
    <t>Szennyvíz gyűjtése, tisztítása, elhelyezése</t>
  </si>
  <si>
    <t>Lakóingatlan bérbeadása</t>
  </si>
  <si>
    <t>Nem lakóingatlan bérbeadása, üzemeltetése</t>
  </si>
  <si>
    <t>Állategészségügyi ellátás</t>
  </si>
  <si>
    <t>Város és Községgazd.m.n.s.egyéb tevékenység</t>
  </si>
  <si>
    <t>Háziorvosi alapellátás</t>
  </si>
  <si>
    <t>Foglalkozásegészségügyi tevékenység</t>
  </si>
  <si>
    <t>Család és nővédelmi egészségügyi gondozás</t>
  </si>
  <si>
    <t>Családsegítés</t>
  </si>
  <si>
    <t>Tanyagondnoki szolgálat</t>
  </si>
  <si>
    <t>Könyvtári szolgáltatások</t>
  </si>
  <si>
    <t>Közművelődési színterek működtetése</t>
  </si>
  <si>
    <t>Gépjármű vásárlás önerő</t>
  </si>
  <si>
    <t>Szoftvervásárlás</t>
  </si>
  <si>
    <t>Képernyő előtti munkavégzés</t>
  </si>
  <si>
    <t>Nem lakóingatlan hasznosítása, üzemeltetése</t>
  </si>
  <si>
    <t>Ingatlan karbantartás (felújítási alap, kisjavítás)</t>
  </si>
  <si>
    <t>számítógép vás.</t>
  </si>
  <si>
    <t>Takarítás</t>
  </si>
  <si>
    <t>Tanfolyam, továbbképzés</t>
  </si>
  <si>
    <t>Felújítás Áfa</t>
  </si>
  <si>
    <t>Int.beruh. Áfa</t>
  </si>
  <si>
    <t>Intézményi beruházás összesen:</t>
  </si>
  <si>
    <t>Intézményi ber. Áfa</t>
  </si>
  <si>
    <t>Intézményi ber. Össszesen:</t>
  </si>
  <si>
    <t>Átadott pénzeszköz</t>
  </si>
  <si>
    <t>2012.</t>
  </si>
  <si>
    <t>2012.terv</t>
  </si>
  <si>
    <t>Kisértékű tárgyi eszközök beszerzése</t>
  </si>
  <si>
    <t>Közfoglalkoztatás</t>
  </si>
  <si>
    <t>2012. terv</t>
  </si>
  <si>
    <t>Általános Rendezési Terv (Club Aligával)</t>
  </si>
  <si>
    <t>Családi ünnepek szervezése 2012</t>
  </si>
  <si>
    <t>Projektor</t>
  </si>
  <si>
    <t>ÁFA befizetés telekértékesítés miatt</t>
  </si>
  <si>
    <t>Kismotor vásárlás</t>
  </si>
  <si>
    <t>Int.beruházás Áfa</t>
  </si>
  <si>
    <t>Fejlesztés összesen</t>
  </si>
  <si>
    <t>Strandok komfortosabbá tétele terv</t>
  </si>
  <si>
    <t>Kisértékű te.beszerzés</t>
  </si>
  <si>
    <t>Óvodai étkeztetés</t>
  </si>
  <si>
    <t>Iskolai étkeztetés</t>
  </si>
  <si>
    <t>Munkahelyi vendéglátás</t>
  </si>
  <si>
    <t>Szociális étkeztetés</t>
  </si>
  <si>
    <t>Köztemetői feladatok</t>
  </si>
  <si>
    <t>2012.eredeti</t>
  </si>
  <si>
    <t>2013.</t>
  </si>
  <si>
    <t>2013.I.</t>
  </si>
  <si>
    <t>Bérlakás kazánvás.</t>
  </si>
  <si>
    <t>kéményseprés</t>
  </si>
  <si>
    <t>Továbbszámlázott szolgáltatás  oktatási-, nevelési in tépzmények</t>
  </si>
  <si>
    <t>2012.terv.</t>
  </si>
  <si>
    <t>Telekvásárlás</t>
  </si>
  <si>
    <t>Harmat u.ivóvíz</t>
  </si>
  <si>
    <t>Arborétum kialakítása</t>
  </si>
  <si>
    <t>Épületrész vásárlás</t>
  </si>
  <si>
    <t>strand kiviteli terv</t>
  </si>
  <si>
    <t>Lidó kialakítása</t>
  </si>
  <si>
    <t>Napköziotthonos Óvoda</t>
  </si>
  <si>
    <t>GEVSZ</t>
  </si>
  <si>
    <t>Váásrolt közszolgáltatások</t>
  </si>
  <si>
    <t>30X12</t>
  </si>
  <si>
    <t>Szociális hozzájár.adó</t>
  </si>
  <si>
    <t>2013.I</t>
  </si>
  <si>
    <t>Önkormányzati dolg</t>
  </si>
  <si>
    <t>Részfoglalkoztatottak illetménye 2x73500*12</t>
  </si>
  <si>
    <t>Szociális hozzájárulási adó</t>
  </si>
  <si>
    <t>2012terv</t>
  </si>
  <si>
    <t>Szoc.hozzájár.adó</t>
  </si>
  <si>
    <r>
      <t>Szakmai tev. ig.vett szolg. (</t>
    </r>
    <r>
      <rPr>
        <sz val="10"/>
        <rFont val="Arial"/>
        <family val="2"/>
      </rPr>
      <t>dalkör vez., újság, újság szerk.)</t>
    </r>
  </si>
  <si>
    <t>2012. évi terv</t>
  </si>
  <si>
    <t>Szoc.hozzájá.adó</t>
  </si>
  <si>
    <t>Közösségi társadalmi tevékenység</t>
  </si>
  <si>
    <t>I.</t>
  </si>
  <si>
    <t>Szociális hozzáj.adó</t>
  </si>
  <si>
    <t xml:space="preserve">Emelet ablakcsere </t>
  </si>
  <si>
    <t>Szociális hj.adó</t>
  </si>
  <si>
    <t>Telep.hulladék kezelés</t>
  </si>
  <si>
    <t>Közutak, hidak üzemeltetése</t>
  </si>
  <si>
    <t>Épitményüzemeltetés</t>
  </si>
  <si>
    <t>Zöldterület gondozás</t>
  </si>
  <si>
    <t>Fürdő és strandszolgáltatás</t>
  </si>
  <si>
    <t>Önkormányzatok gazdasági tevékenysége</t>
  </si>
  <si>
    <t>Közalkalmazottak nyelvpótléka</t>
  </si>
  <si>
    <t>Gazdasági Ellátó és Vagyongazdálkodó Szervezet</t>
  </si>
  <si>
    <t>Óvodai nevelés</t>
  </si>
  <si>
    <t>Vendég, tábor,nyugdíjas</t>
  </si>
  <si>
    <t>GEVSZ összesen</t>
  </si>
  <si>
    <t xml:space="preserve">Iskolai oktatás </t>
  </si>
  <si>
    <t>Áfa befizetés</t>
  </si>
  <si>
    <t>GEVSZ központ</t>
  </si>
  <si>
    <r>
      <rPr>
        <b/>
        <sz val="12"/>
        <rFont val="Arial"/>
        <family val="2"/>
      </rPr>
      <t>Szakmai tev.igénybe vett szolgáltatás</t>
    </r>
    <r>
      <rPr>
        <sz val="12"/>
        <rFont val="Arial"/>
        <family val="2"/>
      </rPr>
      <t xml:space="preserve"> (Térkép, tul.lap 100, konz. 600, szúnyog 600, Bahart 833, tűzvéd. 300, érintésvéd.400, Tagdíj KB 420, Bszöv. 100,Töosz 40,  Leader42,.főép.1920+150, dec.szemétsz.2808, ügyvéd 1500+szemétszállítás10400+zölhull.száll. </t>
    </r>
    <r>
      <rPr>
        <b/>
        <sz val="12"/>
        <rFont val="Arial"/>
        <family val="2"/>
      </rPr>
      <t>1650+pályázat400 Kisegítő élp.hat fel. ellátása</t>
    </r>
  </si>
  <si>
    <t>Nádfedeles vendégház tetőátépítés</t>
  </si>
  <si>
    <t>Bevételek összesen:</t>
  </si>
  <si>
    <t>ÁFA ( 27 % )</t>
  </si>
  <si>
    <t>Szállítási bevételek</t>
  </si>
  <si>
    <t>Bevételek</t>
  </si>
  <si>
    <t>Vásárolt termékek és szolg. ÁFA (27%)</t>
  </si>
  <si>
    <t>Munkáltató által fizetett Szja 19.04%</t>
  </si>
  <si>
    <t>Szemétszállítás és feldolgozás díja</t>
  </si>
  <si>
    <t>Járművek karbantartása (rendszámos)</t>
  </si>
  <si>
    <t>Üzemeltzetési és fenntartási kiadások össz.</t>
  </si>
  <si>
    <t>Mosószer, védőital</t>
  </si>
  <si>
    <t>Konténer készítéséhez anyag</t>
  </si>
  <si>
    <t>Munkaadót terhelő járulékok összesen:</t>
  </si>
  <si>
    <t>Étkezési hozzájárulás</t>
  </si>
  <si>
    <t>Közalk. garantált illetménye (3 fő)</t>
  </si>
  <si>
    <t>Települési hulladék kezelés</t>
  </si>
  <si>
    <t>Vásárolt termékeke és szolgáltatások ÁFA(27%)</t>
  </si>
  <si>
    <t xml:space="preserve">Szállítási szolgáltatás </t>
  </si>
  <si>
    <t>Kosarasautó</t>
  </si>
  <si>
    <t>Bérleti díj (útjavítás gépei, hótolás)</t>
  </si>
  <si>
    <t>Készletbeszerzés összesen:</t>
  </si>
  <si>
    <t>Egyéb anyag (murva, cement, festék)</t>
  </si>
  <si>
    <t>Egyéb készletbeszerzés (szóróanyag, téli útfennt.)</t>
  </si>
  <si>
    <t>Közalkalm. garantált illetménye(2 fő)</t>
  </si>
  <si>
    <t>Közutak, hidak üzemeltetési, fenntartása</t>
  </si>
  <si>
    <t xml:space="preserve">Ft </t>
  </si>
  <si>
    <t>Ft ÁFA nélkül</t>
  </si>
  <si>
    <t>Intézményi működési bevételek</t>
  </si>
  <si>
    <t>Kiszámlázott term.és szolg. ÁFÁ-ja</t>
  </si>
  <si>
    <t>Intézményi ellátás díja</t>
  </si>
  <si>
    <t>Különféle dologi kiadások összesen:</t>
  </si>
  <si>
    <t>Vásárolt termékek és szolg.ÁFÁ-ja</t>
  </si>
  <si>
    <t>Készletbeszerzések összesen:</t>
  </si>
  <si>
    <t>Élelmiszer beszerzés 30*185+11*35</t>
  </si>
  <si>
    <t>Óvodai intézményi étkeztetés</t>
  </si>
  <si>
    <t>Intézmény müködési bevételek összesen</t>
  </si>
  <si>
    <t>Intézményi bevétel</t>
  </si>
  <si>
    <t>Egyéb folyó kiadás összesen:</t>
  </si>
  <si>
    <t>OTP közreműk.díj</t>
  </si>
  <si>
    <t>Munkáltató által fizetett Szja</t>
  </si>
  <si>
    <t>Vásárolt termékek és szolg, ÁFÁ-ja</t>
  </si>
  <si>
    <t>Vásárolt közszolgáltatás ( HACCP felügyelet)</t>
  </si>
  <si>
    <t>rovarírtás, üzemorvos, programok éves díja</t>
  </si>
  <si>
    <t>Egyéb üzemeltetési, fenntartási szolg.</t>
  </si>
  <si>
    <t>Gépek, berendezések karbantartása</t>
  </si>
  <si>
    <t xml:space="preserve">Ingatlan karbantartás </t>
  </si>
  <si>
    <t>Víz-, csatorna díj</t>
  </si>
  <si>
    <t>Villamosenergia szolg. Igénybevétele</t>
  </si>
  <si>
    <t>Gáz szolgáltatás igénybevétele</t>
  </si>
  <si>
    <t>Nem adatátviteli távközlési díjak</t>
  </si>
  <si>
    <t>Intézményi üzemelt. és fennt.kiad. össz.:</t>
  </si>
  <si>
    <t>tisztítószer, készletbeszerzés</t>
  </si>
  <si>
    <t xml:space="preserve">anyagbeszerzés, </t>
  </si>
  <si>
    <t>Munkaruha, védőruha beszerzés</t>
  </si>
  <si>
    <t>Szakmai anyag és kisért. tárgyi eszk. besz.</t>
  </si>
  <si>
    <t>Könyv folyóirat egyéb inf. hord. beszerzés</t>
  </si>
  <si>
    <t>Irodaszer nyomtatvány beszerzés</t>
  </si>
  <si>
    <t>Élelmiszerbeszerzés</t>
  </si>
  <si>
    <t>Szoc,hozzájár.adó</t>
  </si>
  <si>
    <t>Rendsz. és nem rendsz.szem.jutt.össz.</t>
  </si>
  <si>
    <t>514 24</t>
  </si>
  <si>
    <t>Betegszabadság idejére fizetett díj</t>
  </si>
  <si>
    <t>Vezetői pótlék</t>
  </si>
  <si>
    <t>Tábor étkezés kiadás</t>
  </si>
  <si>
    <t>Tábor étkezés bevétel</t>
  </si>
  <si>
    <t xml:space="preserve">Élelmiszer beszerzés </t>
  </si>
  <si>
    <t>Áfa nélkül</t>
  </si>
  <si>
    <t>Élelmiszer beszerzés 185*35+35*20</t>
  </si>
  <si>
    <t>Tábor  + étkezés+nyugdíjas étkeztetés</t>
  </si>
  <si>
    <t>MÁV vasútállomás</t>
  </si>
  <si>
    <t>Vásárolt term. és szolg. ÁFA(27%)</t>
  </si>
  <si>
    <t>Üzemeltetési és fennt kiad.összesen:</t>
  </si>
  <si>
    <t>Gépbérlet</t>
  </si>
  <si>
    <t>Szoc.hj.adó</t>
  </si>
  <si>
    <t>Rendszeres és nem rensz. személyi jutt.</t>
  </si>
  <si>
    <t>Közalkalm garantált illetménye(3 fő)</t>
  </si>
  <si>
    <t>Építményüzemeltetés</t>
  </si>
  <si>
    <t>Egyéb szolg.bev.</t>
  </si>
  <si>
    <t>Kamatbevétel</t>
  </si>
  <si>
    <t>Egyéb folyó kiad. összesen:</t>
  </si>
  <si>
    <t>Biztosítás</t>
  </si>
  <si>
    <t>OTP közr.díj</t>
  </si>
  <si>
    <t>Munkáltató álltal fizetett Szja. 19.04%</t>
  </si>
  <si>
    <t>Vásárolt termékek és szolg. ÁFA( 27 % )</t>
  </si>
  <si>
    <t>Szolgáltatások összesem:</t>
  </si>
  <si>
    <t>Tűzvédelmi szolg.(tűzoltókészülékek jav.)</t>
  </si>
  <si>
    <t>Járművek karbantartási ktg. (rendszámos)</t>
  </si>
  <si>
    <t>Víz-és csatorna szolg.</t>
  </si>
  <si>
    <t>öntözővíz</t>
  </si>
  <si>
    <t>Villamoserergia szolg.</t>
  </si>
  <si>
    <t>Gázenergia szolg.</t>
  </si>
  <si>
    <t>Szállítási szolgáltatás (kirándulás)</t>
  </si>
  <si>
    <t>Telefon, távközlési díjak</t>
  </si>
  <si>
    <t>Üzemeltetési és fenntart. kiad. össz.</t>
  </si>
  <si>
    <t>Virágosítás,fásítás, parkosítás</t>
  </si>
  <si>
    <t>Saját int. Ingatlan karb. és rezsi</t>
  </si>
  <si>
    <t>Parkfenntartási anyagok (festék,fa,cement)</t>
  </si>
  <si>
    <t>Parkosítás eszközei (kézi szerszámok)</t>
  </si>
  <si>
    <t>Kisgépek javítása</t>
  </si>
  <si>
    <t>Kisértékü tárgyi eszköz</t>
  </si>
  <si>
    <t>Irodaszer, nyomtatvány</t>
  </si>
  <si>
    <t>Munkaadót terhelő járulék összesen:</t>
  </si>
  <si>
    <t xml:space="preserve">Személyi juttatások összesen </t>
  </si>
  <si>
    <t>Tanfolyam</t>
  </si>
  <si>
    <t>Közalk.köt. illetménypótléka</t>
  </si>
  <si>
    <t>Közalkalmazottak gar. Illetménye (6fő)</t>
  </si>
  <si>
    <t>Zöldterületkezelés</t>
  </si>
  <si>
    <t>Kiadáősok összesen:</t>
  </si>
  <si>
    <t>Siófoknak 2012. átadott pe.</t>
  </si>
  <si>
    <t>Működési kiadások összesen</t>
  </si>
  <si>
    <t>Különféle kiadások összesen</t>
  </si>
  <si>
    <t>Kamatkiadások ÁHT-n kívülre</t>
  </si>
  <si>
    <t>Adók, díjak, egyéb befizetések</t>
  </si>
  <si>
    <t>Helyi adók,ill.adójell.befiz.</t>
  </si>
  <si>
    <t>Rehab. Hozzájár.</t>
  </si>
  <si>
    <t>Munkáltatói SZJA 54%</t>
  </si>
  <si>
    <t>telefonadó</t>
  </si>
  <si>
    <t>Különféle költségvetési befizetések</t>
  </si>
  <si>
    <t>Tanfolyamok, továbbképzések</t>
  </si>
  <si>
    <t>Reklám és propaganda kiadások</t>
  </si>
  <si>
    <t>Vásárolt termék, szolg. Áfa</t>
  </si>
  <si>
    <t>Vásárolt közszolg.</t>
  </si>
  <si>
    <t>Egyéb üzemeltetési ktsg.</t>
  </si>
  <si>
    <t>Kulturális rendezvény</t>
  </si>
  <si>
    <t>Postaktsg.</t>
  </si>
  <si>
    <t>Karbant.kisjav.gépek</t>
  </si>
  <si>
    <t>Karbant.kisjav.ingatl.</t>
  </si>
  <si>
    <t>Viz- és csatornadij</t>
  </si>
  <si>
    <t>Villamos energia szolgáltatás</t>
  </si>
  <si>
    <t>Gázenergia szolgáltatás</t>
  </si>
  <si>
    <t>Szállitási szolgáltatás</t>
  </si>
  <si>
    <t>Egyéb kommunikációs szolgáltatás</t>
  </si>
  <si>
    <t>Adatátviteli célú távk.dij</t>
  </si>
  <si>
    <t>Nem adatátviteli távközl.dij</t>
  </si>
  <si>
    <t>Takarítószerek</t>
  </si>
  <si>
    <t>takarítóknak</t>
  </si>
  <si>
    <t>Kisértékű te.besz.</t>
  </si>
  <si>
    <t>Szakmai anyag beszerz.kiad.</t>
  </si>
  <si>
    <t>Folyóirat beszerzés</t>
  </si>
  <si>
    <t>Könyvbeszerzés</t>
  </si>
  <si>
    <t>Vegyszerbesz.kiad.</t>
  </si>
  <si>
    <t>mentőláda feltöltés</t>
  </si>
  <si>
    <t>Gyógyszer,vegyszer</t>
  </si>
  <si>
    <t>Munkaadókat terhelő járulékok összesen:</t>
  </si>
  <si>
    <t xml:space="preserve">Személyi  juttatás összesen: </t>
  </si>
  <si>
    <t xml:space="preserve">Külső személyi juttatás összesen: </t>
  </si>
  <si>
    <t xml:space="preserve">Állományba nem tartozók megbízási díjai </t>
  </si>
  <si>
    <t>Részmunkaidős  juttatásai összesen</t>
  </si>
  <si>
    <t>Részmunkaidős költségtérítése</t>
  </si>
  <si>
    <t>étkezési</t>
  </si>
  <si>
    <t>Részmunkaidős juttatásai</t>
  </si>
  <si>
    <t>részmunkaidős takarító</t>
  </si>
  <si>
    <t>Rmidős közalk.rendsz.jutt.</t>
  </si>
  <si>
    <t xml:space="preserve">Nem rendszeres juttatás teljes munkaidőben foglalkoztatottak összesen: </t>
  </si>
  <si>
    <t>Közalk. Egyéb ktgtérítés</t>
  </si>
  <si>
    <t>E.bér.közlekedési ktstér.</t>
  </si>
  <si>
    <t>bejárók útiktg</t>
  </si>
  <si>
    <t>Közlekedési költségtérités közalk.</t>
  </si>
  <si>
    <t>Tanulmányi támogatás</t>
  </si>
  <si>
    <t>Közalk.e.sajátos jutt.</t>
  </si>
  <si>
    <t>Jubileumi jutalom közalkalmazottak</t>
  </si>
  <si>
    <t>Túlóra, túlszolgálat közalkalmazottak</t>
  </si>
  <si>
    <t xml:space="preserve">Rendszeres juttatás teljes munkaidőben foglalkoztatottak összesen: </t>
  </si>
  <si>
    <t>Egyéb bérrendszer hatálya alá tart.bére</t>
  </si>
  <si>
    <t>Közalkalmazottak alapilletmény</t>
  </si>
  <si>
    <t>Számla-szám</t>
  </si>
  <si>
    <t xml:space="preserve">Mészöly Géza Általános Iskola </t>
  </si>
  <si>
    <t>Élelmiszer beszerzés 220*20*529</t>
  </si>
  <si>
    <t>Bevétel összesen:</t>
  </si>
  <si>
    <t>Különféle dologi kiadások össz.</t>
  </si>
  <si>
    <t>Vásárolt termékek és szolg. ÁFA (27 % )</t>
  </si>
  <si>
    <t>Víz-és csatorna díj</t>
  </si>
  <si>
    <t>Villamosenergia szolg.</t>
  </si>
  <si>
    <t>Üzemelt.és fenntart.kiad.össz.</t>
  </si>
  <si>
    <t>Ingatlan karbantartás, kisjavítás</t>
  </si>
  <si>
    <t>Munkaadót terh.jár. összesen:</t>
  </si>
  <si>
    <t>Egyéb bérrendsz.szem.juttatás</t>
  </si>
  <si>
    <t>Különféle kiadások összesen:</t>
  </si>
  <si>
    <t>Vásárolt közszölgáltatások</t>
  </si>
  <si>
    <t>Víz- és csatornadíj</t>
  </si>
  <si>
    <t>Villamosenergia szolgáltatás díja</t>
  </si>
  <si>
    <t>Üzemeltetési és fenntartási kiadások</t>
  </si>
  <si>
    <t>Fürdő és strandszolgálat</t>
  </si>
  <si>
    <t>Üzemeltetési és fenntartási kiadások össz.</t>
  </si>
  <si>
    <t>Eü. hozzájár.</t>
  </si>
  <si>
    <t>Szoc.hozzáj.adó</t>
  </si>
  <si>
    <t>Állományba nem tartozók díjazása</t>
  </si>
  <si>
    <t>Köztemető fenntartás</t>
  </si>
  <si>
    <t>Tízórai, uzsonna</t>
  </si>
  <si>
    <t>11-14 éves gyermek ebéd</t>
  </si>
  <si>
    <t>7-10 éves gyermek ebéd</t>
  </si>
  <si>
    <t>11-14 éves gyermek 3x étkezés</t>
  </si>
  <si>
    <t>7-10 éves gyermek 3x étkezés</t>
  </si>
  <si>
    <t xml:space="preserve">Jubileumi jutalom </t>
  </si>
  <si>
    <t>Nyári tábor túlóra</t>
  </si>
  <si>
    <t xml:space="preserve">2012 költségvetés tervezet </t>
  </si>
  <si>
    <t>Óvodai nevelés , iskolai előkészítés</t>
  </si>
  <si>
    <t>Közalkalmazottak alapilletménye 7 fő</t>
  </si>
  <si>
    <t xml:space="preserve">Túlóra, </t>
  </si>
  <si>
    <t>Jubileumi jut. 1 fő</t>
  </si>
  <si>
    <t>Szabadságra, munk.távolétre jut.átl.ker.</t>
  </si>
  <si>
    <t>Minőségi kereset kiegészítés</t>
  </si>
  <si>
    <t>Keresetkiegészítés</t>
  </si>
  <si>
    <t>Ruházati kötségtérítés</t>
  </si>
  <si>
    <t>Közlekedési költségtérítés   1 fő</t>
  </si>
  <si>
    <t>Ajándékutalvány</t>
  </si>
  <si>
    <t>Beiskolázi támogatás</t>
  </si>
  <si>
    <t>Egyéb költségtérítés (ped.szk.)</t>
  </si>
  <si>
    <t>Rendsz. és nem rendsz. szem.jutt. össz.:</t>
  </si>
  <si>
    <t>Gyógyszer, vegyszer</t>
  </si>
  <si>
    <t>Könyv, folyóirat egyéb inf.hord.</t>
  </si>
  <si>
    <t>Szakmai anyag .besz.</t>
  </si>
  <si>
    <t>Kisért.tárgyi eszk.besz.</t>
  </si>
  <si>
    <t>Védőruha</t>
  </si>
  <si>
    <t>Tisztitószer</t>
  </si>
  <si>
    <t>Intézményi üzemelt. És fennt.kiad.össz.:</t>
  </si>
  <si>
    <t>Adatátvitel (internet)</t>
  </si>
  <si>
    <t>Szallítási szolg.</t>
  </si>
  <si>
    <t>pedagógosnapi kirándulás</t>
  </si>
  <si>
    <t>Gázszolg.</t>
  </si>
  <si>
    <t>Villanyszolg. Igénybevétele</t>
  </si>
  <si>
    <t>Tanfolyam, továbbképzés+ Bodáné</t>
  </si>
  <si>
    <t>Egyéb üzemeltetési szolg</t>
  </si>
  <si>
    <t>Vásárolt közszolgáltatások</t>
  </si>
  <si>
    <t>Szakmai tev. Összefüggő kiad.össz.</t>
  </si>
  <si>
    <t>Vásárolt termékek és szolg. ÁFÁ-ja</t>
  </si>
  <si>
    <t>Egyéb befiz.köt. (Rehab)</t>
  </si>
  <si>
    <t>Munkáltató által fizetett SZJA</t>
  </si>
  <si>
    <t>Működési kaidások összesen</t>
  </si>
  <si>
    <t>beruházás összesen:</t>
  </si>
  <si>
    <t>Illetménykieg.</t>
  </si>
  <si>
    <t>OTP autómata helyének kialakítása</t>
  </si>
  <si>
    <t>Felújítás</t>
  </si>
  <si>
    <t>Felújítás összesen</t>
  </si>
  <si>
    <t xml:space="preserve">Szennyvíz gyűjtése, tisztítása, elhelyezése </t>
  </si>
  <si>
    <t>Szagtalanítás</t>
  </si>
  <si>
    <t>OTP közreműködési díj</t>
  </si>
  <si>
    <t>2013.várh.</t>
  </si>
  <si>
    <t>szoc.hj.adó</t>
  </si>
  <si>
    <t>eü hozzájárulás</t>
  </si>
  <si>
    <t>Külső személyi juttatás</t>
  </si>
  <si>
    <t>Játszótéri elemek (felnőtt)</t>
  </si>
  <si>
    <t>Országos Mentőszolgálat (Enyingi Mentőáll)</t>
  </si>
  <si>
    <t>Szoc.hozzájár. 27%</t>
  </si>
  <si>
    <t>Eü.hozzájár.</t>
  </si>
  <si>
    <t>Kresztáblák, tükör</t>
  </si>
  <si>
    <t>Eü. Hozzájárulás</t>
  </si>
  <si>
    <t>841154 1</t>
  </si>
  <si>
    <t>Kultúrház nyilászáró csere+fűtés korsz.</t>
  </si>
  <si>
    <t>Aligai u. 37 lakás felújítás</t>
  </si>
  <si>
    <t>Felújítás nettó össz.</t>
  </si>
  <si>
    <t>Eü.hozzájárulás</t>
  </si>
  <si>
    <t>Megbízási díj</t>
  </si>
  <si>
    <t>51-52</t>
  </si>
  <si>
    <t>Különféle dologi kiad. összesen:</t>
  </si>
  <si>
    <t>Központi épület mozgáskorl.bejárat</t>
  </si>
  <si>
    <t>Víznyelő+akna</t>
  </si>
  <si>
    <t>Nyomtató (adó+Marcsi)</t>
  </si>
  <si>
    <t>végszámla</t>
  </si>
  <si>
    <t>Téli Közfoglalkoztatás</t>
  </si>
  <si>
    <t xml:space="preserve">Szakmai tev. ig.vett szolg. </t>
  </si>
  <si>
    <t xml:space="preserve">Térfigyelő kamerák </t>
  </si>
  <si>
    <t>étkezés eszközei pótlása</t>
  </si>
  <si>
    <t>Gépkarbantartás (fénymásoló)</t>
  </si>
  <si>
    <t xml:space="preserve">Fejlesztési kiadások </t>
  </si>
  <si>
    <t>számítógép vásárlás</t>
  </si>
  <si>
    <t>Szoc.hozzáj.adó 27%</t>
  </si>
  <si>
    <t>fénymásoló karb.</t>
  </si>
  <si>
    <t>közoktatásvezetői képzés 4 félév</t>
  </si>
  <si>
    <t xml:space="preserve">Belföldi kiküldetés  </t>
  </si>
  <si>
    <t>Szoc,hj.adó27%)</t>
  </si>
  <si>
    <t>Készletbeszerzés összesen</t>
  </si>
  <si>
    <t>Intézmény üzemeltetés szolg.össz.:</t>
  </si>
  <si>
    <t>Szolgáltatás összesen:</t>
  </si>
  <si>
    <t>+</t>
  </si>
  <si>
    <t xml:space="preserve"> KH havidíj 280 +GEVSZ 250</t>
  </si>
  <si>
    <t>fénymásoló bérlés is.</t>
  </si>
  <si>
    <t xml:space="preserve">10000 Ft/fő/hó </t>
  </si>
  <si>
    <t>20000 rovarirtás, posta feszültségmentesítés</t>
  </si>
  <si>
    <t>Önk. Vagyon gazdálk.kapcs. Fel.</t>
  </si>
  <si>
    <t>GEVSZ Összesítő kimutatás 2014</t>
  </si>
  <si>
    <t>Finanszírozás</t>
  </si>
  <si>
    <t>Vendégház gázleválasztás</t>
  </si>
  <si>
    <t>Felújítás áfa</t>
  </si>
  <si>
    <t>Intézmények összesen</t>
  </si>
  <si>
    <t>Intézményi finanszírozás összesen:</t>
  </si>
  <si>
    <t>Nyári üdülőhelyi ügyeleti díj</t>
  </si>
  <si>
    <t>Szakmai ig. szolg. (Penész megsz.)</t>
  </si>
  <si>
    <t>Villamos hálózat fejlesztés</t>
  </si>
  <si>
    <t>Egyéb komm. Szolg. (védőnői prog.telepítés, felügyelet</t>
  </si>
  <si>
    <t>890442-890444</t>
  </si>
  <si>
    <t>bérleti díj</t>
  </si>
  <si>
    <t>Óvoda felújítás pályázati önrész</t>
  </si>
  <si>
    <t>2014. évi rendezvények költsége</t>
  </si>
  <si>
    <t>Rendelkezésre álló eredeti ei</t>
  </si>
  <si>
    <t>Módosított  Apáti</t>
  </si>
  <si>
    <t>Falunap (ökörsütés)</t>
  </si>
  <si>
    <t>Nőnap</t>
  </si>
  <si>
    <t>Márc.15,</t>
  </si>
  <si>
    <t>Koszorúzás</t>
  </si>
  <si>
    <t>Költészet napja</t>
  </si>
  <si>
    <t>2014. 05.09-11</t>
  </si>
  <si>
    <t>Veterán autó találkozó</t>
  </si>
  <si>
    <t>Gyermeknap</t>
  </si>
  <si>
    <t>Szezonnyító</t>
  </si>
  <si>
    <t>2014.07-11-13</t>
  </si>
  <si>
    <t>Falunap</t>
  </si>
  <si>
    <t>2014.07.19,</t>
  </si>
  <si>
    <t>Apáti dixieland</t>
  </si>
  <si>
    <t>2014.08.02-03</t>
  </si>
  <si>
    <t>Pulai lovasnapok</t>
  </si>
  <si>
    <t>Folkklor napok</t>
  </si>
  <si>
    <t>2014.08.18.21</t>
  </si>
  <si>
    <t>BMY  LAKE</t>
  </si>
  <si>
    <t>Idősek világnapja</t>
  </si>
  <si>
    <t>Nemzeti ünnep</t>
  </si>
  <si>
    <t>Civil vetélkedő</t>
  </si>
  <si>
    <t>Adventi gyertya gyújtás</t>
  </si>
  <si>
    <t>LUCA kupa</t>
  </si>
  <si>
    <t>Községi karácsony</t>
  </si>
  <si>
    <t>2014.</t>
  </si>
  <si>
    <t>várh.</t>
  </si>
  <si>
    <t>2015.</t>
  </si>
  <si>
    <t>2014. várható</t>
  </si>
  <si>
    <t>2014. várh.</t>
  </si>
  <si>
    <t>2014. várh</t>
  </si>
  <si>
    <t>Turisztikai kiadások</t>
  </si>
  <si>
    <t>Turizmusfejlesztéssel kapcsolatos kiadások</t>
  </si>
  <si>
    <t>Várh.</t>
  </si>
  <si>
    <t>Munkaltatói szja</t>
  </si>
  <si>
    <t>számítógép beszerzés</t>
  </si>
  <si>
    <t>v árható</t>
  </si>
  <si>
    <t>várható</t>
  </si>
  <si>
    <t>játszótér konténer WC</t>
  </si>
  <si>
    <t xml:space="preserve">Munkáltatói SZJA </t>
  </si>
  <si>
    <t>Munkáltatót terh.szja</t>
  </si>
  <si>
    <t>Mukáltatót terh.szja</t>
  </si>
  <si>
    <t>Munkáltatót ter.szja</t>
  </si>
  <si>
    <t>SZERVEZETEK TÁMOGATÁSA 2015.</t>
  </si>
  <si>
    <t>Rendőr alapítvány</t>
  </si>
  <si>
    <t>Munkáltatói szja</t>
  </si>
  <si>
    <t>Munkáltatót terhelő szja</t>
  </si>
  <si>
    <t>cafeteria</t>
  </si>
  <si>
    <t>asztal???</t>
  </si>
  <si>
    <t>nyári rendezvények turisztikából</t>
  </si>
  <si>
    <t>3970-3600</t>
  </si>
  <si>
    <t>2fő 4 hónap 100% támogatás</t>
  </si>
  <si>
    <t>80 % támogatás</t>
  </si>
  <si>
    <t>cafereria</t>
  </si>
  <si>
    <t>Óvodai étkezés bevétel (Január-február)</t>
  </si>
  <si>
    <t>(41 nap*36 fő) *360</t>
  </si>
  <si>
    <t>Óvodai étkezés bevétel (március-december)</t>
  </si>
  <si>
    <t>(144 nap*36 fő+35 nap*11 fő) *380</t>
  </si>
  <si>
    <t>Óvodai étkezés kiadás (január-február)</t>
  </si>
  <si>
    <t>(41 nap*36fő) *360 Ft</t>
  </si>
  <si>
    <t>Óvodai étkezés kiadás (március-december)</t>
  </si>
  <si>
    <t>(144 nap*36fő+35 nap*11 fő) *380 Ft</t>
  </si>
  <si>
    <t>Kegvezménnyel csökkentett</t>
  </si>
  <si>
    <t>Összesen.</t>
  </si>
  <si>
    <t>Iskolai étkezés kiadás január-február</t>
  </si>
  <si>
    <t>44 nap*65 fő*400  Ft</t>
  </si>
  <si>
    <t>41 nap*44 fő*450 Ft</t>
  </si>
  <si>
    <t>41 nap*11 fő*255 Ft</t>
  </si>
  <si>
    <t>41 nap*21 fő*295 Ft</t>
  </si>
  <si>
    <t>41 nap*5 fő*80Ft</t>
  </si>
  <si>
    <t>Iskolai étkezés kiadás március-december</t>
  </si>
  <si>
    <t>144 nap*65 fő*420  Ft</t>
  </si>
  <si>
    <t>144 nap*44 fő*470 Ft</t>
  </si>
  <si>
    <t>144 nap*11 fő*275 Ft</t>
  </si>
  <si>
    <t>144 nap*21 fő*315 Ft</t>
  </si>
  <si>
    <t>144 nap*5 fő*80 Ft</t>
  </si>
  <si>
    <t>Iskolai étkezés bevétel január-február</t>
  </si>
  <si>
    <t>Iskolai étkezés bevétel március-december</t>
  </si>
  <si>
    <t>Térítési díj</t>
  </si>
  <si>
    <t>Menza program 60+dszámlázó program30 is</t>
  </si>
  <si>
    <t>karbantartási anyaok</t>
  </si>
  <si>
    <t>Intézményi beruházás (szeletelőgép)</t>
  </si>
  <si>
    <t>iskola melegvíz vezeték javítás 80</t>
  </si>
  <si>
    <t>Nyugdíjas étkeztetés bevétel január-február</t>
  </si>
  <si>
    <t>5 fő*41 nap*579</t>
  </si>
  <si>
    <t>Nyugdíjas étkeztetés bevétel március-december</t>
  </si>
  <si>
    <t>5 fő*180 nap*595</t>
  </si>
  <si>
    <t>Nyugdíjas étkeztetés kiadás január-február</t>
  </si>
  <si>
    <t>5 fő*41 nap*355</t>
  </si>
  <si>
    <t>Nyugdíjas étkeztetés kiadás március-december</t>
  </si>
  <si>
    <t>5 fő*180 nap*375</t>
  </si>
  <si>
    <t>Vendég étkezés bevétel január-február</t>
  </si>
  <si>
    <t>100 Fő*615Ft</t>
  </si>
  <si>
    <t xml:space="preserve">Vendég étkezés bevétel március-december </t>
  </si>
  <si>
    <t>1700 Fő*635 Ft</t>
  </si>
  <si>
    <t>45 Fő*20 nap*2025 Ft</t>
  </si>
  <si>
    <t>Vendég étkezés kiadás január-február</t>
  </si>
  <si>
    <t>100 Fő*355 Ft</t>
  </si>
  <si>
    <t>Vendég étkezés kiadás március-december</t>
  </si>
  <si>
    <t>1700 Fő*375 Ft</t>
  </si>
  <si>
    <t>45 Fő*20 nap*1220 Ft</t>
  </si>
  <si>
    <t>Munkahelyi vendéglátás bevétel január-február</t>
  </si>
  <si>
    <t>(41 nap*30 fő)*579</t>
  </si>
  <si>
    <t xml:space="preserve">Munkahelyi vendéglátás bevétel március-december </t>
  </si>
  <si>
    <t>(144 nap*30 fő+35 nap*15 Fő)*595</t>
  </si>
  <si>
    <t>Munkahelyi vendéglátás kiadás január-február</t>
  </si>
  <si>
    <t>(41 nap*30 fő)*355 Ft</t>
  </si>
  <si>
    <t>Munkahelyi vendéglátás kiadás március-december</t>
  </si>
  <si>
    <t>(144 nap*30 fő+35 nap*15Fő)*375 Ft</t>
  </si>
  <si>
    <t>Szociális étkezés bevétel január február</t>
  </si>
  <si>
    <t>12 Fő*40 nap*579 Ft</t>
  </si>
  <si>
    <t>Szociális étkezés bevétel március december</t>
  </si>
  <si>
    <t>12 Fő*180 nap*595 Ft</t>
  </si>
  <si>
    <t>Szociális étkezés kiadás január február</t>
  </si>
  <si>
    <t>12 Fő*41 nap*355</t>
  </si>
  <si>
    <t xml:space="preserve">Szociális étkezés kiadás </t>
  </si>
  <si>
    <t>12 Fő*180 nap*375</t>
  </si>
  <si>
    <t>Várható</t>
  </si>
  <si>
    <t>Rákóczi Szövetség</t>
  </si>
  <si>
    <t>2014 várható</t>
  </si>
  <si>
    <t>2015. évi terv</t>
  </si>
  <si>
    <t>vattakapát</t>
  </si>
  <si>
    <t>nyitott konténer készítése</t>
  </si>
  <si>
    <t>2014.várh.</t>
  </si>
  <si>
    <t>2015.terv</t>
  </si>
  <si>
    <t xml:space="preserve">Személyi juttatások </t>
  </si>
  <si>
    <t>vattakabát</t>
  </si>
  <si>
    <t>plusz Közúzkezelő táblák cseréje 10 db 150 e Ft</t>
  </si>
  <si>
    <t>Ingatlankarbantartás (aszfaltút zsákosaszfalttal kátyuzás) 1600, Hunor utca, külterületi utak gréderezése, murvázása 400</t>
  </si>
  <si>
    <t>2014.várh</t>
  </si>
  <si>
    <t>Vattakabát, egyéni védőeszközök lejártak</t>
  </si>
  <si>
    <t>Gránitz 5 havi</t>
  </si>
  <si>
    <t>"Mozgóbér"</t>
  </si>
  <si>
    <t>plusz kompresszor,</t>
  </si>
  <si>
    <t>egyéni védőeszközök kihordása lejárt, vattakabát</t>
  </si>
  <si>
    <t>Új játszótér festés</t>
  </si>
  <si>
    <t>épület, udvar rendbetértele 300</t>
  </si>
  <si>
    <t>Vásárolt közszolgáltatás (rovarírtás)</t>
  </si>
  <si>
    <t>Kistraktor:</t>
  </si>
  <si>
    <t>1.600.000</t>
  </si>
  <si>
    <t>Fűnyíró:</t>
  </si>
  <si>
    <t>1.300.000</t>
  </si>
  <si>
    <t>Damilos</t>
  </si>
  <si>
    <t>200.000</t>
  </si>
  <si>
    <t>3.100.000</t>
  </si>
  <si>
    <t>homok+100 + stégtoldás 50+ vízóraakna 20</t>
  </si>
  <si>
    <t>Szakmai igénybevett szolgáltatás</t>
  </si>
  <si>
    <t xml:space="preserve"> temetőregiszter, szociális sírhelyek kialakítása</t>
  </si>
  <si>
    <t>Fejlesztés kistraktor</t>
  </si>
  <si>
    <t>Fűnyíró</t>
  </si>
  <si>
    <t>Damilosd fűnyíró</t>
  </si>
  <si>
    <t>vezetői pótlék</t>
  </si>
  <si>
    <t>szoc ágazati pótlék</t>
  </si>
  <si>
    <t>Cafetéria</t>
  </si>
  <si>
    <t>7x150000</t>
  </si>
  <si>
    <t>pénzmaradvány</t>
  </si>
  <si>
    <t>Kamat</t>
  </si>
  <si>
    <t>Munkaadót terhelő szja</t>
  </si>
  <si>
    <t>Belterületi utak felújítása</t>
  </si>
  <si>
    <t>35*12</t>
  </si>
  <si>
    <t>önkormányzatba tettem</t>
  </si>
  <si>
    <t>meszelés+ Ggarin 4/2</t>
  </si>
  <si>
    <t>Egyéb üzemeltetési eszköz</t>
  </si>
  <si>
    <t>Kafetéria</t>
  </si>
  <si>
    <t>1460+943</t>
  </si>
  <si>
    <t>Betegszabadság idejére járó illetmény</t>
  </si>
  <si>
    <t>Bálint Rita helyett aklkalmaásra kerül Vas Ágnes</t>
  </si>
  <si>
    <t>óvoda vezetői ismeretek, óvodai nevelés</t>
  </si>
  <si>
    <t>játékok, rajzlap, ceruza, színes, tempera+ szőnyeg+ fektetőágy</t>
  </si>
  <si>
    <t>udvari játszóeszköz, zárcsere</t>
  </si>
  <si>
    <t>Bankköltség</t>
  </si>
  <si>
    <t>gyógypedagógus</t>
  </si>
  <si>
    <t>üzemorvos, poroltó, kéményseprő, rovarirtás</t>
  </si>
  <si>
    <t>pedagógosnap is</t>
  </si>
  <si>
    <t>szakdolgozói pótlék</t>
  </si>
  <si>
    <t>Magyar u. ívóvíz, szennyvíz földterület vás.</t>
  </si>
  <si>
    <t>hziorvosi program</t>
  </si>
  <si>
    <t>kéménybélelés130</t>
  </si>
  <si>
    <t>Adatátviteli szolg.</t>
  </si>
  <si>
    <t>védőnőö prigram negyedéves karbantartása</t>
  </si>
  <si>
    <t>2013 évi túlfizetés elstámolása</t>
  </si>
  <si>
    <t>számítógép 150</t>
  </si>
  <si>
    <t>vérnyomásmérő30</t>
  </si>
  <si>
    <t>előtető 30+épület homlokzat javítás50+udvar rendbetétele80, bejárati ajtó javítás 40?</t>
  </si>
  <si>
    <t>házi seg.nyújtás, +1 fő családsegítő</t>
  </si>
  <si>
    <t>pórszívó15, gyermekülés12, táska 20</t>
  </si>
  <si>
    <t xml:space="preserve">Karate Egyesület </t>
  </si>
  <si>
    <t xml:space="preserve">Könyvbeszerzésre </t>
  </si>
  <si>
    <t>könyv vásárlás</t>
  </si>
  <si>
    <t>Temető felújítás</t>
  </si>
  <si>
    <t>Működési kiadás össz.</t>
  </si>
  <si>
    <t>Váárolt közszolgáltatás</t>
  </si>
  <si>
    <t>mérlk.60+egyéb 200</t>
  </si>
  <si>
    <t>6 db szünetmentes,2 nyomtató56, egér</t>
  </si>
  <si>
    <t>Rehabilitációs hozzájárulás</t>
  </si>
  <si>
    <t xml:space="preserve">lábtörlő, nyomtató, </t>
  </si>
  <si>
    <t>telefon, internet áthelyezés 10</t>
  </si>
  <si>
    <t xml:space="preserve">Iskola U alak betonozása </t>
  </si>
  <si>
    <t>betonozás, aszfalt, játékok festésére</t>
  </si>
  <si>
    <t>iskolai pad 5 kicsi, 5 nagy , szék 10 kicsi 10 nagy</t>
  </si>
  <si>
    <t>iskolába járás 5490, összetartozás 150</t>
  </si>
  <si>
    <t>udvari mászóka, padok, kerítés javítás, festés , cipótartók 75, főbejárat térkövezése25, bővitmény karbantartása30,vizesblokkok karbantarása65</t>
  </si>
  <si>
    <t>Tajdi Andrea</t>
  </si>
  <si>
    <t>Restné, Tajti Andi, rágxaálóírtás</t>
  </si>
  <si>
    <t>Saldó 195,tak.100, könyvv.420, térinf.580, iratarch.300, könyv,felügyelet 100 , testületi anyag bekötés150, védőszeműveg400</t>
  </si>
  <si>
    <t>35/hó</t>
  </si>
  <si>
    <t xml:space="preserve"> dalkör 45x12=540,  újság nyomda 79x12=948, 12X11=132, + 9, szerk. 39x12=468</t>
  </si>
  <si>
    <t>terítő anyakönyvvi asztalra</t>
  </si>
  <si>
    <t>benti 5*10000+kinti 10*25000</t>
  </si>
  <si>
    <t>1,48 főX 964500</t>
  </si>
  <si>
    <t>előző évi visszatérítés</t>
  </si>
  <si>
    <t>játszótér víz, villany</t>
  </si>
  <si>
    <t>1. havi illetmény</t>
  </si>
  <si>
    <t>1 havi illetmény</t>
  </si>
  <si>
    <t>1 haviilletmény</t>
  </si>
  <si>
    <t>kurtaxa</t>
  </si>
  <si>
    <t>albérleti hj4 hó254, egyszerűsitett fogl60</t>
  </si>
  <si>
    <t>egy havi illetmény</t>
  </si>
  <si>
    <t>Harmat, Zalán, Hétvezér u. felújítása</t>
  </si>
  <si>
    <r>
      <t xml:space="preserve">Térkép, tul.lap 300, szúnyog 783,  tűzvéd. 300, érintésvéd.400, Tagdíj KB 420, Bszöv. 100,Töosz 40, </t>
    </r>
    <r>
      <rPr>
        <sz val="12"/>
        <color indexed="10"/>
        <rFont val="Arial"/>
        <family val="2"/>
      </rPr>
      <t xml:space="preserve"> honlap karb. 144,</t>
    </r>
    <r>
      <rPr>
        <sz val="12"/>
        <rFont val="Arial"/>
        <family val="2"/>
      </rPr>
      <t xml:space="preserve">  ügyvéd 1828, 5</t>
    </r>
    <r>
      <rPr>
        <sz val="12"/>
        <color indexed="10"/>
        <rFont val="Arial"/>
        <family val="2"/>
      </rPr>
      <t xml:space="preserve">610zölhull.száll(38ford). </t>
    </r>
    <r>
      <rPr>
        <sz val="12"/>
        <rFont val="Arial"/>
        <family val="2"/>
      </rPr>
      <t>+pályázat400 +OTPautómata 1200+ közadattár feltölotés120+BAHART1000</t>
    </r>
  </si>
  <si>
    <t>40 fő</t>
  </si>
  <si>
    <t>szerptemberi béremelés, új csoport (2 óvonő, 1 dajka) nélkül</t>
  </si>
  <si>
    <t>5 fő</t>
  </si>
  <si>
    <t>pótkocsi műszakiztatás</t>
  </si>
  <si>
    <t>O1.20.</t>
  </si>
  <si>
    <t>O1.20</t>
  </si>
  <si>
    <t>NIHON  Sportegyesület</t>
  </si>
  <si>
    <t>router vásárlás</t>
  </si>
  <si>
    <t>gyermek játszóház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</si>
</sst>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"/>
  </numFmts>
  <fonts count="111">
    <font>
      <sz val="14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i/>
      <sz val="14"/>
      <name val="Times New Roman CE"/>
      <family val="0"/>
    </font>
    <font>
      <sz val="12"/>
      <name val="Times New Roman CE"/>
      <family val="0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7"/>
      <color indexed="8"/>
      <name val="Times New Roman"/>
      <family val="1"/>
    </font>
    <font>
      <b/>
      <sz val="11"/>
      <name val="Times New Roman CE"/>
      <family val="1"/>
    </font>
    <font>
      <sz val="12"/>
      <color indexed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11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0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6"/>
      <color indexed="10"/>
      <name val="Arial"/>
      <family val="2"/>
    </font>
    <font>
      <sz val="14"/>
      <color indexed="10"/>
      <name val="Times New Roman CE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30"/>
      <name val="Arial"/>
      <family val="2"/>
    </font>
    <font>
      <sz val="11"/>
      <color indexed="30"/>
      <name val="Arial"/>
      <family val="2"/>
    </font>
    <font>
      <sz val="14"/>
      <color indexed="30"/>
      <name val="Times New Roman CE"/>
      <family val="0"/>
    </font>
    <font>
      <b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2"/>
      <color rgb="FFFF0000"/>
      <name val="Times New Roman CE"/>
      <family val="0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  <font>
      <sz val="14"/>
      <color rgb="FFFF0000"/>
      <name val="Times New Roman CE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rgb="FF0070C0"/>
      <name val="Arial"/>
      <family val="2"/>
    </font>
    <font>
      <sz val="11"/>
      <color rgb="FF0070C0"/>
      <name val="Arial"/>
      <family val="2"/>
    </font>
    <font>
      <sz val="14"/>
      <color rgb="FF0070C0"/>
      <name val="Times New Roman CE"/>
      <family val="0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96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97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1" fontId="97" fillId="0" borderId="11" xfId="0" applyNumberFormat="1" applyFont="1" applyBorder="1" applyAlignment="1">
      <alignment/>
    </xf>
    <xf numFmtId="3" fontId="10" fillId="0" borderId="0" xfId="56" applyNumberFormat="1" applyFont="1" applyFill="1" applyBorder="1" applyAlignment="1" applyProtection="1">
      <alignment/>
      <protection locked="0"/>
    </xf>
    <xf numFmtId="3" fontId="12" fillId="0" borderId="0" xfId="56" applyNumberFormat="1" applyFont="1" applyFill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>
      <alignment/>
    </xf>
    <xf numFmtId="3" fontId="10" fillId="0" borderId="0" xfId="56" applyNumberFormat="1" applyFont="1" applyBorder="1">
      <alignment/>
      <protection/>
    </xf>
    <xf numFmtId="3" fontId="10" fillId="0" borderId="0" xfId="56" applyNumberFormat="1" applyFont="1" applyBorder="1" applyAlignment="1">
      <alignment wrapText="1"/>
      <protection/>
    </xf>
    <xf numFmtId="3" fontId="12" fillId="0" borderId="0" xfId="56" applyNumberFormat="1" applyFont="1" applyFill="1" applyBorder="1" applyAlignment="1" applyProtection="1">
      <alignment horizontal="center"/>
      <protection locked="0"/>
    </xf>
    <xf numFmtId="3" fontId="13" fillId="0" borderId="0" xfId="56" applyNumberFormat="1" applyFont="1" applyFill="1" applyBorder="1" applyAlignment="1" applyProtection="1">
      <alignment horizontal="center"/>
      <protection locked="0"/>
    </xf>
    <xf numFmtId="3" fontId="10" fillId="0" borderId="0" xfId="56" applyNumberFormat="1" applyFont="1" applyFill="1" applyBorder="1" applyAlignment="1" applyProtection="1">
      <alignment wrapText="1"/>
      <protection locked="0"/>
    </xf>
    <xf numFmtId="14" fontId="9" fillId="0" borderId="0" xfId="0" applyNumberFormat="1" applyFont="1" applyBorder="1" applyAlignment="1">
      <alignment/>
    </xf>
    <xf numFmtId="3" fontId="10" fillId="0" borderId="11" xfId="56" applyNumberFormat="1" applyFont="1" applyFill="1" applyBorder="1" applyAlignment="1" applyProtection="1">
      <alignment/>
      <protection locked="0"/>
    </xf>
    <xf numFmtId="3" fontId="10" fillId="0" borderId="11" xfId="56" applyNumberFormat="1" applyFont="1" applyFill="1" applyBorder="1" applyAlignment="1" applyProtection="1">
      <alignment wrapText="1"/>
      <protection locked="0"/>
    </xf>
    <xf numFmtId="3" fontId="9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0" fillId="0" borderId="13" xfId="56" applyNumberFormat="1" applyFont="1" applyFill="1" applyBorder="1" applyAlignment="1" applyProtection="1">
      <alignment/>
      <protection locked="0"/>
    </xf>
    <xf numFmtId="3" fontId="10" fillId="0" borderId="14" xfId="56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>
      <alignment/>
    </xf>
    <xf numFmtId="3" fontId="10" fillId="0" borderId="16" xfId="56" applyNumberFormat="1" applyFont="1" applyFill="1" applyBorder="1" applyAlignment="1" applyProtection="1">
      <alignment/>
      <protection locked="0"/>
    </xf>
    <xf numFmtId="3" fontId="9" fillId="0" borderId="17" xfId="0" applyNumberFormat="1" applyFont="1" applyBorder="1" applyAlignment="1">
      <alignment/>
    </xf>
    <xf numFmtId="3" fontId="10" fillId="0" borderId="18" xfId="56" applyNumberFormat="1" applyFont="1" applyFill="1" applyBorder="1" applyAlignment="1" applyProtection="1">
      <alignment/>
      <protection locked="0"/>
    </xf>
    <xf numFmtId="3" fontId="12" fillId="0" borderId="19" xfId="56" applyNumberFormat="1" applyFont="1" applyFill="1" applyBorder="1" applyAlignment="1" applyProtection="1">
      <alignment wrapText="1"/>
      <protection locked="0"/>
    </xf>
    <xf numFmtId="3" fontId="13" fillId="0" borderId="19" xfId="0" applyNumberFormat="1" applyFont="1" applyBorder="1" applyAlignment="1">
      <alignment/>
    </xf>
    <xf numFmtId="3" fontId="10" fillId="0" borderId="20" xfId="56" applyNumberFormat="1" applyFont="1" applyFill="1" applyBorder="1" applyAlignment="1" applyProtection="1">
      <alignment/>
      <protection locked="0"/>
    </xf>
    <xf numFmtId="3" fontId="10" fillId="0" borderId="21" xfId="56" applyNumberFormat="1" applyFont="1" applyFill="1" applyBorder="1" applyAlignment="1" applyProtection="1">
      <alignment wrapText="1"/>
      <protection locked="0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3" fontId="96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96" fillId="0" borderId="0" xfId="0" applyFont="1" applyAlignment="1">
      <alignment/>
    </xf>
    <xf numFmtId="0" fontId="0" fillId="0" borderId="11" xfId="0" applyFont="1" applyBorder="1" applyAlignment="1">
      <alignment wrapText="1"/>
    </xf>
    <xf numFmtId="3" fontId="10" fillId="0" borderId="16" xfId="56" applyNumberFormat="1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4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14" fontId="8" fillId="0" borderId="11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4" fontId="7" fillId="0" borderId="11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1" fontId="0" fillId="0" borderId="11" xfId="0" applyNumberFormat="1" applyFont="1" applyBorder="1" applyAlignment="1">
      <alignment wrapText="1"/>
    </xf>
    <xf numFmtId="0" fontId="7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12" fillId="0" borderId="30" xfId="56" applyNumberFormat="1" applyFont="1" applyFill="1" applyBorder="1" applyAlignment="1" applyProtection="1">
      <alignment/>
      <protection locked="0"/>
    </xf>
    <xf numFmtId="3" fontId="12" fillId="0" borderId="27" xfId="56" applyNumberFormat="1" applyFont="1" applyFill="1" applyBorder="1" applyAlignment="1" applyProtection="1">
      <alignment wrapText="1"/>
      <protection locked="0"/>
    </xf>
    <xf numFmtId="3" fontId="13" fillId="0" borderId="27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0" fillId="0" borderId="32" xfId="56" applyNumberFormat="1" applyFont="1" applyFill="1" applyBorder="1" applyAlignment="1" applyProtection="1">
      <alignment/>
      <protection locked="0"/>
    </xf>
    <xf numFmtId="3" fontId="10" fillId="0" borderId="27" xfId="56" applyNumberFormat="1" applyFont="1" applyFill="1" applyBorder="1" applyAlignment="1" applyProtection="1">
      <alignment wrapText="1"/>
      <protection locked="0"/>
    </xf>
    <xf numFmtId="3" fontId="9" fillId="0" borderId="27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12" fillId="0" borderId="20" xfId="56" applyNumberFormat="1" applyFont="1" applyFill="1" applyBorder="1" applyAlignment="1" applyProtection="1">
      <alignment/>
      <protection locked="0"/>
    </xf>
    <xf numFmtId="3" fontId="12" fillId="0" borderId="21" xfId="56" applyNumberFormat="1" applyFont="1" applyFill="1" applyBorder="1" applyAlignment="1" applyProtection="1">
      <alignment wrapText="1"/>
      <protection locked="0"/>
    </xf>
    <xf numFmtId="3" fontId="13" fillId="0" borderId="2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9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" fontId="14" fillId="0" borderId="34" xfId="0" applyNumberFormat="1" applyFont="1" applyBorder="1" applyAlignment="1">
      <alignment/>
    </xf>
    <xf numFmtId="1" fontId="2" fillId="0" borderId="3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" fontId="8" fillId="0" borderId="25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12" fillId="0" borderId="25" xfId="0" applyFont="1" applyBorder="1" applyAlignment="1">
      <alignment/>
    </xf>
    <xf numFmtId="0" fontId="2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1" fontId="20" fillId="0" borderId="11" xfId="0" applyNumberFormat="1" applyFont="1" applyBorder="1" applyAlignment="1">
      <alignment/>
    </xf>
    <xf numFmtId="1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10" fillId="0" borderId="0" xfId="0" applyFont="1" applyAlignment="1">
      <alignment/>
    </xf>
    <xf numFmtId="1" fontId="13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14" fontId="18" fillId="0" borderId="11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39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left"/>
    </xf>
    <xf numFmtId="3" fontId="10" fillId="0" borderId="42" xfId="0" applyNumberFormat="1" applyFont="1" applyBorder="1" applyAlignment="1">
      <alignment horizontal="left"/>
    </xf>
    <xf numFmtId="0" fontId="32" fillId="0" borderId="0" xfId="0" applyFont="1" applyAlignment="1">
      <alignment/>
    </xf>
    <xf numFmtId="3" fontId="10" fillId="0" borderId="43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 horizontal="left"/>
    </xf>
    <xf numFmtId="3" fontId="10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44" xfId="0" applyNumberFormat="1" applyFont="1" applyBorder="1" applyAlignment="1">
      <alignment horizontal="left"/>
    </xf>
    <xf numFmtId="3" fontId="10" fillId="0" borderId="34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46" xfId="0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center" wrapText="1"/>
    </xf>
    <xf numFmtId="3" fontId="12" fillId="0" borderId="4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0" fontId="10" fillId="0" borderId="26" xfId="0" applyFont="1" applyBorder="1" applyAlignment="1">
      <alignment/>
    </xf>
    <xf numFmtId="1" fontId="14" fillId="0" borderId="11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10" fillId="0" borderId="48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2" fillId="0" borderId="39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0" fillId="0" borderId="28" xfId="0" applyFont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2" fillId="0" borderId="40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0" fillId="0" borderId="50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25" xfId="0" applyBorder="1" applyAlignment="1">
      <alignment/>
    </xf>
    <xf numFmtId="0" fontId="33" fillId="0" borderId="0" xfId="0" applyFont="1" applyAlignment="1">
      <alignment/>
    </xf>
    <xf numFmtId="0" fontId="65" fillId="0" borderId="11" xfId="0" applyFont="1" applyBorder="1" applyAlignment="1">
      <alignment/>
    </xf>
    <xf numFmtId="3" fontId="10" fillId="0" borderId="51" xfId="0" applyNumberFormat="1" applyFont="1" applyBorder="1" applyAlignment="1">
      <alignment horizontal="left"/>
    </xf>
    <xf numFmtId="3" fontId="10" fillId="0" borderId="52" xfId="0" applyNumberFormat="1" applyFont="1" applyBorder="1" applyAlignment="1">
      <alignment horizontal="left"/>
    </xf>
    <xf numFmtId="3" fontId="12" fillId="0" borderId="53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left"/>
    </xf>
    <xf numFmtId="3" fontId="12" fillId="0" borderId="54" xfId="0" applyNumberFormat="1" applyFont="1" applyBorder="1" applyAlignment="1">
      <alignment/>
    </xf>
    <xf numFmtId="0" fontId="10" fillId="0" borderId="55" xfId="0" applyFont="1" applyBorder="1" applyAlignment="1">
      <alignment/>
    </xf>
    <xf numFmtId="3" fontId="12" fillId="0" borderId="56" xfId="0" applyNumberFormat="1" applyFont="1" applyBorder="1" applyAlignment="1">
      <alignment/>
    </xf>
    <xf numFmtId="0" fontId="10" fillId="0" borderId="56" xfId="0" applyFont="1" applyBorder="1" applyAlignment="1">
      <alignment/>
    </xf>
    <xf numFmtId="0" fontId="12" fillId="0" borderId="55" xfId="0" applyFont="1" applyBorder="1" applyAlignment="1">
      <alignment/>
    </xf>
    <xf numFmtId="0" fontId="10" fillId="0" borderId="27" xfId="0" applyFont="1" applyBorder="1" applyAlignment="1">
      <alignment/>
    </xf>
    <xf numFmtId="3" fontId="7" fillId="0" borderId="49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57" xfId="0" applyNumberFormat="1" applyFont="1" applyBorder="1" applyAlignment="1">
      <alignment horizontal="left"/>
    </xf>
    <xf numFmtId="3" fontId="10" fillId="0" borderId="58" xfId="0" applyNumberFormat="1" applyFont="1" applyBorder="1" applyAlignment="1">
      <alignment horizontal="left"/>
    </xf>
    <xf numFmtId="0" fontId="10" fillId="0" borderId="16" xfId="0" applyFont="1" applyBorder="1" applyAlignment="1">
      <alignment/>
    </xf>
    <xf numFmtId="3" fontId="10" fillId="0" borderId="25" xfId="0" applyNumberFormat="1" applyFont="1" applyBorder="1" applyAlignment="1">
      <alignment horizontal="left"/>
    </xf>
    <xf numFmtId="3" fontId="10" fillId="0" borderId="24" xfId="0" applyNumberFormat="1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5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13" fillId="0" borderId="0" xfId="56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4" fontId="8" fillId="0" borderId="25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59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wrapText="1"/>
    </xf>
    <xf numFmtId="0" fontId="9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vertical="center" wrapText="1"/>
    </xf>
    <xf numFmtId="3" fontId="8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14" fontId="96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4" fontId="14" fillId="0" borderId="0" xfId="0" applyNumberFormat="1" applyFont="1" applyAlignment="1">
      <alignment/>
    </xf>
    <xf numFmtId="14" fontId="14" fillId="0" borderId="1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6" fillId="0" borderId="11" xfId="0" applyFont="1" applyBorder="1" applyAlignment="1">
      <alignment/>
    </xf>
    <xf numFmtId="1" fontId="7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3" fontId="30" fillId="0" borderId="11" xfId="0" applyNumberFormat="1" applyFont="1" applyBorder="1" applyAlignment="1">
      <alignment/>
    </xf>
    <xf numFmtId="0" fontId="65" fillId="0" borderId="0" xfId="0" applyFont="1" applyBorder="1" applyAlignment="1">
      <alignment/>
    </xf>
    <xf numFmtId="3" fontId="12" fillId="0" borderId="59" xfId="0" applyNumberFormat="1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25" xfId="0" applyFont="1" applyBorder="1" applyAlignment="1">
      <alignment horizontal="left"/>
    </xf>
    <xf numFmtId="3" fontId="10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/>
    </xf>
    <xf numFmtId="3" fontId="12" fillId="0" borderId="57" xfId="0" applyNumberFormat="1" applyFont="1" applyBorder="1" applyAlignment="1">
      <alignment horizontal="left"/>
    </xf>
    <xf numFmtId="3" fontId="10" fillId="0" borderId="46" xfId="0" applyNumberFormat="1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62" xfId="0" applyFont="1" applyBorder="1" applyAlignment="1">
      <alignment/>
    </xf>
    <xf numFmtId="0" fontId="12" fillId="0" borderId="62" xfId="0" applyFont="1" applyBorder="1" applyAlignment="1">
      <alignment/>
    </xf>
    <xf numFmtId="0" fontId="65" fillId="0" borderId="0" xfId="0" applyFont="1" applyAlignment="1">
      <alignment/>
    </xf>
    <xf numFmtId="0" fontId="65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0" fontId="66" fillId="0" borderId="11" xfId="0" applyFont="1" applyBorder="1" applyAlignment="1">
      <alignment/>
    </xf>
    <xf numFmtId="1" fontId="66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7" fillId="0" borderId="0" xfId="0" applyNumberFormat="1" applyFont="1" applyAlignment="1">
      <alignment/>
    </xf>
    <xf numFmtId="0" fontId="66" fillId="0" borderId="11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/>
    </xf>
    <xf numFmtId="0" fontId="68" fillId="0" borderId="11" xfId="0" applyFont="1" applyBorder="1" applyAlignment="1">
      <alignment/>
    </xf>
    <xf numFmtId="0" fontId="66" fillId="0" borderId="25" xfId="0" applyFont="1" applyBorder="1" applyAlignment="1">
      <alignment/>
    </xf>
    <xf numFmtId="3" fontId="66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12" fillId="0" borderId="11" xfId="0" applyFont="1" applyBorder="1" applyAlignment="1">
      <alignment horizontal="center"/>
    </xf>
    <xf numFmtId="14" fontId="28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14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11" fillId="0" borderId="0" xfId="0" applyFont="1" applyAlignment="1">
      <alignment wrapText="1"/>
    </xf>
    <xf numFmtId="14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4" fontId="20" fillId="0" borderId="11" xfId="0" applyNumberFormat="1" applyFont="1" applyBorder="1" applyAlignment="1">
      <alignment/>
    </xf>
    <xf numFmtId="14" fontId="10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14" fontId="65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99" fillId="0" borderId="0" xfId="0" applyFont="1" applyAlignment="1">
      <alignment/>
    </xf>
    <xf numFmtId="0" fontId="99" fillId="0" borderId="0" xfId="0" applyFont="1" applyBorder="1" applyAlignment="1">
      <alignment/>
    </xf>
    <xf numFmtId="0" fontId="99" fillId="0" borderId="11" xfId="0" applyFont="1" applyBorder="1" applyAlignment="1">
      <alignment wrapText="1"/>
    </xf>
    <xf numFmtId="3" fontId="100" fillId="0" borderId="11" xfId="0" applyNumberFormat="1" applyFont="1" applyBorder="1" applyAlignment="1">
      <alignment/>
    </xf>
    <xf numFmtId="14" fontId="65" fillId="0" borderId="25" xfId="0" applyNumberFormat="1" applyFont="1" applyBorder="1" applyAlignment="1">
      <alignment wrapText="1"/>
    </xf>
    <xf numFmtId="0" fontId="65" fillId="0" borderId="25" xfId="0" applyFont="1" applyBorder="1" applyAlignment="1">
      <alignment/>
    </xf>
    <xf numFmtId="3" fontId="35" fillId="0" borderId="25" xfId="0" applyNumberFormat="1" applyFont="1" applyBorder="1" applyAlignment="1">
      <alignment/>
    </xf>
    <xf numFmtId="1" fontId="66" fillId="0" borderId="25" xfId="0" applyNumberFormat="1" applyFont="1" applyBorder="1" applyAlignment="1">
      <alignment/>
    </xf>
    <xf numFmtId="3" fontId="66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66" fillId="0" borderId="25" xfId="0" applyFont="1" applyFill="1" applyBorder="1" applyAlignment="1">
      <alignment/>
    </xf>
    <xf numFmtId="14" fontId="0" fillId="0" borderId="25" xfId="0" applyNumberFormat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14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/>
    </xf>
    <xf numFmtId="3" fontId="100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14" fontId="0" fillId="0" borderId="11" xfId="0" applyNumberFormat="1" applyFill="1" applyBorder="1" applyAlignment="1">
      <alignment/>
    </xf>
    <xf numFmtId="14" fontId="7" fillId="0" borderId="25" xfId="0" applyNumberFormat="1" applyFont="1" applyBorder="1" applyAlignment="1">
      <alignment wrapText="1"/>
    </xf>
    <xf numFmtId="0" fontId="96" fillId="0" borderId="25" xfId="0" applyFont="1" applyBorder="1" applyAlignment="1">
      <alignment/>
    </xf>
    <xf numFmtId="3" fontId="7" fillId="0" borderId="25" xfId="0" applyNumberFormat="1" applyFont="1" applyBorder="1" applyAlignment="1">
      <alignment vertical="center"/>
    </xf>
    <xf numFmtId="0" fontId="96" fillId="0" borderId="11" xfId="0" applyFont="1" applyBorder="1" applyAlignment="1">
      <alignment wrapText="1"/>
    </xf>
    <xf numFmtId="0" fontId="96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4" fontId="12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0" fontId="16" fillId="0" borderId="11" xfId="0" applyFont="1" applyBorder="1" applyAlignment="1">
      <alignment/>
    </xf>
    <xf numFmtId="3" fontId="10" fillId="0" borderId="48" xfId="0" applyNumberFormat="1" applyFont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right"/>
    </xf>
    <xf numFmtId="3" fontId="101" fillId="0" borderId="11" xfId="0" applyNumberFormat="1" applyFont="1" applyBorder="1" applyAlignment="1">
      <alignment/>
    </xf>
    <xf numFmtId="3" fontId="102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38" fillId="0" borderId="11" xfId="0" applyNumberFormat="1" applyFont="1" applyBorder="1" applyAlignment="1">
      <alignment/>
    </xf>
    <xf numFmtId="3" fontId="39" fillId="0" borderId="11" xfId="0" applyNumberFormat="1" applyFont="1" applyBorder="1" applyAlignment="1">
      <alignment horizontal="right"/>
    </xf>
    <xf numFmtId="3" fontId="8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1" fontId="18" fillId="0" borderId="11" xfId="0" applyNumberFormat="1" applyFont="1" applyBorder="1" applyAlignment="1">
      <alignment wrapText="1"/>
    </xf>
    <xf numFmtId="3" fontId="40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4" fontId="41" fillId="0" borderId="11" xfId="0" applyNumberFormat="1" applyFont="1" applyBorder="1" applyAlignment="1">
      <alignment horizontal="center" wrapText="1"/>
    </xf>
    <xf numFmtId="1" fontId="41" fillId="0" borderId="11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 horizontal="center"/>
    </xf>
    <xf numFmtId="3" fontId="103" fillId="0" borderId="11" xfId="0" applyNumberFormat="1" applyFont="1" applyBorder="1" applyAlignment="1">
      <alignment/>
    </xf>
    <xf numFmtId="0" fontId="66" fillId="0" borderId="60" xfId="0" applyFont="1" applyFill="1" applyBorder="1" applyAlignment="1">
      <alignment/>
    </xf>
    <xf numFmtId="3" fontId="8" fillId="0" borderId="26" xfId="0" applyNumberFormat="1" applyFont="1" applyBorder="1" applyAlignment="1">
      <alignment horizontal="center"/>
    </xf>
    <xf numFmtId="0" fontId="104" fillId="0" borderId="11" xfId="0" applyFont="1" applyBorder="1" applyAlignment="1">
      <alignment/>
    </xf>
    <xf numFmtId="0" fontId="0" fillId="0" borderId="56" xfId="0" applyFont="1" applyFill="1" applyBorder="1" applyAlignment="1">
      <alignment/>
    </xf>
    <xf numFmtId="3" fontId="10" fillId="0" borderId="63" xfId="0" applyNumberFormat="1" applyFont="1" applyBorder="1" applyAlignment="1">
      <alignment/>
    </xf>
    <xf numFmtId="3" fontId="10" fillId="0" borderId="64" xfId="0" applyNumberFormat="1" applyFont="1" applyBorder="1" applyAlignment="1">
      <alignment horizontal="left"/>
    </xf>
    <xf numFmtId="3" fontId="10" fillId="0" borderId="29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vertical="top"/>
    </xf>
    <xf numFmtId="1" fontId="7" fillId="0" borderId="11" xfId="0" applyNumberFormat="1" applyFont="1" applyBorder="1" applyAlignment="1">
      <alignment vertical="top"/>
    </xf>
    <xf numFmtId="1" fontId="8" fillId="0" borderId="0" xfId="0" applyNumberFormat="1" applyFont="1" applyAlignment="1">
      <alignment horizontal="left" vertical="top"/>
    </xf>
    <xf numFmtId="1" fontId="0" fillId="0" borderId="0" xfId="0" applyNumberForma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65" xfId="0" applyNumberFormat="1" applyFont="1" applyBorder="1" applyAlignment="1">
      <alignment/>
    </xf>
    <xf numFmtId="3" fontId="105" fillId="0" borderId="31" xfId="0" applyNumberFormat="1" applyFont="1" applyBorder="1" applyAlignment="1">
      <alignment/>
    </xf>
    <xf numFmtId="3" fontId="106" fillId="0" borderId="21" xfId="0" applyNumberFormat="1" applyFont="1" applyBorder="1" applyAlignment="1">
      <alignment/>
    </xf>
    <xf numFmtId="3" fontId="105" fillId="0" borderId="21" xfId="0" applyNumberFormat="1" applyFont="1" applyBorder="1" applyAlignment="1">
      <alignment/>
    </xf>
    <xf numFmtId="3" fontId="105" fillId="0" borderId="19" xfId="0" applyNumberFormat="1" applyFont="1" applyBorder="1" applyAlignment="1">
      <alignment/>
    </xf>
    <xf numFmtId="3" fontId="106" fillId="0" borderId="57" xfId="0" applyNumberFormat="1" applyFont="1" applyBorder="1" applyAlignment="1">
      <alignment/>
    </xf>
    <xf numFmtId="3" fontId="106" fillId="0" borderId="31" xfId="0" applyNumberFormat="1" applyFont="1" applyBorder="1" applyAlignment="1">
      <alignment/>
    </xf>
    <xf numFmtId="3" fontId="106" fillId="0" borderId="25" xfId="0" applyNumberFormat="1" applyFont="1" applyBorder="1" applyAlignment="1">
      <alignment/>
    </xf>
    <xf numFmtId="3" fontId="106" fillId="0" borderId="46" xfId="0" applyNumberFormat="1" applyFont="1" applyBorder="1" applyAlignment="1">
      <alignment/>
    </xf>
    <xf numFmtId="0" fontId="43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3" fontId="4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1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8" fillId="0" borderId="0" xfId="0" applyNumberFormat="1" applyFont="1" applyAlignment="1">
      <alignment horizontal="left"/>
    </xf>
    <xf numFmtId="3" fontId="107" fillId="0" borderId="11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3" fontId="108" fillId="0" borderId="22" xfId="0" applyNumberFormat="1" applyFont="1" applyBorder="1" applyAlignment="1">
      <alignment/>
    </xf>
    <xf numFmtId="3" fontId="108" fillId="0" borderId="33" xfId="0" applyNumberFormat="1" applyFont="1" applyBorder="1" applyAlignment="1">
      <alignment/>
    </xf>
    <xf numFmtId="3" fontId="108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09" fillId="0" borderId="0" xfId="0" applyFont="1" applyAlignment="1">
      <alignment/>
    </xf>
    <xf numFmtId="1" fontId="110" fillId="0" borderId="11" xfId="0" applyNumberFormat="1" applyFont="1" applyBorder="1" applyAlignment="1">
      <alignment/>
    </xf>
    <xf numFmtId="3" fontId="108" fillId="0" borderId="17" xfId="0" applyNumberFormat="1" applyFont="1" applyBorder="1" applyAlignment="1">
      <alignment/>
    </xf>
    <xf numFmtId="3" fontId="12" fillId="0" borderId="62" xfId="0" applyNumberFormat="1" applyFont="1" applyBorder="1" applyAlignment="1">
      <alignment horizontal="center" wrapText="1"/>
    </xf>
    <xf numFmtId="3" fontId="12" fillId="0" borderId="28" xfId="0" applyNumberFormat="1" applyFont="1" applyBorder="1" applyAlignment="1">
      <alignment horizontal="center" wrapText="1"/>
    </xf>
    <xf numFmtId="3" fontId="12" fillId="0" borderId="39" xfId="0" applyNumberFormat="1" applyFont="1" applyBorder="1" applyAlignment="1">
      <alignment horizontal="center" wrapText="1"/>
    </xf>
    <xf numFmtId="0" fontId="66" fillId="0" borderId="21" xfId="0" applyFont="1" applyBorder="1" applyAlignment="1">
      <alignment horizontal="right" vertical="center"/>
    </xf>
    <xf numFmtId="0" fontId="66" fillId="0" borderId="27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8" fillId="0" borderId="21" xfId="0" applyNumberFormat="1" applyFont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2" fillId="0" borderId="2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8" fillId="0" borderId="6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0" fillId="0" borderId="2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ztisztvisel&#337;i%20illetm&#233;ny%202013.ktgv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3\K&#246;lts&#233;gvet&#233;s%202013.02.17\Mell&#233;klapok%20a%20megnyit&#225;shoz\K&#246;ztisztvisel&#337;i%20illetm&#233;nykorr.%202013.ktg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233;rt&#225;bla%202014%20&#233;vi%20k&#246;lts&#233;gvet&#233;shez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4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5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ndszergazda\Desktop\2015.%20&#233;vi%20k&#246;lts&#233;gvet&#233;s\b&#233;rt&#225;bla%202014%20&#233;vi%20k&#246;lts&#233;gvet&#233;she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letm."/>
      <sheetName val="ph."/>
      <sheetName val="khiv."/>
      <sheetName val="GEVSZ"/>
    </sheetNames>
    <sheetDataSet>
      <sheetData sheetId="3">
        <row r="10">
          <cell r="K10">
            <v>351000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lletm."/>
      <sheetName val="ph."/>
      <sheetName val="khiv."/>
      <sheetName val="GEVSZ"/>
    </sheetNames>
    <sheetDataSet>
      <sheetData sheetId="3">
        <row r="14">
          <cell r="J14">
            <v>6115500</v>
          </cell>
        </row>
        <row r="15">
          <cell r="J15">
            <v>371550</v>
          </cell>
        </row>
        <row r="16">
          <cell r="J16">
            <v>556560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VSZ"/>
      <sheetName val="Óvoda"/>
      <sheetName val="Munka3"/>
    </sheetNames>
    <sheetDataSet>
      <sheetData sheetId="0">
        <row r="7">
          <cell r="P7">
            <v>607800</v>
          </cell>
        </row>
        <row r="9">
          <cell r="P9">
            <v>11218505</v>
          </cell>
        </row>
        <row r="11">
          <cell r="P11">
            <v>1970900</v>
          </cell>
        </row>
        <row r="13">
          <cell r="P13">
            <v>1412000</v>
          </cell>
        </row>
        <row r="15">
          <cell r="P15">
            <v>1214500</v>
          </cell>
        </row>
        <row r="17">
          <cell r="P17">
            <v>2063280</v>
          </cell>
        </row>
        <row r="19">
          <cell r="P19">
            <v>1412000</v>
          </cell>
        </row>
        <row r="20">
          <cell r="P20">
            <v>1059000</v>
          </cell>
        </row>
        <row r="27">
          <cell r="P27">
            <v>5990500</v>
          </cell>
        </row>
      </sheetData>
      <sheetData sheetId="1">
        <row r="7">
          <cell r="Q7">
            <v>1481500</v>
          </cell>
        </row>
        <row r="9">
          <cell r="P9">
            <v>16582138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69041"/>
      <sheetName val="841403"/>
      <sheetName val="940000"/>
      <sheetName val="841154"/>
    </sheetNames>
    <sheetDataSet>
      <sheetData sheetId="1">
        <row r="7">
          <cell r="H7">
            <v>2900</v>
          </cell>
        </row>
      </sheetData>
      <sheetData sheetId="2">
        <row r="11">
          <cell r="G11">
            <v>13171</v>
          </cell>
        </row>
      </sheetData>
      <sheetData sheetId="3">
        <row r="15">
          <cell r="F15">
            <v>7209</v>
          </cell>
        </row>
      </sheetData>
      <sheetData sheetId="4">
        <row r="8">
          <cell r="F8">
            <v>380</v>
          </cell>
        </row>
      </sheetData>
      <sheetData sheetId="6">
        <row r="17">
          <cell r="F17">
            <v>673</v>
          </cell>
        </row>
      </sheetData>
      <sheetData sheetId="7">
        <row r="11">
          <cell r="F11">
            <v>475</v>
          </cell>
        </row>
      </sheetData>
      <sheetData sheetId="8">
        <row r="8">
          <cell r="E8">
            <v>15489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41403"/>
      <sheetName val="940000"/>
      <sheetName val="841154"/>
      <sheetName val="Munka1"/>
    </sheetNames>
    <sheetDataSet>
      <sheetData sheetId="1">
        <row r="7">
          <cell r="H7">
            <v>2900</v>
          </cell>
        </row>
      </sheetData>
      <sheetData sheetId="2">
        <row r="11">
          <cell r="H11">
            <v>13082</v>
          </cell>
        </row>
      </sheetData>
      <sheetData sheetId="3">
        <row r="15">
          <cell r="G15">
            <v>7209</v>
          </cell>
        </row>
      </sheetData>
      <sheetData sheetId="4">
        <row r="8">
          <cell r="G8">
            <v>465</v>
          </cell>
        </row>
      </sheetData>
      <sheetData sheetId="5">
        <row r="17">
          <cell r="G17">
            <v>0</v>
          </cell>
        </row>
      </sheetData>
      <sheetData sheetId="6">
        <row r="11">
          <cell r="G11">
            <v>550</v>
          </cell>
        </row>
      </sheetData>
      <sheetData sheetId="7">
        <row r="8">
          <cell r="G8">
            <v>10177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EVSZ"/>
      <sheetName val="Óvoda"/>
      <sheetName val="jutalom 2014 Óvoda"/>
      <sheetName val="jutalom 2014 GEVSZ"/>
      <sheetName val="KÖH"/>
    </sheetNames>
    <sheetDataSet>
      <sheetData sheetId="0">
        <row r="35">
          <cell r="P35">
            <v>9076200</v>
          </cell>
        </row>
        <row r="40">
          <cell r="P40">
            <v>4236000</v>
          </cell>
        </row>
        <row r="45">
          <cell r="P45">
            <v>4145200</v>
          </cell>
        </row>
        <row r="49">
          <cell r="P49">
            <v>2824000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6"/>
  <sheetViews>
    <sheetView view="pageBreakPreview" zoomScale="80" zoomScaleSheetLayoutView="80" zoomScalePageLayoutView="0" workbookViewId="0" topLeftCell="A1">
      <selection activeCell="D54" sqref="D54"/>
    </sheetView>
  </sheetViews>
  <sheetFormatPr defaultColWidth="8.66015625" defaultRowHeight="18"/>
  <cols>
    <col min="1" max="1" width="8.91015625" style="7" customWidth="1"/>
    <col min="2" max="2" width="35.75" style="7" customWidth="1"/>
    <col min="3" max="4" width="8.91015625" style="21" customWidth="1"/>
    <col min="5" max="16384" width="8.91015625" style="7" customWidth="1"/>
  </cols>
  <sheetData>
    <row r="1" spans="1:8" ht="18.75">
      <c r="A1" s="56"/>
      <c r="B1" s="57" t="s">
        <v>611</v>
      </c>
      <c r="C1" s="58"/>
      <c r="D1" s="331"/>
      <c r="E1" s="331"/>
      <c r="F1" s="58"/>
      <c r="G1" s="58"/>
      <c r="H1" s="58"/>
    </row>
    <row r="2" spans="1:8" ht="18.75">
      <c r="A2" s="59"/>
      <c r="B2" s="60"/>
      <c r="C2" s="58"/>
      <c r="D2" s="331"/>
      <c r="E2" s="331"/>
      <c r="F2" s="58"/>
      <c r="G2" s="58"/>
      <c r="H2" s="58"/>
    </row>
    <row r="3" spans="1:8" ht="18.75">
      <c r="A3" s="61" t="s">
        <v>231</v>
      </c>
      <c r="B3" s="57"/>
      <c r="C3" s="62" t="s">
        <v>232</v>
      </c>
      <c r="D3" s="332" t="s">
        <v>233</v>
      </c>
      <c r="E3" s="332"/>
      <c r="F3" s="62" t="s">
        <v>232</v>
      </c>
      <c r="G3" s="62" t="s">
        <v>233</v>
      </c>
      <c r="H3" s="62"/>
    </row>
    <row r="4" spans="1:8" ht="18.75">
      <c r="A4" s="56"/>
      <c r="B4" s="63"/>
      <c r="C4" s="156" t="s">
        <v>312</v>
      </c>
      <c r="D4" s="333" t="s">
        <v>312</v>
      </c>
      <c r="E4" s="333"/>
      <c r="F4" s="64"/>
      <c r="G4" s="64"/>
      <c r="H4" s="58"/>
    </row>
    <row r="5" spans="1:8" ht="15.75" customHeight="1">
      <c r="A5" s="56"/>
      <c r="B5" s="63"/>
      <c r="C5" s="58"/>
      <c r="D5" s="58"/>
      <c r="E5" s="58"/>
      <c r="F5" s="58"/>
      <c r="G5" s="58"/>
      <c r="H5" s="58"/>
    </row>
    <row r="6" spans="1:8" ht="15.75" customHeight="1">
      <c r="A6" s="65"/>
      <c r="B6" s="66"/>
      <c r="C6" s="67"/>
      <c r="D6" s="67"/>
      <c r="E6" s="67"/>
      <c r="F6" s="67"/>
      <c r="G6" s="67"/>
      <c r="H6" s="58"/>
    </row>
    <row r="7" spans="1:8" ht="15.75" customHeight="1">
      <c r="A7" s="65" t="s">
        <v>297</v>
      </c>
      <c r="B7" s="66"/>
      <c r="C7" s="67"/>
      <c r="D7" s="67"/>
      <c r="E7" s="67"/>
      <c r="F7" s="67"/>
      <c r="G7" s="67"/>
      <c r="H7" s="58"/>
    </row>
    <row r="8" spans="1:8" ht="15.75" customHeight="1">
      <c r="A8" s="65">
        <v>851011</v>
      </c>
      <c r="B8" s="66" t="s">
        <v>324</v>
      </c>
      <c r="C8" s="67">
        <f>'851011'!H76</f>
        <v>463</v>
      </c>
      <c r="D8" s="67">
        <f>'851011'!H71</f>
        <v>26847.82</v>
      </c>
      <c r="E8" s="67"/>
      <c r="F8" s="67"/>
      <c r="G8" s="67">
        <f>'851011'!F71</f>
        <v>27616.90626</v>
      </c>
      <c r="H8" s="58"/>
    </row>
    <row r="9" spans="1:8" ht="20.25" customHeight="1">
      <c r="A9" s="65">
        <v>841907</v>
      </c>
      <c r="B9" s="66"/>
      <c r="C9" s="67"/>
      <c r="D9" s="67"/>
      <c r="E9" s="67">
        <v>24700</v>
      </c>
      <c r="F9" s="67">
        <v>24700</v>
      </c>
      <c r="G9" s="67"/>
      <c r="H9" s="58"/>
    </row>
    <row r="10" spans="1:8" ht="15.75" customHeight="1">
      <c r="A10" s="159"/>
      <c r="B10" s="160"/>
      <c r="C10" s="161"/>
      <c r="D10" s="162"/>
      <c r="E10" s="525"/>
      <c r="F10" s="161"/>
      <c r="G10" s="523"/>
      <c r="H10" s="58"/>
    </row>
    <row r="11" spans="1:8" ht="15.75" customHeight="1" thickBot="1">
      <c r="A11" s="159" t="s">
        <v>323</v>
      </c>
      <c r="B11" s="160"/>
      <c r="C11" s="161"/>
      <c r="D11" s="162"/>
      <c r="E11" s="525"/>
      <c r="F11" s="161"/>
      <c r="G11" s="524"/>
      <c r="H11" s="58"/>
    </row>
    <row r="12" spans="1:8" ht="15.75" customHeight="1">
      <c r="A12" s="69">
        <v>370000</v>
      </c>
      <c r="B12" s="70" t="s">
        <v>239</v>
      </c>
      <c r="C12" s="81">
        <f>'[5]370000'!$G$15</f>
        <v>7209</v>
      </c>
      <c r="D12" s="71">
        <f>'370000'!G13</f>
        <v>5678</v>
      </c>
      <c r="E12" s="529"/>
      <c r="F12" s="81">
        <f>'[4]370000'!$F$15</f>
        <v>7209</v>
      </c>
      <c r="G12" s="71">
        <f>'370000'!E13</f>
        <v>5628</v>
      </c>
      <c r="H12" s="58"/>
    </row>
    <row r="13" spans="1:8" ht="15.75" customHeight="1">
      <c r="A13" s="163">
        <v>381103</v>
      </c>
      <c r="B13" s="164" t="s">
        <v>316</v>
      </c>
      <c r="C13" s="165">
        <f>'381103'!G37</f>
        <v>3175</v>
      </c>
      <c r="D13" s="559">
        <f>'381103'!H31</f>
        <v>16470.49</v>
      </c>
      <c r="E13" s="530"/>
      <c r="F13" s="165">
        <f>'381103'!E35</f>
        <v>1720</v>
      </c>
      <c r="G13" s="166">
        <f>'381103'!E29</f>
        <v>8714.75</v>
      </c>
      <c r="H13" s="58"/>
    </row>
    <row r="14" spans="1:8" ht="15.75" customHeight="1">
      <c r="A14" s="163">
        <v>522000</v>
      </c>
      <c r="B14" s="164" t="s">
        <v>317</v>
      </c>
      <c r="C14" s="165"/>
      <c r="D14" s="166">
        <f>'522000'!G38</f>
        <v>9836.87</v>
      </c>
      <c r="E14" s="530"/>
      <c r="F14" s="165"/>
      <c r="G14" s="166">
        <f>'522000'!$E$31</f>
        <v>0</v>
      </c>
      <c r="H14" s="58"/>
    </row>
    <row r="15" spans="1:8" ht="15.75" customHeight="1">
      <c r="A15" s="163">
        <v>562912</v>
      </c>
      <c r="B15" s="164" t="s">
        <v>279</v>
      </c>
      <c r="C15" s="165">
        <f>'562912'!I18</f>
        <v>2376</v>
      </c>
      <c r="D15" s="166">
        <f>'562912'!I11</f>
        <v>3362.4266</v>
      </c>
      <c r="E15" s="530"/>
      <c r="F15" s="165">
        <f>'562912'!G18</f>
        <v>2098</v>
      </c>
      <c r="G15" s="166">
        <f>'562912'!G11</f>
        <v>3137</v>
      </c>
      <c r="H15" s="58"/>
    </row>
    <row r="16" spans="1:8" ht="15.75" customHeight="1">
      <c r="A16" s="163">
        <v>562913</v>
      </c>
      <c r="B16" s="164" t="s">
        <v>280</v>
      </c>
      <c r="C16" s="165">
        <f>'562913'!G65</f>
        <v>6813.83448</v>
      </c>
      <c r="D16" s="166">
        <f>'562913'!G58</f>
        <v>29129.08</v>
      </c>
      <c r="E16" s="530"/>
      <c r="F16" s="165">
        <f>'562913'!E63</f>
        <v>3861</v>
      </c>
      <c r="G16" s="166">
        <f>'562913'!E58</f>
        <v>24683.917</v>
      </c>
      <c r="H16" s="58"/>
    </row>
    <row r="17" spans="1:8" ht="15.75" customHeight="1">
      <c r="A17" s="163">
        <v>562916</v>
      </c>
      <c r="B17" s="164" t="s">
        <v>325</v>
      </c>
      <c r="C17" s="165">
        <f>'562916'!F18</f>
        <v>6390.88765</v>
      </c>
      <c r="D17" s="166">
        <f>'562916'!F11</f>
        <v>3291.84</v>
      </c>
      <c r="E17" s="530"/>
      <c r="F17" s="165">
        <f>'562916'!D18</f>
        <v>4798</v>
      </c>
      <c r="G17" s="166">
        <f>'562916'!D11</f>
        <v>2721</v>
      </c>
      <c r="H17" s="58"/>
    </row>
    <row r="18" spans="1:8" ht="15.75" customHeight="1">
      <c r="A18" s="163">
        <v>562917</v>
      </c>
      <c r="B18" s="164" t="s">
        <v>281</v>
      </c>
      <c r="C18" s="165">
        <f>'562917'!G18</f>
        <v>4565.58015</v>
      </c>
      <c r="D18" s="166">
        <f>'562917'!G11</f>
        <v>2861.9767500000003</v>
      </c>
      <c r="E18" s="530"/>
      <c r="F18" s="165">
        <f>'562917'!E18</f>
        <v>4467</v>
      </c>
      <c r="G18" s="166">
        <f>'562917'!E11</f>
        <v>2739</v>
      </c>
      <c r="H18" s="58"/>
    </row>
    <row r="19" spans="1:8" ht="15.75" customHeight="1">
      <c r="A19" s="72">
        <v>682001</v>
      </c>
      <c r="B19" s="66" t="s">
        <v>240</v>
      </c>
      <c r="C19" s="67">
        <f>'[5]682001'!$H$7</f>
        <v>2900</v>
      </c>
      <c r="D19" s="73">
        <f>'680001'!G24</f>
        <v>127</v>
      </c>
      <c r="E19" s="531"/>
      <c r="F19" s="67">
        <f>'[4]682001'!$H$7</f>
        <v>2900</v>
      </c>
      <c r="G19" s="73">
        <f>'680001'!E24</f>
        <v>762</v>
      </c>
      <c r="H19" s="58"/>
    </row>
    <row r="20" spans="1:8" ht="15.75" customHeight="1">
      <c r="A20" s="72">
        <v>682002</v>
      </c>
      <c r="B20" s="66" t="s">
        <v>241</v>
      </c>
      <c r="C20" s="560">
        <f>'[5]682002'!$H$11</f>
        <v>13082</v>
      </c>
      <c r="D20" s="73">
        <f>'680002'!G30</f>
        <v>5715</v>
      </c>
      <c r="E20" s="531"/>
      <c r="F20" s="67">
        <f>'[4]682002'!$G$11</f>
        <v>13171</v>
      </c>
      <c r="G20" s="73">
        <f>'680002'!E30</f>
        <v>6477</v>
      </c>
      <c r="H20" s="58"/>
    </row>
    <row r="21" spans="1:8" ht="15.75" customHeight="1">
      <c r="A21" s="72">
        <v>750000</v>
      </c>
      <c r="B21" s="66" t="s">
        <v>242</v>
      </c>
      <c r="C21" s="67"/>
      <c r="D21" s="73">
        <f>'750000'!G15</f>
        <v>250</v>
      </c>
      <c r="E21" s="531"/>
      <c r="F21" s="67"/>
      <c r="G21" s="73">
        <f>'750000'!E15</f>
        <v>254</v>
      </c>
      <c r="H21" s="58"/>
    </row>
    <row r="22" spans="1:8" ht="15.75" customHeight="1">
      <c r="A22" s="72">
        <v>841358</v>
      </c>
      <c r="B22" s="66" t="s">
        <v>657</v>
      </c>
      <c r="C22" s="67"/>
      <c r="D22" s="73">
        <f>'841358'!H48</f>
        <v>3600</v>
      </c>
      <c r="E22" s="531"/>
      <c r="F22" s="67"/>
      <c r="G22" s="73">
        <f>'841358'!F48</f>
        <v>3600</v>
      </c>
      <c r="H22" s="58"/>
    </row>
    <row r="23" spans="1:8" ht="15.75" customHeight="1">
      <c r="A23" s="72">
        <v>811000</v>
      </c>
      <c r="B23" s="66" t="s">
        <v>318</v>
      </c>
      <c r="C23" s="67"/>
      <c r="D23" s="73">
        <f>'811000'!G28</f>
        <v>6964.54</v>
      </c>
      <c r="E23" s="531"/>
      <c r="F23" s="67"/>
      <c r="G23" s="73">
        <f>'811000'!E27</f>
        <v>0</v>
      </c>
      <c r="H23" s="58"/>
    </row>
    <row r="24" spans="1:8" ht="15.75" customHeight="1">
      <c r="A24" s="72">
        <v>813000</v>
      </c>
      <c r="B24" s="66" t="s">
        <v>319</v>
      </c>
      <c r="C24" s="67"/>
      <c r="D24" s="564">
        <f>'813000'!H62</f>
        <v>32746.07</v>
      </c>
      <c r="E24" s="531"/>
      <c r="F24" s="67"/>
      <c r="G24" s="73">
        <f>'813000'!E58</f>
        <v>0</v>
      </c>
      <c r="H24" s="58"/>
    </row>
    <row r="25" spans="1:8" ht="15.75" customHeight="1">
      <c r="A25" s="72">
        <v>841154</v>
      </c>
      <c r="B25" s="66" t="s">
        <v>610</v>
      </c>
      <c r="C25" s="67">
        <f>'[5]841154'!$G$8</f>
        <v>10177</v>
      </c>
      <c r="D25" s="73">
        <f>'841154'!G85</f>
        <v>37291.82</v>
      </c>
      <c r="E25" s="531"/>
      <c r="F25" s="67">
        <f>'[4]841154'!$E$8</f>
        <v>15489</v>
      </c>
      <c r="G25" s="73">
        <f>'841154'!E85</f>
        <v>38849.57035</v>
      </c>
      <c r="H25" s="58"/>
    </row>
    <row r="26" spans="1:8" ht="15.75" customHeight="1">
      <c r="A26" s="72">
        <v>841402</v>
      </c>
      <c r="B26" s="66" t="s">
        <v>234</v>
      </c>
      <c r="C26" s="67"/>
      <c r="D26" s="73">
        <f>'841402'!G22</f>
        <v>17780</v>
      </c>
      <c r="E26" s="531"/>
      <c r="F26" s="67"/>
      <c r="G26" s="73">
        <f>'841402'!E22</f>
        <v>15058.39</v>
      </c>
      <c r="H26" s="58"/>
    </row>
    <row r="27" spans="1:8" ht="15.75" customHeight="1">
      <c r="A27" s="72">
        <v>841403</v>
      </c>
      <c r="B27" s="66" t="s">
        <v>243</v>
      </c>
      <c r="C27" s="67">
        <f>'[5]841403'!$G$17</f>
        <v>0</v>
      </c>
      <c r="D27" s="73">
        <f>'841403'!G59</f>
        <v>68017.15</v>
      </c>
      <c r="E27" s="531"/>
      <c r="F27" s="67">
        <f>'[4]841403'!$F$17</f>
        <v>673</v>
      </c>
      <c r="G27" s="73">
        <f>'841403'!E59</f>
        <v>33988.08</v>
      </c>
      <c r="H27" s="58"/>
    </row>
    <row r="28" spans="1:8" ht="15.75" customHeight="1">
      <c r="A28" s="72">
        <v>842155</v>
      </c>
      <c r="B28" s="66" t="s">
        <v>226</v>
      </c>
      <c r="C28" s="67"/>
      <c r="D28" s="73">
        <f>'842155'!G14</f>
        <v>635</v>
      </c>
      <c r="E28" s="531"/>
      <c r="F28" s="67"/>
      <c r="G28" s="73">
        <f>'842155'!E14</f>
        <v>635</v>
      </c>
      <c r="H28" s="58"/>
    </row>
    <row r="29" spans="1:8" ht="15.75" customHeight="1">
      <c r="A29" s="72">
        <v>852011</v>
      </c>
      <c r="B29" s="66" t="s">
        <v>327</v>
      </c>
      <c r="C29" s="67"/>
      <c r="D29" s="73">
        <f>'852011'!F76</f>
        <v>19273.38</v>
      </c>
      <c r="E29" s="531"/>
      <c r="F29" s="67"/>
      <c r="G29" s="73">
        <f>'852011'!D72</f>
        <v>20860.976000000002</v>
      </c>
      <c r="H29" s="58">
        <v>1</v>
      </c>
    </row>
    <row r="30" spans="1:8" ht="15.75" customHeight="1">
      <c r="A30" s="72">
        <v>862101</v>
      </c>
      <c r="B30" s="66" t="s">
        <v>244</v>
      </c>
      <c r="C30" s="67"/>
      <c r="D30" s="73">
        <f>'862101'!G61</f>
        <v>7514.13</v>
      </c>
      <c r="E30" s="531"/>
      <c r="F30" s="67"/>
      <c r="G30" s="73">
        <f>'862101'!E61</f>
        <v>9034.127</v>
      </c>
      <c r="H30" s="58"/>
    </row>
    <row r="31" spans="1:8" ht="15.75" customHeight="1">
      <c r="A31" s="72">
        <v>862102</v>
      </c>
      <c r="B31" s="66" t="s">
        <v>212</v>
      </c>
      <c r="C31" s="67"/>
      <c r="D31" s="73">
        <f>'862102'!G12</f>
        <v>1200</v>
      </c>
      <c r="E31" s="531"/>
      <c r="F31" s="67"/>
      <c r="G31" s="73">
        <f>'862102'!E12</f>
        <v>1200</v>
      </c>
      <c r="H31" s="58"/>
    </row>
    <row r="32" spans="1:8" ht="15.75" customHeight="1">
      <c r="A32" s="72">
        <v>862231</v>
      </c>
      <c r="B32" s="66" t="s">
        <v>245</v>
      </c>
      <c r="C32" s="67"/>
      <c r="D32" s="73">
        <f>'862231'!G12</f>
        <v>300</v>
      </c>
      <c r="E32" s="531"/>
      <c r="F32" s="67"/>
      <c r="G32" s="73">
        <f>'862231'!E12</f>
        <v>160</v>
      </c>
      <c r="H32" s="58"/>
    </row>
    <row r="33" spans="1:8" ht="15.75" customHeight="1">
      <c r="A33" s="72">
        <v>862301</v>
      </c>
      <c r="B33" s="66" t="s">
        <v>210</v>
      </c>
      <c r="C33" s="67"/>
      <c r="D33" s="73">
        <f>'862102'!G12</f>
        <v>1200</v>
      </c>
      <c r="E33" s="531"/>
      <c r="F33" s="67"/>
      <c r="G33" s="73">
        <f>'862301'!E11</f>
        <v>1200</v>
      </c>
      <c r="H33" s="58"/>
    </row>
    <row r="34" spans="1:8" ht="15.75" customHeight="1">
      <c r="A34" s="72">
        <v>869041</v>
      </c>
      <c r="B34" s="66" t="s">
        <v>246</v>
      </c>
      <c r="C34" s="67"/>
      <c r="D34" s="73">
        <f>'869041'!G61</f>
        <v>4333.85</v>
      </c>
      <c r="E34" s="531"/>
      <c r="F34" s="67"/>
      <c r="G34" s="73">
        <f>'869041'!E61</f>
        <v>4931.8896</v>
      </c>
      <c r="H34" s="58"/>
    </row>
    <row r="35" spans="1:9" ht="15.75" customHeight="1">
      <c r="A35" s="77">
        <v>889921</v>
      </c>
      <c r="B35" s="78" t="s">
        <v>282</v>
      </c>
      <c r="C35" s="79">
        <f>'889921'!F18</f>
        <v>1985.1624</v>
      </c>
      <c r="D35" s="80">
        <f>'889921'!F11</f>
        <v>1245.108</v>
      </c>
      <c r="E35" s="532"/>
      <c r="F35" s="79">
        <f>'889921'!D18</f>
        <v>1815</v>
      </c>
      <c r="G35" s="80">
        <f>'889921'!D11</f>
        <v>1587</v>
      </c>
      <c r="H35" s="58">
        <f>C35+C18+C17+C16+C15</f>
        <v>22131.46468</v>
      </c>
      <c r="I35" s="58">
        <f>D35+D18+D17+D16+D15</f>
        <v>39890.43135</v>
      </c>
    </row>
    <row r="36" spans="1:8" ht="15.75" customHeight="1">
      <c r="A36" s="77">
        <v>889924</v>
      </c>
      <c r="B36" s="78" t="s">
        <v>247</v>
      </c>
      <c r="C36" s="79"/>
      <c r="D36" s="80">
        <f>'889924'!G13</f>
        <v>800</v>
      </c>
      <c r="E36" s="532"/>
      <c r="F36" s="79"/>
      <c r="G36" s="80">
        <f>'889924'!E13</f>
        <v>834</v>
      </c>
      <c r="H36" s="58"/>
    </row>
    <row r="37" spans="1:8" ht="15.75" customHeight="1">
      <c r="A37" s="77">
        <v>889928</v>
      </c>
      <c r="B37" s="78" t="s">
        <v>248</v>
      </c>
      <c r="C37" s="79"/>
      <c r="D37" s="80">
        <f>'889928'!G47</f>
        <v>4213.79</v>
      </c>
      <c r="E37" s="532"/>
      <c r="F37" s="79"/>
      <c r="G37" s="80">
        <f>'889928'!E47</f>
        <v>3682.828</v>
      </c>
      <c r="H37" s="58"/>
    </row>
    <row r="38" spans="1:8" ht="15.75" customHeight="1">
      <c r="A38" s="77">
        <v>890301</v>
      </c>
      <c r="B38" s="78" t="s">
        <v>213</v>
      </c>
      <c r="C38" s="79"/>
      <c r="D38" s="558">
        <f>'890301'!H12</f>
        <v>1020</v>
      </c>
      <c r="E38" s="532"/>
      <c r="F38" s="79"/>
      <c r="G38" s="80">
        <f>'890301'!E12</f>
        <v>1037</v>
      </c>
      <c r="H38" s="58"/>
    </row>
    <row r="39" spans="1:8" ht="31.5" customHeight="1">
      <c r="A39" s="98" t="s">
        <v>621</v>
      </c>
      <c r="B39" s="66" t="s">
        <v>268</v>
      </c>
      <c r="C39" s="67">
        <f>'890442'!G30+'890444'!F30</f>
        <v>4675</v>
      </c>
      <c r="D39" s="73">
        <f>'890442'!G25+'890444'!F25</f>
        <v>5663.650000000001</v>
      </c>
      <c r="E39" s="531"/>
      <c r="F39" s="67">
        <f>'890442'!E30+'890444'!D30</f>
        <v>3059.1475</v>
      </c>
      <c r="G39" s="73">
        <f>'890442'!E25+'890444'!D25</f>
        <v>3785.75875</v>
      </c>
      <c r="H39" s="58"/>
    </row>
    <row r="40" spans="1:8" ht="15.75" customHeight="1">
      <c r="A40" s="77">
        <v>910123</v>
      </c>
      <c r="B40" s="78" t="s">
        <v>249</v>
      </c>
      <c r="C40" s="79"/>
      <c r="D40" s="558">
        <f>'910123'!H52</f>
        <v>1031.97</v>
      </c>
      <c r="E40" s="532"/>
      <c r="F40" s="79"/>
      <c r="G40" s="80">
        <f>'910123'!E52</f>
        <v>902.9300000000001</v>
      </c>
      <c r="H40" s="58"/>
    </row>
    <row r="41" spans="1:8" ht="15.75" customHeight="1">
      <c r="A41" s="77">
        <v>910502</v>
      </c>
      <c r="B41" s="78" t="s">
        <v>250</v>
      </c>
      <c r="C41" s="79">
        <f>'[5]910502'!$G$8</f>
        <v>465</v>
      </c>
      <c r="D41" s="558">
        <f>'910502'!H57</f>
        <v>10496.08</v>
      </c>
      <c r="E41" s="532"/>
      <c r="F41" s="79">
        <f>'[4]910502'!$F$8</f>
        <v>380</v>
      </c>
      <c r="G41" s="80">
        <f>'910502'!E57</f>
        <v>10102.198999999999</v>
      </c>
      <c r="H41" s="58"/>
    </row>
    <row r="42" spans="1:8" ht="15.75" customHeight="1">
      <c r="A42" s="77">
        <v>932911</v>
      </c>
      <c r="B42" s="78" t="s">
        <v>320</v>
      </c>
      <c r="C42" s="79"/>
      <c r="D42" s="80">
        <f>'932911'!G17</f>
        <v>445</v>
      </c>
      <c r="E42" s="532"/>
      <c r="F42" s="79"/>
      <c r="G42" s="80">
        <f>'932911'!E17+0.5</f>
        <v>191</v>
      </c>
      <c r="H42" s="58"/>
    </row>
    <row r="43" spans="1:8" ht="15.75" customHeight="1">
      <c r="A43" s="77">
        <v>940000</v>
      </c>
      <c r="B43" s="78" t="s">
        <v>311</v>
      </c>
      <c r="C43" s="79">
        <f>'[5]940000'!$G$11</f>
        <v>550</v>
      </c>
      <c r="D43" s="80">
        <f>'940000'!G20</f>
        <v>774.7</v>
      </c>
      <c r="E43" s="532"/>
      <c r="F43" s="79">
        <f>'[4]940000'!$F$11</f>
        <v>475</v>
      </c>
      <c r="G43" s="80">
        <f>'940000'!E20</f>
        <v>444.5</v>
      </c>
      <c r="H43" s="58"/>
    </row>
    <row r="44" spans="1:8" ht="15.75" customHeight="1">
      <c r="A44" s="77">
        <v>960302</v>
      </c>
      <c r="B44" s="78" t="s">
        <v>283</v>
      </c>
      <c r="C44" s="79">
        <f>'960302'!G36</f>
        <v>200</v>
      </c>
      <c r="D44" s="80">
        <f>'960302'!G32</f>
        <v>1198.7</v>
      </c>
      <c r="E44" s="532"/>
      <c r="F44" s="79">
        <f>'960302'!E36</f>
        <v>150</v>
      </c>
      <c r="G44" s="80">
        <f>'960302'!E30</f>
        <v>1625.6</v>
      </c>
      <c r="H44" s="58"/>
    </row>
    <row r="45" spans="1:8" s="3" customFormat="1" ht="15.75" customHeight="1">
      <c r="A45" s="167"/>
      <c r="B45" s="168" t="s">
        <v>326</v>
      </c>
      <c r="C45" s="169">
        <f>SUM(C12:C44)</f>
        <v>64564.464680000005</v>
      </c>
      <c r="D45" s="169">
        <f>SUM(D12:D44)</f>
        <v>304467.62135</v>
      </c>
      <c r="E45" s="527"/>
      <c r="F45" s="169">
        <f>SUM(F12:F44)</f>
        <v>62265.1475</v>
      </c>
      <c r="G45" s="169">
        <f>SUM(G12:G44)</f>
        <v>208827.51570000002</v>
      </c>
      <c r="H45" s="68"/>
    </row>
    <row r="46" spans="1:8" ht="15.75" customHeight="1">
      <c r="A46" s="77">
        <v>841907</v>
      </c>
      <c r="B46" s="78" t="s">
        <v>612</v>
      </c>
      <c r="C46" s="79">
        <f>D45-C45</f>
        <v>239903.15666999997</v>
      </c>
      <c r="D46" s="80"/>
      <c r="E46" s="532"/>
      <c r="F46" s="79">
        <f>G45-F45</f>
        <v>146562.36820000003</v>
      </c>
      <c r="G46" s="80"/>
      <c r="H46" s="58"/>
    </row>
    <row r="47" spans="1:8" ht="15.75" customHeight="1">
      <c r="A47" s="77"/>
      <c r="B47" s="78" t="s">
        <v>326</v>
      </c>
      <c r="C47" s="79">
        <f>SUM(C45:C46)</f>
        <v>304467.62135</v>
      </c>
      <c r="D47" s="79">
        <f>SUM(D45:D46)</f>
        <v>304467.62135</v>
      </c>
      <c r="E47" s="526"/>
      <c r="F47" s="79">
        <f>SUM(F45:F46)</f>
        <v>208827.51570000002</v>
      </c>
      <c r="G47" s="79">
        <f>SUM(G45:G46)</f>
        <v>208827.51570000002</v>
      </c>
      <c r="H47" s="58"/>
    </row>
    <row r="48" spans="1:8" ht="15.75" customHeight="1">
      <c r="A48" s="77"/>
      <c r="B48" s="78"/>
      <c r="C48" s="79"/>
      <c r="D48" s="79"/>
      <c r="E48" s="526"/>
      <c r="F48" s="79"/>
      <c r="G48" s="79"/>
      <c r="H48" s="58"/>
    </row>
    <row r="49" spans="1:8" ht="15.75" customHeight="1">
      <c r="A49" s="77"/>
      <c r="B49" s="78" t="s">
        <v>616</v>
      </c>
      <c r="C49" s="79"/>
      <c r="D49" s="79"/>
      <c r="E49" s="526"/>
      <c r="F49" s="79">
        <f>F46+F9</f>
        <v>171262.36820000003</v>
      </c>
      <c r="G49" s="79"/>
      <c r="H49" s="58"/>
    </row>
    <row r="50" spans="1:8" ht="15.75" customHeight="1">
      <c r="A50" s="77"/>
      <c r="B50" s="78"/>
      <c r="C50" s="79"/>
      <c r="D50" s="79"/>
      <c r="E50" s="526"/>
      <c r="F50" s="79"/>
      <c r="G50" s="67"/>
      <c r="H50" s="58"/>
    </row>
    <row r="51" spans="1:8" ht="15.75" customHeight="1" thickBot="1">
      <c r="A51" s="74"/>
      <c r="B51" s="75" t="s">
        <v>615</v>
      </c>
      <c r="C51" s="76">
        <f>SUM(C45+C8)</f>
        <v>65027.464680000005</v>
      </c>
      <c r="D51" s="76">
        <f>SUM(D45+D8)</f>
        <v>331315.44135</v>
      </c>
      <c r="E51" s="528"/>
      <c r="F51" s="76">
        <f>F45+F8</f>
        <v>62265.1475</v>
      </c>
      <c r="G51" s="76">
        <f>G8+G45</f>
        <v>236444.42196</v>
      </c>
      <c r="H51" s="58"/>
    </row>
    <row r="52" spans="1:8" ht="15.75" customHeight="1">
      <c r="A52" s="56"/>
      <c r="B52" s="63"/>
      <c r="C52" s="58"/>
      <c r="D52" s="58"/>
      <c r="E52" s="58"/>
      <c r="F52" s="58"/>
      <c r="G52" s="58"/>
      <c r="H52" s="58"/>
    </row>
    <row r="56" ht="18.75">
      <c r="F56" s="7" t="s">
        <v>605</v>
      </c>
    </row>
  </sheetData>
  <sheetProtection/>
  <printOptions/>
  <pageMargins left="0.7" right="0.7" top="0.75" bottom="0.75" header="0.3" footer="0.3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view="pageBreakPreview" zoomScale="60" zoomScalePageLayoutView="0" workbookViewId="0" topLeftCell="A1">
      <selection activeCell="R28" sqref="R28"/>
    </sheetView>
  </sheetViews>
  <sheetFormatPr defaultColWidth="8.66015625" defaultRowHeight="18"/>
  <cols>
    <col min="1" max="1" width="16.41015625" style="21" customWidth="1"/>
    <col min="2" max="2" width="29.58203125" style="21" customWidth="1"/>
    <col min="3" max="3" width="8.41015625" style="21" customWidth="1"/>
    <col min="4" max="4" width="7.66015625" style="21" customWidth="1"/>
    <col min="5" max="5" width="11.25" style="21" bestFit="1" customWidth="1"/>
    <col min="6" max="16384" width="8.91015625" style="21" customWidth="1"/>
  </cols>
  <sheetData>
    <row r="1" spans="1:2" ht="19.5" thickBot="1">
      <c r="A1" s="3">
        <v>680001</v>
      </c>
      <c r="B1" s="107" t="s">
        <v>228</v>
      </c>
    </row>
    <row r="2" spans="1:4" ht="19.5" thickTop="1">
      <c r="A2" s="23"/>
      <c r="B2" s="3"/>
      <c r="C2" s="20"/>
      <c r="D2" s="108"/>
    </row>
    <row r="3" spans="1:7" ht="31.5" customHeight="1">
      <c r="A3" s="34" t="s">
        <v>161</v>
      </c>
      <c r="B3" s="34"/>
      <c r="C3" s="54" t="s">
        <v>265</v>
      </c>
      <c r="D3" s="43" t="s">
        <v>285</v>
      </c>
      <c r="E3" s="449" t="s">
        <v>651</v>
      </c>
      <c r="F3" s="41" t="s">
        <v>656</v>
      </c>
      <c r="G3" s="41" t="s">
        <v>653</v>
      </c>
    </row>
    <row r="4" spans="1:8" ht="18.75">
      <c r="A4" s="36"/>
      <c r="B4" s="34" t="s">
        <v>229</v>
      </c>
      <c r="C4" s="43"/>
      <c r="D4" s="43"/>
      <c r="E4" s="129"/>
      <c r="F4" s="34"/>
      <c r="G4" s="34"/>
      <c r="H4" t="s">
        <v>786</v>
      </c>
    </row>
    <row r="5" spans="1:7" ht="18.75">
      <c r="A5" s="36"/>
      <c r="B5" s="36" t="s">
        <v>287</v>
      </c>
      <c r="C5" s="43"/>
      <c r="D5" s="43"/>
      <c r="E5" s="302"/>
      <c r="F5" s="34"/>
      <c r="G5" s="34"/>
    </row>
    <row r="6" spans="1:7" ht="18.75">
      <c r="A6" s="36"/>
      <c r="B6" s="36" t="s">
        <v>63</v>
      </c>
      <c r="C6" s="43">
        <f>SUM(C4:C5)</f>
        <v>0</v>
      </c>
      <c r="D6" s="43"/>
      <c r="E6" s="129"/>
      <c r="F6" s="34"/>
      <c r="G6" s="34"/>
    </row>
    <row r="7" spans="1:7" ht="18.75">
      <c r="A7" s="36"/>
      <c r="B7" s="36"/>
      <c r="C7" s="43"/>
      <c r="D7" s="43"/>
      <c r="E7" s="129"/>
      <c r="F7" s="34"/>
      <c r="G7" s="34"/>
    </row>
    <row r="8" spans="1:7" ht="18.75">
      <c r="A8" s="34" t="s">
        <v>111</v>
      </c>
      <c r="B8" s="36"/>
      <c r="C8" s="34"/>
      <c r="D8" s="34"/>
      <c r="E8" s="129"/>
      <c r="F8" s="34"/>
      <c r="G8" s="34"/>
    </row>
    <row r="9" spans="1:7" ht="18.75">
      <c r="A9" s="34">
        <v>54913</v>
      </c>
      <c r="B9" s="34" t="s">
        <v>32</v>
      </c>
      <c r="C9" s="43">
        <v>50</v>
      </c>
      <c r="D9" s="43">
        <v>50</v>
      </c>
      <c r="E9" s="450">
        <v>50</v>
      </c>
      <c r="F9" s="34">
        <v>38</v>
      </c>
      <c r="G9" s="34">
        <v>50</v>
      </c>
    </row>
    <row r="10" spans="1:7" ht="18.75">
      <c r="A10" s="34">
        <v>54712</v>
      </c>
      <c r="B10" s="34" t="s">
        <v>154</v>
      </c>
      <c r="C10" s="43">
        <v>300</v>
      </c>
      <c r="D10" s="43">
        <v>300</v>
      </c>
      <c r="E10" s="129"/>
      <c r="F10" s="34"/>
      <c r="G10" s="34"/>
    </row>
    <row r="11" spans="1:7" ht="18.75">
      <c r="A11" s="36">
        <v>54</v>
      </c>
      <c r="B11" s="36" t="s">
        <v>124</v>
      </c>
      <c r="C11" s="43">
        <f>SUM(C9:C10)</f>
        <v>350</v>
      </c>
      <c r="D11" s="43">
        <f>SUM(D9:D10)</f>
        <v>350</v>
      </c>
      <c r="E11" s="334">
        <f>SUM(E9:E10)</f>
        <v>50</v>
      </c>
      <c r="F11" s="334">
        <f>SUM(F9:F10)</f>
        <v>38</v>
      </c>
      <c r="G11" s="334">
        <f>SUM(G9:G10)</f>
        <v>50</v>
      </c>
    </row>
    <row r="12" spans="1:7" ht="18.75">
      <c r="A12" s="36"/>
      <c r="B12" s="36"/>
      <c r="C12" s="43"/>
      <c r="D12" s="43"/>
      <c r="E12" s="129"/>
      <c r="F12" s="34"/>
      <c r="G12" s="34"/>
    </row>
    <row r="13" spans="1:8" ht="48" customHeight="1">
      <c r="A13" s="34">
        <v>552181</v>
      </c>
      <c r="B13" s="97" t="s">
        <v>255</v>
      </c>
      <c r="C13" s="44">
        <v>200</v>
      </c>
      <c r="D13" s="44">
        <v>200</v>
      </c>
      <c r="E13" s="451">
        <f>200+300</f>
        <v>500</v>
      </c>
      <c r="F13" s="510">
        <v>158</v>
      </c>
      <c r="G13" s="34">
        <v>50</v>
      </c>
      <c r="H13" t="s">
        <v>787</v>
      </c>
    </row>
    <row r="14" spans="1:7" ht="37.5">
      <c r="A14" s="34">
        <v>5531</v>
      </c>
      <c r="B14" s="437" t="s">
        <v>618</v>
      </c>
      <c r="C14" s="44"/>
      <c r="D14" s="44"/>
      <c r="E14" s="129">
        <v>50</v>
      </c>
      <c r="F14" s="34">
        <v>270</v>
      </c>
      <c r="G14" s="34"/>
    </row>
    <row r="15" spans="1:7" ht="18.75">
      <c r="A15" s="36">
        <v>55</v>
      </c>
      <c r="B15" s="36" t="s">
        <v>51</v>
      </c>
      <c r="C15" s="43">
        <f>SUM(C13:C14)</f>
        <v>200</v>
      </c>
      <c r="D15" s="43">
        <f>SUM(D13:D14)</f>
        <v>200</v>
      </c>
      <c r="E15" s="334">
        <f>SUM(E13:E14)</f>
        <v>550</v>
      </c>
      <c r="F15" s="334">
        <f>SUM(F13:F14)</f>
        <v>428</v>
      </c>
      <c r="G15" s="334">
        <f>SUM(G13:G14)</f>
        <v>50</v>
      </c>
    </row>
    <row r="16" spans="1:7" ht="18.75">
      <c r="A16" s="36"/>
      <c r="B16" s="36"/>
      <c r="C16" s="43"/>
      <c r="D16" s="43"/>
      <c r="E16" s="129"/>
      <c r="F16" s="34"/>
      <c r="G16" s="34"/>
    </row>
    <row r="17" spans="1:7" ht="18.75">
      <c r="A17" s="34">
        <v>56111</v>
      </c>
      <c r="B17" s="34" t="s">
        <v>52</v>
      </c>
      <c r="C17" s="44">
        <v>149</v>
      </c>
      <c r="D17" s="44">
        <f>(D15+D11)*0.27</f>
        <v>148.5</v>
      </c>
      <c r="E17" s="451">
        <f>(E15+E11)*27%</f>
        <v>162</v>
      </c>
      <c r="F17" s="34">
        <v>126</v>
      </c>
      <c r="G17" s="34">
        <v>27</v>
      </c>
    </row>
    <row r="18" spans="1:7" ht="18.75">
      <c r="A18" s="36">
        <v>56</v>
      </c>
      <c r="B18" s="36" t="s">
        <v>53</v>
      </c>
      <c r="C18" s="43">
        <f>SUM(C17:C17)</f>
        <v>149</v>
      </c>
      <c r="D18" s="43">
        <f>SUM(D17:D17)</f>
        <v>148.5</v>
      </c>
      <c r="E18" s="334">
        <f>SUM(E17:E17)</f>
        <v>162</v>
      </c>
      <c r="F18" s="334">
        <f>SUM(F17:F17)</f>
        <v>126</v>
      </c>
      <c r="G18" s="334">
        <f>SUM(G17:G17)</f>
        <v>27</v>
      </c>
    </row>
    <row r="19" spans="1:7" ht="18.75">
      <c r="A19" s="36"/>
      <c r="B19" s="36"/>
      <c r="C19" s="43"/>
      <c r="D19" s="43"/>
      <c r="E19" s="129"/>
      <c r="F19" s="34"/>
      <c r="G19" s="34"/>
    </row>
    <row r="20" spans="1:7" ht="18.75">
      <c r="A20" s="36"/>
      <c r="B20" s="36" t="s">
        <v>29</v>
      </c>
      <c r="C20" s="43">
        <f>SUM(C18,C15,C11)</f>
        <v>699</v>
      </c>
      <c r="D20" s="43">
        <f>SUM(D18,D15,D11)</f>
        <v>698.5</v>
      </c>
      <c r="E20" s="334">
        <f>SUM(E18,E15,E11)</f>
        <v>762</v>
      </c>
      <c r="F20" s="334">
        <f>SUM(F18,F15,F11)</f>
        <v>592</v>
      </c>
      <c r="G20" s="334">
        <f>SUM(G18,G15,G11)</f>
        <v>127</v>
      </c>
    </row>
    <row r="21" spans="1:7" ht="18.75">
      <c r="A21" s="36"/>
      <c r="B21" s="36"/>
      <c r="C21" s="34"/>
      <c r="D21" s="34"/>
      <c r="E21" s="129"/>
      <c r="F21" s="34"/>
      <c r="G21" s="34"/>
    </row>
    <row r="22" spans="1:7" ht="18.75">
      <c r="A22" s="36"/>
      <c r="B22" s="36"/>
      <c r="C22" s="44"/>
      <c r="D22" s="44"/>
      <c r="E22" s="129"/>
      <c r="F22" s="34"/>
      <c r="G22" s="34"/>
    </row>
    <row r="23" spans="1:7" ht="18.75">
      <c r="A23" s="34"/>
      <c r="B23" s="34"/>
      <c r="C23" s="34"/>
      <c r="D23" s="34"/>
      <c r="E23" s="129"/>
      <c r="F23" s="34"/>
      <c r="G23" s="34"/>
    </row>
    <row r="24" spans="1:7" ht="18.75">
      <c r="A24" s="572" t="s">
        <v>0</v>
      </c>
      <c r="B24" s="573"/>
      <c r="C24" s="43">
        <f>SUM(C20)</f>
        <v>699</v>
      </c>
      <c r="D24" s="43">
        <f>SUM(D20)</f>
        <v>698.5</v>
      </c>
      <c r="E24" s="334">
        <f>SUM(E20)</f>
        <v>762</v>
      </c>
      <c r="F24" s="334">
        <f>SUM(F20)</f>
        <v>592</v>
      </c>
      <c r="G24" s="334">
        <f>SUM(G20)</f>
        <v>127</v>
      </c>
    </row>
    <row r="25" spans="1:7" ht="18.75">
      <c r="A25" s="34"/>
      <c r="B25" s="34"/>
      <c r="C25" s="44"/>
      <c r="D25" s="34"/>
      <c r="F25" s="34"/>
      <c r="G25" s="34"/>
    </row>
  </sheetData>
  <sheetProtection/>
  <mergeCells count="1">
    <mergeCell ref="A24:B24"/>
  </mergeCells>
  <printOptions/>
  <pageMargins left="0.7" right="0.7" top="0.75" bottom="0.75" header="0.3" footer="0.3"/>
  <pageSetup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H31"/>
  <sheetViews>
    <sheetView view="pageBreakPreview" zoomScale="60" zoomScalePageLayoutView="0" workbookViewId="0" topLeftCell="A1">
      <selection activeCell="G17" sqref="G17"/>
    </sheetView>
  </sheetViews>
  <sheetFormatPr defaultColWidth="8.66015625" defaultRowHeight="18"/>
  <cols>
    <col min="1" max="1" width="9.25" style="21" customWidth="1"/>
    <col min="2" max="2" width="29.58203125" style="21" customWidth="1"/>
    <col min="3" max="3" width="9.25" style="21" customWidth="1"/>
    <col min="4" max="4" width="8.33203125" style="21" customWidth="1"/>
    <col min="5" max="5" width="11" style="21" customWidth="1"/>
    <col min="6" max="6" width="8.91015625" style="21" customWidth="1"/>
    <col min="7" max="7" width="9.41015625" style="21" customWidth="1"/>
    <col min="8" max="16384" width="8.91015625" style="21" customWidth="1"/>
  </cols>
  <sheetData>
    <row r="2" spans="1:3" ht="18.75">
      <c r="A2" s="3"/>
      <c r="B2" s="3"/>
      <c r="C2" s="4"/>
    </row>
    <row r="3" spans="1:3" ht="19.5">
      <c r="A3" s="5"/>
      <c r="B3" s="5"/>
      <c r="C3" s="24"/>
    </row>
    <row r="4" spans="1:2" ht="19.5" thickBot="1">
      <c r="A4" s="3">
        <v>680002</v>
      </c>
      <c r="B4" s="19" t="s">
        <v>254</v>
      </c>
    </row>
    <row r="5" spans="1:4" ht="20.25" thickBot="1" thickTop="1">
      <c r="A5" s="31"/>
      <c r="B5" s="3"/>
      <c r="C5" s="20"/>
      <c r="D5" s="108"/>
    </row>
    <row r="6" spans="1:3" ht="19.5" thickTop="1">
      <c r="A6" s="21" t="s">
        <v>110</v>
      </c>
      <c r="C6" s="4"/>
    </row>
    <row r="7" spans="1:4" ht="18.75">
      <c r="A7" s="3"/>
      <c r="C7" s="4"/>
      <c r="D7" s="4"/>
    </row>
    <row r="8" spans="1:4" ht="18.75">
      <c r="A8" s="3"/>
      <c r="B8" s="3"/>
      <c r="C8" s="4"/>
      <c r="D8" s="4"/>
    </row>
    <row r="9" spans="1:4" ht="18.75">
      <c r="A9" s="3"/>
      <c r="B9" s="3" t="s">
        <v>63</v>
      </c>
      <c r="C9" s="4">
        <f>SUM(C7:C8)</f>
        <v>0</v>
      </c>
      <c r="D9" s="4"/>
    </row>
    <row r="10" spans="1:4" ht="18.75">
      <c r="A10" s="3"/>
      <c r="B10" s="3"/>
      <c r="C10" s="4"/>
      <c r="D10" s="4"/>
    </row>
    <row r="11" spans="1:7" ht="37.5">
      <c r="A11" s="34" t="s">
        <v>111</v>
      </c>
      <c r="B11" s="36"/>
      <c r="C11" s="54" t="s">
        <v>269</v>
      </c>
      <c r="D11" s="43" t="s">
        <v>285</v>
      </c>
      <c r="E11" s="452" t="s">
        <v>651</v>
      </c>
      <c r="F11" s="41" t="s">
        <v>655</v>
      </c>
      <c r="G11" s="41" t="s">
        <v>653</v>
      </c>
    </row>
    <row r="12" spans="1:7" ht="18.75">
      <c r="A12" s="34">
        <v>54913</v>
      </c>
      <c r="B12" s="34" t="s">
        <v>32</v>
      </c>
      <c r="C12" s="43">
        <v>50</v>
      </c>
      <c r="D12" s="43">
        <v>50</v>
      </c>
      <c r="E12" s="450">
        <v>100</v>
      </c>
      <c r="F12" s="34">
        <v>42</v>
      </c>
      <c r="G12" s="34">
        <v>100</v>
      </c>
    </row>
    <row r="13" spans="1:7" ht="18.75">
      <c r="A13" s="34">
        <v>54712</v>
      </c>
      <c r="B13" s="34" t="s">
        <v>154</v>
      </c>
      <c r="C13" s="43"/>
      <c r="D13" s="43"/>
      <c r="E13" s="129"/>
      <c r="F13" s="34"/>
      <c r="G13" s="34"/>
    </row>
    <row r="14" spans="1:7" ht="18.75">
      <c r="A14" s="36">
        <v>54</v>
      </c>
      <c r="B14" s="36" t="s">
        <v>124</v>
      </c>
      <c r="C14" s="43">
        <f>SUM(C12:C13)</f>
        <v>50</v>
      </c>
      <c r="D14" s="43">
        <f>SUM(D12:D13)</f>
        <v>50</v>
      </c>
      <c r="E14" s="334">
        <f>SUM(E12:E13)</f>
        <v>100</v>
      </c>
      <c r="F14" s="334">
        <f>SUM(F12:F13)</f>
        <v>42</v>
      </c>
      <c r="G14" s="334">
        <f>SUM(G12:G13)</f>
        <v>100</v>
      </c>
    </row>
    <row r="15" spans="1:7" ht="18.75">
      <c r="A15" s="36"/>
      <c r="B15" s="36"/>
      <c r="C15" s="43"/>
      <c r="D15" s="43"/>
      <c r="E15" s="129"/>
      <c r="F15" s="34"/>
      <c r="G15" s="34"/>
    </row>
    <row r="16" spans="1:7" ht="18.75">
      <c r="A16" s="34">
        <v>552181</v>
      </c>
      <c r="B16" s="34" t="s">
        <v>26</v>
      </c>
      <c r="C16" s="44">
        <v>200</v>
      </c>
      <c r="D16" s="44">
        <v>200</v>
      </c>
      <c r="E16" s="450">
        <v>200</v>
      </c>
      <c r="F16" s="34">
        <v>135</v>
      </c>
      <c r="G16" s="34">
        <v>200</v>
      </c>
    </row>
    <row r="17" spans="1:7" ht="18.75">
      <c r="A17" s="34">
        <v>552129</v>
      </c>
      <c r="B17" s="34" t="s">
        <v>158</v>
      </c>
      <c r="C17" s="44">
        <v>900</v>
      </c>
      <c r="D17" s="44">
        <v>900</v>
      </c>
      <c r="E17" s="129">
        <v>900</v>
      </c>
      <c r="F17" s="34">
        <v>985</v>
      </c>
      <c r="G17" s="34">
        <v>700</v>
      </c>
    </row>
    <row r="18" spans="1:7" ht="35.25">
      <c r="A18" s="34">
        <v>555121</v>
      </c>
      <c r="B18" s="97" t="s">
        <v>151</v>
      </c>
      <c r="C18" s="44">
        <v>3500</v>
      </c>
      <c r="D18" s="44">
        <v>4800</v>
      </c>
      <c r="E18" s="129">
        <v>3800</v>
      </c>
      <c r="F18" s="34">
        <v>3100</v>
      </c>
      <c r="G18" s="34">
        <v>3400</v>
      </c>
    </row>
    <row r="19" spans="1:7" ht="37.5">
      <c r="A19" s="34">
        <v>554121</v>
      </c>
      <c r="B19" s="97" t="s">
        <v>289</v>
      </c>
      <c r="C19" s="44">
        <v>5000</v>
      </c>
      <c r="D19" s="44"/>
      <c r="E19" s="129"/>
      <c r="F19" s="34"/>
      <c r="G19" s="34"/>
    </row>
    <row r="20" spans="1:8" ht="18.75">
      <c r="A20" s="34">
        <v>5531</v>
      </c>
      <c r="B20" s="97" t="s">
        <v>155</v>
      </c>
      <c r="C20" s="44">
        <v>27</v>
      </c>
      <c r="D20" s="44">
        <v>50</v>
      </c>
      <c r="E20" s="129">
        <v>100</v>
      </c>
      <c r="F20" s="511">
        <v>86</v>
      </c>
      <c r="G20" s="34">
        <v>100</v>
      </c>
      <c r="H20" s="41" t="s">
        <v>288</v>
      </c>
    </row>
    <row r="21" spans="1:7" ht="18.75">
      <c r="A21" s="40">
        <v>55</v>
      </c>
      <c r="B21" s="40" t="s">
        <v>51</v>
      </c>
      <c r="C21" s="43">
        <f>SUM(C16:C20)</f>
        <v>9627</v>
      </c>
      <c r="D21" s="43">
        <f>SUM(D16:D20)</f>
        <v>5950</v>
      </c>
      <c r="E21" s="334">
        <f>SUM(E16:E20)</f>
        <v>5000</v>
      </c>
      <c r="F21" s="334">
        <f>SUM(F16:F20)</f>
        <v>4306</v>
      </c>
      <c r="G21" s="334">
        <f>SUM(G16:G20)</f>
        <v>4400</v>
      </c>
    </row>
    <row r="22" spans="1:7" ht="18.75">
      <c r="A22" s="40"/>
      <c r="B22" s="40"/>
      <c r="C22" s="43"/>
      <c r="D22" s="43"/>
      <c r="E22" s="129"/>
      <c r="F22" s="34"/>
      <c r="G22" s="34"/>
    </row>
    <row r="23" spans="1:7" ht="18.75">
      <c r="A23" s="34">
        <v>56111</v>
      </c>
      <c r="B23" s="34" t="s">
        <v>52</v>
      </c>
      <c r="C23" s="44">
        <f>(C21+C14)*0.27</f>
        <v>2612.79</v>
      </c>
      <c r="D23" s="44">
        <f>(D21+D14)*0.27</f>
        <v>1620</v>
      </c>
      <c r="E23" s="451">
        <f>(E14+E21)*27%</f>
        <v>1377</v>
      </c>
      <c r="F23" s="34">
        <v>976</v>
      </c>
      <c r="G23" s="34">
        <f>(G21+G14)*27%</f>
        <v>1215</v>
      </c>
    </row>
    <row r="24" spans="1:7" ht="18.75">
      <c r="A24" s="40">
        <v>56</v>
      </c>
      <c r="B24" s="40" t="s">
        <v>53</v>
      </c>
      <c r="C24" s="43">
        <f>SUM(C23:C23)</f>
        <v>2612.79</v>
      </c>
      <c r="D24" s="43">
        <f>SUM(D23:D23)</f>
        <v>1620</v>
      </c>
      <c r="E24" s="334">
        <f>SUM(E23:E23)</f>
        <v>1377</v>
      </c>
      <c r="F24" s="334">
        <f>SUM(F23:F23)</f>
        <v>976</v>
      </c>
      <c r="G24" s="334">
        <f>SUM(G23:G23)</f>
        <v>1215</v>
      </c>
    </row>
    <row r="25" spans="1:7" ht="18.75">
      <c r="A25" s="40"/>
      <c r="B25" s="40"/>
      <c r="C25" s="43"/>
      <c r="D25" s="43"/>
      <c r="E25" s="129"/>
      <c r="F25" s="34"/>
      <c r="G25" s="34"/>
    </row>
    <row r="26" spans="1:7" ht="18.75">
      <c r="A26" s="40"/>
      <c r="B26" s="40" t="s">
        <v>29</v>
      </c>
      <c r="C26" s="43">
        <f>SUM(C24,C21,C14)</f>
        <v>12289.79</v>
      </c>
      <c r="D26" s="43">
        <f>SUM(D24,D21,D14)</f>
        <v>7620</v>
      </c>
      <c r="E26" s="334">
        <f>SUM(E24,E21,E14)</f>
        <v>6477</v>
      </c>
      <c r="F26" s="334">
        <f>SUM(F24,F21,F14)</f>
        <v>5324</v>
      </c>
      <c r="G26" s="334">
        <f>SUM(G24,G21,G14)</f>
        <v>5715</v>
      </c>
    </row>
    <row r="27" spans="1:7" ht="18.75">
      <c r="A27" s="40"/>
      <c r="B27" s="40"/>
      <c r="C27" s="34"/>
      <c r="D27" s="34"/>
      <c r="E27" s="129"/>
      <c r="F27" s="34"/>
      <c r="G27" s="34"/>
    </row>
    <row r="28" spans="1:7" ht="18.75">
      <c r="A28" s="40"/>
      <c r="B28" s="40"/>
      <c r="C28" s="51"/>
      <c r="D28" s="44"/>
      <c r="E28" s="129"/>
      <c r="F28" s="34"/>
      <c r="G28" s="34"/>
    </row>
    <row r="29" spans="1:7" ht="18.75">
      <c r="A29" s="34"/>
      <c r="B29" s="34"/>
      <c r="C29" s="44"/>
      <c r="D29" s="34"/>
      <c r="E29" s="129"/>
      <c r="F29" s="34"/>
      <c r="G29" s="34"/>
    </row>
    <row r="30" spans="1:7" ht="18.75">
      <c r="A30" s="574" t="s">
        <v>0</v>
      </c>
      <c r="B30" s="573"/>
      <c r="C30" s="51">
        <f>SUM(C26+C9)</f>
        <v>12289.79</v>
      </c>
      <c r="D30" s="43">
        <f>SUM(D26)</f>
        <v>7620</v>
      </c>
      <c r="E30" s="334">
        <f>SUM(E26)</f>
        <v>6477</v>
      </c>
      <c r="F30" s="334">
        <f>SUM(F26)</f>
        <v>5324</v>
      </c>
      <c r="G30" s="334">
        <f>SUM(G26)</f>
        <v>5715</v>
      </c>
    </row>
    <row r="31" spans="1:7" ht="18.75">
      <c r="A31" s="34"/>
      <c r="B31" s="34"/>
      <c r="C31" s="44"/>
      <c r="D31" s="34"/>
      <c r="E31" s="23"/>
      <c r="F31" s="34"/>
      <c r="G31" s="34"/>
    </row>
  </sheetData>
  <sheetProtection/>
  <mergeCells count="1">
    <mergeCell ref="A30:B30"/>
  </mergeCells>
  <printOptions/>
  <pageMargins left="0.7" right="0.7" top="0.75" bottom="0.75" header="0.3" footer="0.3"/>
  <pageSetup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3:G15"/>
  <sheetViews>
    <sheetView view="pageBreakPreview" zoomScale="60" zoomScalePageLayoutView="0" workbookViewId="0" topLeftCell="A1">
      <selection activeCell="F9" sqref="F9"/>
    </sheetView>
  </sheetViews>
  <sheetFormatPr defaultColWidth="8.66015625" defaultRowHeight="18"/>
  <cols>
    <col min="1" max="1" width="9.08203125" style="21" bestFit="1" customWidth="1"/>
    <col min="2" max="2" width="32.66015625" style="21" customWidth="1"/>
    <col min="3" max="3" width="7.75" style="21" customWidth="1"/>
    <col min="4" max="4" width="8.25" style="21" customWidth="1"/>
    <col min="5" max="5" width="10.91015625" style="21" customWidth="1"/>
    <col min="6" max="16384" width="8.91015625" style="21" customWidth="1"/>
  </cols>
  <sheetData>
    <row r="3" spans="1:2" ht="19.5" thickBot="1">
      <c r="A3" s="3">
        <v>750000</v>
      </c>
      <c r="B3" s="109" t="s">
        <v>195</v>
      </c>
    </row>
    <row r="4" spans="1:7" ht="19.5" thickBot="1">
      <c r="A4" s="32"/>
      <c r="C4" s="21" t="s">
        <v>266</v>
      </c>
      <c r="D4" s="16" t="s">
        <v>285</v>
      </c>
      <c r="E4" s="82">
        <v>41695</v>
      </c>
      <c r="F4" t="s">
        <v>652</v>
      </c>
      <c r="G4" t="s">
        <v>653</v>
      </c>
    </row>
    <row r="6" spans="1:7" ht="18.75">
      <c r="A6" s="34"/>
      <c r="B6" s="34"/>
      <c r="C6" s="36"/>
      <c r="D6" s="36"/>
      <c r="E6" s="34"/>
      <c r="F6" s="34"/>
      <c r="G6" s="34"/>
    </row>
    <row r="7" spans="1:7" ht="18.75">
      <c r="A7" s="34">
        <v>55219</v>
      </c>
      <c r="B7" s="34" t="s">
        <v>87</v>
      </c>
      <c r="C7" s="34">
        <v>4</v>
      </c>
      <c r="D7" s="34">
        <v>4</v>
      </c>
      <c r="E7" s="42">
        <v>4</v>
      </c>
      <c r="F7" s="34"/>
      <c r="G7" s="34"/>
    </row>
    <row r="8" spans="1:7" ht="18.75">
      <c r="A8" s="34">
        <v>5531</v>
      </c>
      <c r="B8" s="34" t="s">
        <v>88</v>
      </c>
      <c r="C8" s="34">
        <v>200</v>
      </c>
      <c r="D8" s="34">
        <v>200</v>
      </c>
      <c r="E8" s="36">
        <v>250</v>
      </c>
      <c r="F8" s="34">
        <v>250</v>
      </c>
      <c r="G8" s="34">
        <v>250</v>
      </c>
    </row>
    <row r="9" spans="1:7" ht="18.75">
      <c r="A9" s="34">
        <v>55</v>
      </c>
      <c r="B9" s="34" t="s">
        <v>51</v>
      </c>
      <c r="C9" s="34">
        <f>SUM(C7:C8)</f>
        <v>204</v>
      </c>
      <c r="D9" s="34">
        <f>SUM(D7:D8)</f>
        <v>204</v>
      </c>
      <c r="E9" s="36">
        <f>SUM(E7:E8)</f>
        <v>254</v>
      </c>
      <c r="F9" s="36">
        <f>SUM(F7:F8)</f>
        <v>250</v>
      </c>
      <c r="G9" s="36">
        <f>SUM(G7:G8)</f>
        <v>250</v>
      </c>
    </row>
    <row r="10" spans="1:7" ht="18.75">
      <c r="A10" s="34"/>
      <c r="B10" s="34"/>
      <c r="C10" s="34"/>
      <c r="D10" s="34"/>
      <c r="E10" s="34"/>
      <c r="F10" s="34"/>
      <c r="G10" s="34"/>
    </row>
    <row r="11" spans="1:7" ht="18.75">
      <c r="A11" s="34">
        <v>56111</v>
      </c>
      <c r="B11" s="34" t="s">
        <v>54</v>
      </c>
      <c r="C11" s="34"/>
      <c r="D11" s="34"/>
      <c r="E11" s="34"/>
      <c r="F11" s="34"/>
      <c r="G11" s="34"/>
    </row>
    <row r="12" spans="1:7" ht="18.75">
      <c r="A12" s="34"/>
      <c r="B12" s="34"/>
      <c r="C12" s="34"/>
      <c r="D12" s="34"/>
      <c r="E12" s="34"/>
      <c r="F12" s="34"/>
      <c r="G12" s="34"/>
    </row>
    <row r="13" spans="1:7" ht="18.75">
      <c r="A13" s="34"/>
      <c r="B13" s="34" t="s">
        <v>71</v>
      </c>
      <c r="C13" s="34">
        <f>SUM(C9,C11)</f>
        <v>204</v>
      </c>
      <c r="D13" s="34">
        <f>SUM(D9,D11)</f>
        <v>204</v>
      </c>
      <c r="E13" s="36">
        <f>SUM(E9,E11)</f>
        <v>254</v>
      </c>
      <c r="F13" s="36">
        <f>SUM(F9,F11)</f>
        <v>250</v>
      </c>
      <c r="G13" s="36">
        <f>SUM(G9,G11)</f>
        <v>250</v>
      </c>
    </row>
    <row r="14" spans="1:7" ht="18.75">
      <c r="A14" s="34"/>
      <c r="B14" s="34"/>
      <c r="C14" s="34"/>
      <c r="D14" s="34"/>
      <c r="E14" s="34"/>
      <c r="F14" s="34"/>
      <c r="G14" s="34"/>
    </row>
    <row r="15" spans="1:7" ht="18.75">
      <c r="A15" s="36"/>
      <c r="B15" s="36" t="s">
        <v>0</v>
      </c>
      <c r="C15" s="34">
        <f>SUM(C13)</f>
        <v>204</v>
      </c>
      <c r="D15" s="34">
        <f>SUM(D13)</f>
        <v>204</v>
      </c>
      <c r="E15" s="36">
        <f>SUM(E13)</f>
        <v>254</v>
      </c>
      <c r="F15" s="36">
        <f>SUM(F13)</f>
        <v>250</v>
      </c>
      <c r="G15" s="36">
        <f>SUM(G13)</f>
        <v>250</v>
      </c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view="pageBreakPreview" zoomScale="60" zoomScalePageLayoutView="0" workbookViewId="0" topLeftCell="A1">
      <selection activeCell="H10" sqref="H10"/>
    </sheetView>
  </sheetViews>
  <sheetFormatPr defaultColWidth="8.66015625" defaultRowHeight="18"/>
  <cols>
    <col min="1" max="1" width="10.75" style="11" customWidth="1"/>
    <col min="2" max="2" width="37.66015625" style="11" customWidth="1"/>
    <col min="3" max="3" width="1.58203125" style="11" customWidth="1"/>
    <col min="4" max="4" width="7.41015625" style="11" customWidth="1"/>
    <col min="5" max="5" width="7.58203125" style="11" customWidth="1"/>
    <col min="6" max="6" width="7.41015625" style="11" customWidth="1"/>
    <col min="7" max="16384" width="8.91015625" style="11" customWidth="1"/>
  </cols>
  <sheetData>
    <row r="1" spans="1:2" ht="16.5" thickBot="1">
      <c r="A1" s="12">
        <v>841348</v>
      </c>
      <c r="B1" s="10" t="s">
        <v>658</v>
      </c>
    </row>
    <row r="2" spans="1:8" ht="31.5" thickTop="1">
      <c r="A2" s="13"/>
      <c r="B2" s="14"/>
      <c r="C2" s="17"/>
      <c r="D2" s="338" t="s">
        <v>266</v>
      </c>
      <c r="E2" s="338" t="s">
        <v>285</v>
      </c>
      <c r="F2" s="46" t="s">
        <v>651</v>
      </c>
      <c r="G2" s="11" t="s">
        <v>652</v>
      </c>
      <c r="H2" s="11" t="s">
        <v>653</v>
      </c>
    </row>
    <row r="3" spans="1:8" ht="15.75">
      <c r="A3" s="25">
        <v>381134</v>
      </c>
      <c r="B3" s="28" t="s">
        <v>120</v>
      </c>
      <c r="C3" s="208"/>
      <c r="D3" s="26">
        <v>3600</v>
      </c>
      <c r="E3" s="26">
        <v>3600</v>
      </c>
      <c r="F3" s="25">
        <v>3600</v>
      </c>
      <c r="G3" s="11">
        <v>3600</v>
      </c>
      <c r="H3" s="11">
        <v>3600</v>
      </c>
    </row>
    <row r="4" spans="1:6" ht="15.75">
      <c r="A4" s="28"/>
      <c r="B4" s="28"/>
      <c r="C4" s="337"/>
      <c r="D4" s="46"/>
      <c r="E4" s="25"/>
      <c r="F4" s="25"/>
    </row>
    <row r="5" spans="1:6" ht="15">
      <c r="A5" s="25">
        <v>516</v>
      </c>
      <c r="B5" s="25" t="s">
        <v>122</v>
      </c>
      <c r="C5" s="126"/>
      <c r="D5" s="25"/>
      <c r="E5" s="25"/>
      <c r="F5" s="25"/>
    </row>
    <row r="6" spans="1:6" ht="15">
      <c r="A6" s="25"/>
      <c r="B6" s="25" t="s">
        <v>142</v>
      </c>
      <c r="C6" s="126"/>
      <c r="D6" s="25"/>
      <c r="E6" s="25"/>
      <c r="F6" s="25"/>
    </row>
    <row r="7" spans="1:6" ht="15">
      <c r="A7" s="25"/>
      <c r="B7" s="25" t="s">
        <v>178</v>
      </c>
      <c r="C7" s="126"/>
      <c r="D7" s="25"/>
      <c r="E7" s="25"/>
      <c r="F7" s="25"/>
    </row>
    <row r="8" spans="1:6" ht="15">
      <c r="A8" s="25"/>
      <c r="B8" s="25" t="s">
        <v>150</v>
      </c>
      <c r="C8" s="126"/>
      <c r="D8" s="25"/>
      <c r="E8" s="25"/>
      <c r="F8" s="25"/>
    </row>
    <row r="9" spans="1:6" ht="15">
      <c r="A9" s="25">
        <v>51313</v>
      </c>
      <c r="B9" s="25" t="s">
        <v>30</v>
      </c>
      <c r="C9" s="126"/>
      <c r="D9" s="25"/>
      <c r="E9" s="25"/>
      <c r="F9" s="25"/>
    </row>
    <row r="10" spans="1:6" ht="15">
      <c r="A10" s="25">
        <v>51319</v>
      </c>
      <c r="B10" s="25" t="s">
        <v>177</v>
      </c>
      <c r="C10" s="126"/>
      <c r="D10" s="25"/>
      <c r="E10" s="25"/>
      <c r="F10" s="25"/>
    </row>
    <row r="11" spans="1:6" ht="15">
      <c r="A11" s="25">
        <v>5131912</v>
      </c>
      <c r="B11" s="25" t="s">
        <v>40</v>
      </c>
      <c r="C11" s="126"/>
      <c r="D11" s="25"/>
      <c r="E11" s="25"/>
      <c r="F11" s="25"/>
    </row>
    <row r="12" spans="1:6" ht="15">
      <c r="A12" s="25">
        <v>51414</v>
      </c>
      <c r="B12" s="25" t="s">
        <v>39</v>
      </c>
      <c r="C12" s="126"/>
      <c r="D12" s="25"/>
      <c r="E12" s="25"/>
      <c r="F12" s="25"/>
    </row>
    <row r="13" spans="1:6" ht="15">
      <c r="A13" s="25">
        <v>51412</v>
      </c>
      <c r="B13" s="25" t="s">
        <v>27</v>
      </c>
      <c r="C13" s="126"/>
      <c r="D13" s="25"/>
      <c r="E13" s="25"/>
      <c r="F13" s="25"/>
    </row>
    <row r="14" spans="1:6" ht="15.75">
      <c r="A14" s="28">
        <v>51</v>
      </c>
      <c r="B14" s="28" t="s">
        <v>50</v>
      </c>
      <c r="C14" s="120"/>
      <c r="D14" s="30"/>
      <c r="E14" s="25"/>
      <c r="F14" s="25"/>
    </row>
    <row r="15" spans="1:6" ht="8.25" customHeight="1">
      <c r="A15" s="25"/>
      <c r="B15" s="25"/>
      <c r="C15" s="126"/>
      <c r="D15" s="25"/>
      <c r="E15" s="25"/>
      <c r="F15" s="25"/>
    </row>
    <row r="16" spans="1:6" ht="15">
      <c r="A16" s="25">
        <v>5311</v>
      </c>
      <c r="B16" s="25" t="s">
        <v>2</v>
      </c>
      <c r="C16" s="126"/>
      <c r="D16" s="25"/>
      <c r="E16" s="25"/>
      <c r="F16" s="25"/>
    </row>
    <row r="17" spans="1:6" ht="15">
      <c r="A17" s="25">
        <v>5321</v>
      </c>
      <c r="B17" s="25" t="s">
        <v>3</v>
      </c>
      <c r="C17" s="126"/>
      <c r="D17" s="25"/>
      <c r="E17" s="25"/>
      <c r="F17" s="25"/>
    </row>
    <row r="18" spans="1:6" ht="15">
      <c r="A18" s="25">
        <v>5331</v>
      </c>
      <c r="B18" s="25" t="s">
        <v>4</v>
      </c>
      <c r="C18" s="126"/>
      <c r="D18" s="25"/>
      <c r="E18" s="25"/>
      <c r="F18" s="25"/>
    </row>
    <row r="19" spans="1:6" ht="15">
      <c r="A19" s="25">
        <v>5341</v>
      </c>
      <c r="B19" s="25" t="s">
        <v>42</v>
      </c>
      <c r="C19" s="126"/>
      <c r="D19" s="25"/>
      <c r="E19" s="25"/>
      <c r="F19" s="25"/>
    </row>
    <row r="20" spans="1:6" ht="15.75">
      <c r="A20" s="28">
        <v>53</v>
      </c>
      <c r="B20" s="28" t="s">
        <v>5</v>
      </c>
      <c r="C20" s="120"/>
      <c r="D20" s="30"/>
      <c r="E20" s="25"/>
      <c r="F20" s="25"/>
    </row>
    <row r="21" spans="1:6" ht="10.5" customHeight="1">
      <c r="A21" s="25"/>
      <c r="B21" s="25"/>
      <c r="C21" s="126"/>
      <c r="D21" s="25"/>
      <c r="E21" s="25"/>
      <c r="F21" s="25"/>
    </row>
    <row r="22" spans="1:6" ht="15">
      <c r="A22" s="25">
        <v>5441</v>
      </c>
      <c r="B22" s="25" t="s">
        <v>31</v>
      </c>
      <c r="C22" s="126"/>
      <c r="D22" s="25"/>
      <c r="E22" s="25"/>
      <c r="F22" s="25"/>
    </row>
    <row r="23" spans="1:6" ht="15">
      <c r="A23" s="25">
        <v>5481</v>
      </c>
      <c r="B23" s="25" t="s">
        <v>130</v>
      </c>
      <c r="C23" s="126"/>
      <c r="D23" s="25"/>
      <c r="E23" s="25"/>
      <c r="F23" s="25"/>
    </row>
    <row r="24" spans="1:6" ht="15">
      <c r="A24" s="25">
        <v>5471</v>
      </c>
      <c r="B24" s="25" t="s">
        <v>116</v>
      </c>
      <c r="C24" s="126"/>
      <c r="D24" s="25"/>
      <c r="E24" s="25"/>
      <c r="F24" s="25"/>
    </row>
    <row r="25" spans="1:6" ht="15">
      <c r="A25" s="25">
        <v>5491</v>
      </c>
      <c r="B25" s="25" t="s">
        <v>32</v>
      </c>
      <c r="C25" s="126"/>
      <c r="D25" s="25"/>
      <c r="E25" s="25"/>
      <c r="F25" s="25"/>
    </row>
    <row r="26" spans="1:6" ht="15.75">
      <c r="A26" s="28">
        <v>54</v>
      </c>
      <c r="B26" s="28" t="s">
        <v>7</v>
      </c>
      <c r="C26" s="120"/>
      <c r="D26" s="30"/>
      <c r="E26" s="30"/>
      <c r="F26" s="25"/>
    </row>
    <row r="27" spans="1:6" ht="10.5" customHeight="1">
      <c r="A27" s="25"/>
      <c r="B27" s="25"/>
      <c r="C27" s="126"/>
      <c r="D27" s="25"/>
      <c r="E27" s="25"/>
      <c r="F27" s="25"/>
    </row>
    <row r="28" spans="1:6" ht="15">
      <c r="A28" s="25">
        <v>55111</v>
      </c>
      <c r="B28" s="25" t="s">
        <v>33</v>
      </c>
      <c r="C28" s="126"/>
      <c r="D28" s="25"/>
      <c r="E28" s="25"/>
      <c r="F28" s="25"/>
    </row>
    <row r="29" spans="1:6" ht="15">
      <c r="A29" s="25">
        <v>55119</v>
      </c>
      <c r="B29" s="25" t="s">
        <v>123</v>
      </c>
      <c r="C29" s="126"/>
      <c r="D29" s="25"/>
      <c r="E29" s="25"/>
      <c r="F29" s="25"/>
    </row>
    <row r="30" spans="1:6" ht="15">
      <c r="A30" s="25">
        <v>55214</v>
      </c>
      <c r="B30" s="25" t="s">
        <v>36</v>
      </c>
      <c r="C30" s="126"/>
      <c r="D30" s="25"/>
      <c r="E30" s="25"/>
      <c r="F30" s="25"/>
    </row>
    <row r="31" spans="1:6" ht="15">
      <c r="A31" s="25">
        <v>55215</v>
      </c>
      <c r="B31" s="25" t="s">
        <v>35</v>
      </c>
      <c r="C31" s="126"/>
      <c r="D31" s="25"/>
      <c r="E31" s="25"/>
      <c r="F31" s="25"/>
    </row>
    <row r="32" spans="1:6" ht="15">
      <c r="A32" s="25">
        <v>55217</v>
      </c>
      <c r="B32" s="25" t="s">
        <v>12</v>
      </c>
      <c r="C32" s="126"/>
      <c r="D32" s="25"/>
      <c r="E32" s="25"/>
      <c r="F32" s="25"/>
    </row>
    <row r="33" spans="1:6" ht="15">
      <c r="A33" s="25">
        <v>552181</v>
      </c>
      <c r="B33" s="25" t="s">
        <v>26</v>
      </c>
      <c r="C33" s="126"/>
      <c r="D33" s="25"/>
      <c r="E33" s="25"/>
      <c r="F33" s="25"/>
    </row>
    <row r="34" spans="1:6" ht="15">
      <c r="A34" s="25">
        <v>552191</v>
      </c>
      <c r="B34" s="25" t="s">
        <v>37</v>
      </c>
      <c r="C34" s="126"/>
      <c r="D34" s="25"/>
      <c r="E34" s="25"/>
      <c r="F34" s="25"/>
    </row>
    <row r="35" spans="1:6" ht="15">
      <c r="A35" s="25">
        <v>5532</v>
      </c>
      <c r="B35" s="25" t="s">
        <v>147</v>
      </c>
      <c r="C35" s="126"/>
      <c r="D35" s="25"/>
      <c r="E35" s="25"/>
      <c r="F35" s="25"/>
    </row>
    <row r="36" spans="1:6" ht="15.75">
      <c r="A36" s="28">
        <v>55</v>
      </c>
      <c r="B36" s="28" t="s">
        <v>16</v>
      </c>
      <c r="C36" s="120"/>
      <c r="D36" s="30"/>
      <c r="E36" s="30"/>
      <c r="F36" s="25"/>
    </row>
    <row r="37" spans="1:6" ht="9.75" customHeight="1">
      <c r="A37" s="25"/>
      <c r="B37" s="25"/>
      <c r="C37" s="126"/>
      <c r="D37" s="25"/>
      <c r="E37" s="25"/>
      <c r="F37" s="25"/>
    </row>
    <row r="38" spans="1:6" ht="15">
      <c r="A38" s="25">
        <v>56111</v>
      </c>
      <c r="B38" s="25" t="s">
        <v>38</v>
      </c>
      <c r="C38" s="126"/>
      <c r="D38" s="25"/>
      <c r="E38" s="25"/>
      <c r="F38" s="25"/>
    </row>
    <row r="39" spans="1:6" ht="15">
      <c r="A39" s="25">
        <v>56211</v>
      </c>
      <c r="B39" s="25" t="s">
        <v>18</v>
      </c>
      <c r="C39" s="126"/>
      <c r="D39" s="25"/>
      <c r="E39" s="25"/>
      <c r="F39" s="25"/>
    </row>
    <row r="40" spans="1:6" ht="15">
      <c r="A40" s="25">
        <v>56214</v>
      </c>
      <c r="B40" s="25" t="s">
        <v>144</v>
      </c>
      <c r="C40" s="126"/>
      <c r="D40" s="25"/>
      <c r="E40" s="25"/>
      <c r="F40" s="25"/>
    </row>
    <row r="41" spans="1:6" ht="15.75">
      <c r="A41" s="28">
        <v>56</v>
      </c>
      <c r="B41" s="28" t="s">
        <v>20</v>
      </c>
      <c r="C41" s="120"/>
      <c r="D41" s="30"/>
      <c r="E41" s="30"/>
      <c r="F41" s="25"/>
    </row>
    <row r="42" spans="1:6" ht="7.5" customHeight="1">
      <c r="A42" s="25"/>
      <c r="B42" s="25"/>
      <c r="C42" s="126"/>
      <c r="D42" s="25"/>
      <c r="E42" s="25"/>
      <c r="F42" s="25"/>
    </row>
    <row r="43" spans="1:6" ht="15">
      <c r="A43" s="25">
        <v>572132</v>
      </c>
      <c r="B43" s="25" t="s">
        <v>22</v>
      </c>
      <c r="C43" s="126"/>
      <c r="D43" s="25"/>
      <c r="E43" s="25"/>
      <c r="F43" s="25"/>
    </row>
    <row r="44" spans="1:6" ht="15.75">
      <c r="A44" s="28">
        <v>57</v>
      </c>
      <c r="B44" s="28" t="s">
        <v>23</v>
      </c>
      <c r="C44" s="126"/>
      <c r="D44" s="25"/>
      <c r="E44" s="25"/>
      <c r="F44" s="25"/>
    </row>
    <row r="45" spans="1:6" ht="7.5" customHeight="1">
      <c r="A45" s="28"/>
      <c r="B45" s="28"/>
      <c r="C45" s="126"/>
      <c r="D45" s="25"/>
      <c r="E45" s="25"/>
      <c r="F45" s="25"/>
    </row>
    <row r="46" spans="1:6" ht="15.75">
      <c r="A46" s="28"/>
      <c r="B46" s="28" t="s">
        <v>29</v>
      </c>
      <c r="C46" s="126"/>
      <c r="D46" s="25"/>
      <c r="E46" s="25"/>
      <c r="F46" s="25"/>
    </row>
    <row r="47" spans="1:6" ht="7.5" customHeight="1">
      <c r="A47" s="28"/>
      <c r="B47" s="28"/>
      <c r="C47" s="126"/>
      <c r="D47" s="25"/>
      <c r="E47" s="25"/>
      <c r="F47" s="25"/>
    </row>
    <row r="48" spans="1:8" ht="16.5" thickBot="1">
      <c r="A48" s="10"/>
      <c r="B48" s="10" t="s">
        <v>0</v>
      </c>
      <c r="C48" s="45"/>
      <c r="D48" s="30">
        <f>SUM(D3)</f>
        <v>3600</v>
      </c>
      <c r="E48" s="29">
        <f>SUM(E46,E20,E14,E3)</f>
        <v>3600</v>
      </c>
      <c r="F48" s="29">
        <f>SUM(F46,F20,F14,F3)</f>
        <v>3600</v>
      </c>
      <c r="G48" s="29">
        <f>SUM(G46,G20,G14,G3)</f>
        <v>3600</v>
      </c>
      <c r="H48" s="29">
        <f>SUM(H46,H20,H14,H3)</f>
        <v>3600</v>
      </c>
    </row>
    <row r="49" spans="3:4" ht="15.75" thickTop="1">
      <c r="C49" s="13"/>
      <c r="D49" s="13"/>
    </row>
    <row r="50" spans="3:4" ht="15">
      <c r="C50" s="13"/>
      <c r="D50" s="13"/>
    </row>
    <row r="51" spans="3:4" ht="15">
      <c r="C51" s="13"/>
      <c r="D51" s="13"/>
    </row>
  </sheetData>
  <sheetProtection/>
  <printOptions/>
  <pageMargins left="0.7" right="0.7" top="0.75" bottom="0.75" header="0.3" footer="0.3"/>
  <pageSetup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BreakPreview" zoomScale="60" zoomScalePageLayoutView="0" workbookViewId="0" topLeftCell="A1">
      <selection activeCell="H12" sqref="H12"/>
    </sheetView>
  </sheetViews>
  <sheetFormatPr defaultColWidth="8.66015625" defaultRowHeight="18"/>
  <cols>
    <col min="1" max="1" width="10.25" style="174" customWidth="1"/>
    <col min="2" max="2" width="31.66015625" style="30" customWidth="1"/>
    <col min="3" max="3" width="7.25" style="120" customWidth="1"/>
    <col min="4" max="4" width="7" style="120" customWidth="1"/>
    <col min="5" max="5" width="10.91015625" style="30" customWidth="1"/>
    <col min="6" max="7" width="8.91015625" style="30" customWidth="1"/>
    <col min="8" max="8" width="9.33203125" style="30" bestFit="1" customWidth="1"/>
    <col min="9" max="16384" width="8.91015625" style="30" customWidth="1"/>
  </cols>
  <sheetData>
    <row r="1" ht="15">
      <c r="D1" s="30"/>
    </row>
    <row r="2" spans="1:7" ht="15.75">
      <c r="A2" s="178">
        <v>811000</v>
      </c>
      <c r="B2" s="29" t="s">
        <v>407</v>
      </c>
      <c r="C2" s="208" t="s">
        <v>266</v>
      </c>
      <c r="D2" s="26" t="s">
        <v>285</v>
      </c>
      <c r="E2" s="46" t="s">
        <v>651</v>
      </c>
      <c r="F2" s="30" t="s">
        <v>755</v>
      </c>
      <c r="G2" s="30" t="s">
        <v>750</v>
      </c>
    </row>
    <row r="3" spans="4:5" ht="15.75">
      <c r="D3" s="30"/>
      <c r="E3" s="35"/>
    </row>
    <row r="4" spans="1:7" ht="15">
      <c r="A4" s="174">
        <v>5111112</v>
      </c>
      <c r="B4" s="30" t="s">
        <v>406</v>
      </c>
      <c r="C4" s="339"/>
      <c r="D4" s="179">
        <v>4087</v>
      </c>
      <c r="E4" s="25">
        <f>'[6]GEVSZ'!$P$40/1000</f>
        <v>4236</v>
      </c>
      <c r="G4" s="30">
        <v>4380</v>
      </c>
    </row>
    <row r="5" spans="2:7" ht="15">
      <c r="B5" s="30" t="s">
        <v>224</v>
      </c>
      <c r="C5" s="339"/>
      <c r="D5" s="179"/>
      <c r="E5" s="25">
        <v>50</v>
      </c>
      <c r="G5" s="30">
        <v>86</v>
      </c>
    </row>
    <row r="6" spans="1:7" ht="15.75">
      <c r="A6" s="174">
        <v>512192</v>
      </c>
      <c r="B6" s="30" t="s">
        <v>839</v>
      </c>
      <c r="D6" s="30">
        <v>30</v>
      </c>
      <c r="E6" s="35"/>
      <c r="G6" s="30">
        <v>366</v>
      </c>
    </row>
    <row r="7" spans="1:7" ht="15.75">
      <c r="A7" s="174">
        <v>514142</v>
      </c>
      <c r="B7" s="30" t="s">
        <v>344</v>
      </c>
      <c r="D7" s="30">
        <v>300</v>
      </c>
      <c r="E7" s="35">
        <v>240</v>
      </c>
      <c r="G7" s="30">
        <v>450</v>
      </c>
    </row>
    <row r="8" spans="3:5" ht="15.75">
      <c r="C8" s="231"/>
      <c r="D8" s="497"/>
      <c r="E8" s="498"/>
    </row>
    <row r="9" spans="2:7" ht="15.75">
      <c r="B9" s="29" t="s">
        <v>405</v>
      </c>
      <c r="C9" s="340">
        <v>4253</v>
      </c>
      <c r="D9" s="341">
        <f>SUM(D4:D7)</f>
        <v>4417</v>
      </c>
      <c r="E9" s="341">
        <f>SUM(E4:E7)</f>
        <v>4526</v>
      </c>
      <c r="F9" s="341">
        <f>SUM(F4:F7)</f>
        <v>0</v>
      </c>
      <c r="G9" s="341">
        <f>SUM(G4:G7)</f>
        <v>5282</v>
      </c>
    </row>
    <row r="10" spans="4:5" ht="15.75">
      <c r="D10" s="30"/>
      <c r="E10" s="35"/>
    </row>
    <row r="11" spans="1:8" ht="15.75">
      <c r="A11" s="174">
        <v>53115</v>
      </c>
      <c r="B11" s="30" t="s">
        <v>404</v>
      </c>
      <c r="C11" s="339"/>
      <c r="D11" s="179">
        <v>1193</v>
      </c>
      <c r="E11" s="170">
        <f>(E4+E6)*27%</f>
        <v>1143.72</v>
      </c>
      <c r="G11" s="30">
        <f>H11*27%</f>
        <v>1304.64</v>
      </c>
      <c r="H11" s="30">
        <f>G9-G7</f>
        <v>4832</v>
      </c>
    </row>
    <row r="12" spans="1:7" ht="15.75">
      <c r="A12" s="174">
        <v>5321</v>
      </c>
      <c r="B12" s="30" t="s">
        <v>515</v>
      </c>
      <c r="D12" s="30"/>
      <c r="E12" s="35">
        <v>40</v>
      </c>
      <c r="G12" s="30">
        <v>75</v>
      </c>
    </row>
    <row r="13" spans="1:7" ht="15.75">
      <c r="A13" s="174">
        <v>5341</v>
      </c>
      <c r="B13" s="30" t="s">
        <v>783</v>
      </c>
      <c r="D13" s="30"/>
      <c r="E13" s="35"/>
      <c r="G13" s="30">
        <v>87</v>
      </c>
    </row>
    <row r="14" spans="2:7" ht="15.75">
      <c r="B14" s="29" t="s">
        <v>343</v>
      </c>
      <c r="C14" s="340">
        <v>1060</v>
      </c>
      <c r="D14" s="341">
        <f>SUM(D11:D13)</f>
        <v>1193</v>
      </c>
      <c r="E14" s="341">
        <f>SUM(E11:E13)</f>
        <v>1183.72</v>
      </c>
      <c r="F14" s="341">
        <f>SUM(F11:F13)</f>
        <v>0</v>
      </c>
      <c r="G14" s="341">
        <f>SUM(G11:G13)</f>
        <v>1466.64</v>
      </c>
    </row>
    <row r="15" spans="2:5" ht="15.75">
      <c r="B15" s="29"/>
      <c r="D15" s="30"/>
      <c r="E15" s="35"/>
    </row>
    <row r="16" spans="2:5" ht="15.75">
      <c r="B16" s="29"/>
      <c r="D16" s="30"/>
      <c r="E16" s="35"/>
    </row>
    <row r="17" spans="1:8" ht="15">
      <c r="A17" s="174">
        <v>5481</v>
      </c>
      <c r="B17" s="30" t="s">
        <v>28</v>
      </c>
      <c r="C17" s="120">
        <v>120</v>
      </c>
      <c r="D17" s="30">
        <v>90</v>
      </c>
      <c r="E17" s="25">
        <v>120</v>
      </c>
      <c r="F17" s="30">
        <v>90</v>
      </c>
      <c r="G17" s="30">
        <v>120</v>
      </c>
      <c r="H17" s="30" t="s">
        <v>756</v>
      </c>
    </row>
    <row r="18" spans="1:5" ht="15.75">
      <c r="A18" s="174">
        <v>12</v>
      </c>
      <c r="B18" s="30" t="s">
        <v>341</v>
      </c>
      <c r="C18" s="120">
        <v>12</v>
      </c>
      <c r="D18" s="30">
        <v>12</v>
      </c>
      <c r="E18" s="35"/>
    </row>
    <row r="19" spans="1:7" ht="15.75">
      <c r="A19" s="174">
        <v>552129</v>
      </c>
      <c r="B19" s="30" t="s">
        <v>403</v>
      </c>
      <c r="C19" s="120">
        <v>110</v>
      </c>
      <c r="D19" s="30">
        <v>110</v>
      </c>
      <c r="E19" s="35">
        <v>50</v>
      </c>
      <c r="G19" s="30">
        <v>50</v>
      </c>
    </row>
    <row r="20" spans="2:7" ht="15.75">
      <c r="B20" s="29" t="s">
        <v>402</v>
      </c>
      <c r="C20" s="342">
        <f>SUM(C17:C19)</f>
        <v>242</v>
      </c>
      <c r="D20" s="29">
        <f>SUM(D17:D19)</f>
        <v>212</v>
      </c>
      <c r="E20" s="29">
        <f>SUM(E17:E19)</f>
        <v>170</v>
      </c>
      <c r="F20" s="29">
        <f>SUM(F17:F19)</f>
        <v>90</v>
      </c>
      <c r="G20" s="29">
        <f>SUM(G17:G19)</f>
        <v>170</v>
      </c>
    </row>
    <row r="21" spans="2:5" ht="15.75">
      <c r="B21" s="29"/>
      <c r="C21" s="342"/>
      <c r="D21" s="29"/>
      <c r="E21" s="35"/>
    </row>
    <row r="22" spans="1:7" ht="15">
      <c r="A22" s="174">
        <v>56111</v>
      </c>
      <c r="B22" s="30" t="s">
        <v>401</v>
      </c>
      <c r="C22" s="120">
        <v>66</v>
      </c>
      <c r="D22" s="30">
        <v>54</v>
      </c>
      <c r="E22" s="26">
        <f>E20*27%</f>
        <v>45.900000000000006</v>
      </c>
      <c r="F22" s="30">
        <v>24</v>
      </c>
      <c r="G22" s="30">
        <f>G20*27%</f>
        <v>45.900000000000006</v>
      </c>
    </row>
    <row r="23" spans="1:5" ht="15">
      <c r="A23" s="174">
        <v>56211</v>
      </c>
      <c r="B23" s="30" t="s">
        <v>18</v>
      </c>
      <c r="C23" s="120">
        <v>20</v>
      </c>
      <c r="D23" s="30">
        <v>20</v>
      </c>
      <c r="E23" s="25"/>
    </row>
    <row r="24" spans="2:7" ht="15.75">
      <c r="B24" s="29" t="s">
        <v>361</v>
      </c>
      <c r="C24" s="342">
        <f>SUM(C22:C23)</f>
        <v>86</v>
      </c>
      <c r="D24" s="29">
        <f>SUM(D22:D23)</f>
        <v>74</v>
      </c>
      <c r="E24" s="29">
        <f>SUM(E22:E23)</f>
        <v>45.900000000000006</v>
      </c>
      <c r="F24" s="29">
        <f>SUM(F22:F23)</f>
        <v>24</v>
      </c>
      <c r="G24" s="29">
        <f>SUM(G22:G23)</f>
        <v>45.900000000000006</v>
      </c>
    </row>
    <row r="25" spans="4:5" ht="15.75">
      <c r="D25" s="30"/>
      <c r="E25" s="35"/>
    </row>
    <row r="26" spans="2:7" ht="15.75">
      <c r="B26" s="29" t="s">
        <v>29</v>
      </c>
      <c r="C26" s="343">
        <f>SUM(C20,C24)</f>
        <v>328</v>
      </c>
      <c r="D26" s="180">
        <f>SUM(D20,D24)</f>
        <v>286</v>
      </c>
      <c r="E26" s="180">
        <f>SUM(E20,E24)</f>
        <v>215.9</v>
      </c>
      <c r="F26" s="180">
        <f>SUM(F20,F24)</f>
        <v>114</v>
      </c>
      <c r="G26" s="180">
        <f>SUM(G20,G24)</f>
        <v>215.9</v>
      </c>
    </row>
    <row r="27" spans="4:5" ht="15.75">
      <c r="D27" s="30"/>
      <c r="E27" s="35"/>
    </row>
    <row r="28" spans="2:7" ht="15.75">
      <c r="B28" s="29" t="s">
        <v>0</v>
      </c>
      <c r="C28" s="340">
        <f>SUM(C9+C14+C26)</f>
        <v>5641</v>
      </c>
      <c r="D28" s="341">
        <f>SUM(D9+D14+D26)</f>
        <v>5896</v>
      </c>
      <c r="E28" s="341">
        <f>SUM(E9+E14+E26)</f>
        <v>5925.62</v>
      </c>
      <c r="F28" s="341">
        <f>SUM(F9+F14+F26)</f>
        <v>114</v>
      </c>
      <c r="G28" s="341">
        <f>SUM(G9+G14+G26)</f>
        <v>6964.54</v>
      </c>
    </row>
    <row r="29" spans="4:5" ht="15.75">
      <c r="D29" s="30"/>
      <c r="E29" s="35"/>
    </row>
    <row r="30" spans="4:5" ht="15.75">
      <c r="D30" s="30"/>
      <c r="E30" s="35"/>
    </row>
    <row r="31" spans="2:5" ht="15.75">
      <c r="B31" s="30" t="s">
        <v>335</v>
      </c>
      <c r="D31" s="30"/>
      <c r="E31" s="35"/>
    </row>
    <row r="32" spans="2:5" ht="15.75">
      <c r="B32" s="30" t="s">
        <v>400</v>
      </c>
      <c r="C32" s="120">
        <v>778</v>
      </c>
      <c r="D32" s="30">
        <v>389</v>
      </c>
      <c r="E32" s="35"/>
    </row>
    <row r="33" spans="2:5" ht="15.75">
      <c r="B33" s="30" t="s">
        <v>63</v>
      </c>
      <c r="C33" s="120">
        <f>SUM(C32)</f>
        <v>778</v>
      </c>
      <c r="D33" s="30">
        <f>SUM(D32)</f>
        <v>389</v>
      </c>
      <c r="E33" s="35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</sheetData>
  <sheetProtection/>
  <printOptions/>
  <pageMargins left="0.7" right="0.7" top="0.75" bottom="0.75" header="0.3" footer="0.3"/>
  <pageSetup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67"/>
  <sheetViews>
    <sheetView view="pageBreakPreview" zoomScale="60" zoomScalePageLayoutView="0" workbookViewId="0" topLeftCell="B37">
      <selection activeCell="H39" sqref="H39"/>
    </sheetView>
  </sheetViews>
  <sheetFormatPr defaultColWidth="8.66015625" defaultRowHeight="18"/>
  <cols>
    <col min="1" max="1" width="16.25" style="174" customWidth="1"/>
    <col min="2" max="2" width="41.41015625" style="30" customWidth="1"/>
    <col min="3" max="3" width="9.58203125" style="30" customWidth="1"/>
    <col min="4" max="4" width="9.41015625" style="30" customWidth="1"/>
    <col min="5" max="5" width="11.66015625" style="30" customWidth="1"/>
    <col min="6" max="6" width="10.91015625" style="30" customWidth="1"/>
    <col min="7" max="7" width="9.91015625" style="30" customWidth="1"/>
    <col min="8" max="8" width="8.75" style="30" customWidth="1"/>
    <col min="9" max="16384" width="8.91015625" style="30" customWidth="1"/>
  </cols>
  <sheetData>
    <row r="1" spans="1:8" ht="42" customHeight="1">
      <c r="A1" s="178">
        <v>813000</v>
      </c>
      <c r="B1" s="485" t="s">
        <v>437</v>
      </c>
      <c r="C1" s="499" t="s">
        <v>266</v>
      </c>
      <c r="D1" s="499" t="s">
        <v>285</v>
      </c>
      <c r="E1" s="250">
        <v>41695</v>
      </c>
      <c r="F1" s="177" t="s">
        <v>749</v>
      </c>
      <c r="G1" s="177" t="s">
        <v>750</v>
      </c>
      <c r="H1" s="177" t="s">
        <v>851</v>
      </c>
    </row>
    <row r="2" spans="2:8" ht="18">
      <c r="B2" s="177"/>
      <c r="C2" s="177"/>
      <c r="D2" s="177"/>
      <c r="E2" s="177"/>
      <c r="F2" s="177"/>
      <c r="G2" s="177"/>
      <c r="H2" s="177"/>
    </row>
    <row r="3" spans="1:8" ht="18">
      <c r="A3" s="174">
        <v>5111112</v>
      </c>
      <c r="B3" s="177" t="s">
        <v>436</v>
      </c>
      <c r="C3" s="489"/>
      <c r="D3" s="489">
        <v>8409</v>
      </c>
      <c r="E3" s="177">
        <f>'[6]GEVSZ'!$P$35/1000-480</f>
        <v>8596.2</v>
      </c>
      <c r="F3" s="177"/>
      <c r="G3" s="177">
        <v>9838</v>
      </c>
      <c r="H3" s="177">
        <v>9838</v>
      </c>
    </row>
    <row r="4" spans="1:8" ht="18">
      <c r="A4" s="174">
        <v>511142</v>
      </c>
      <c r="B4" s="177" t="s">
        <v>435</v>
      </c>
      <c r="C4" s="177"/>
      <c r="D4" s="177">
        <v>480</v>
      </c>
      <c r="E4" s="177">
        <v>480</v>
      </c>
      <c r="F4" s="177"/>
      <c r="G4" s="177">
        <v>480</v>
      </c>
      <c r="H4" s="177">
        <v>480</v>
      </c>
    </row>
    <row r="5" spans="2:8" ht="18">
      <c r="B5" s="177" t="s">
        <v>224</v>
      </c>
      <c r="C5" s="177"/>
      <c r="D5" s="177"/>
      <c r="E5" s="177">
        <v>139</v>
      </c>
      <c r="F5" s="177"/>
      <c r="G5" s="177">
        <v>157</v>
      </c>
      <c r="H5" s="177">
        <v>157</v>
      </c>
    </row>
    <row r="6" spans="2:9" ht="18">
      <c r="B6" s="177" t="s">
        <v>48</v>
      </c>
      <c r="C6" s="177"/>
      <c r="D6" s="177"/>
      <c r="E6" s="177"/>
      <c r="F6" s="177"/>
      <c r="G6" s="177">
        <v>545</v>
      </c>
      <c r="H6" s="177">
        <v>545</v>
      </c>
      <c r="I6" s="30" t="s">
        <v>757</v>
      </c>
    </row>
    <row r="7" spans="1:8" ht="18">
      <c r="A7" s="174">
        <v>512192</v>
      </c>
      <c r="B7" s="177" t="s">
        <v>839</v>
      </c>
      <c r="C7" s="177"/>
      <c r="D7" s="177">
        <v>60</v>
      </c>
      <c r="E7" s="177"/>
      <c r="F7" s="177"/>
      <c r="G7" s="177">
        <v>873</v>
      </c>
      <c r="H7" s="177">
        <v>873</v>
      </c>
    </row>
    <row r="8" spans="1:8" ht="18">
      <c r="A8" s="174">
        <v>514922</v>
      </c>
      <c r="B8" s="177" t="s">
        <v>434</v>
      </c>
      <c r="C8" s="177"/>
      <c r="D8" s="177">
        <v>100</v>
      </c>
      <c r="E8" s="177"/>
      <c r="F8" s="177"/>
      <c r="G8" s="177">
        <v>100</v>
      </c>
      <c r="H8" s="177">
        <v>100</v>
      </c>
    </row>
    <row r="9" spans="1:8" ht="18">
      <c r="A9" s="174">
        <v>514142</v>
      </c>
      <c r="B9" s="177" t="s">
        <v>39</v>
      </c>
      <c r="C9" s="177"/>
      <c r="D9" s="177">
        <v>480</v>
      </c>
      <c r="E9" s="177">
        <v>480</v>
      </c>
      <c r="F9" s="177"/>
      <c r="G9" s="177">
        <v>900</v>
      </c>
      <c r="H9" s="177">
        <v>900</v>
      </c>
    </row>
    <row r="10" spans="2:13" ht="18">
      <c r="B10" s="491" t="s">
        <v>758</v>
      </c>
      <c r="C10" s="491"/>
      <c r="D10" s="491"/>
      <c r="E10" s="491">
        <v>400</v>
      </c>
      <c r="F10" s="491"/>
      <c r="G10" s="491">
        <v>1200</v>
      </c>
      <c r="H10" s="491">
        <v>1200</v>
      </c>
      <c r="I10" s="83"/>
      <c r="J10" s="83"/>
      <c r="K10" s="83"/>
      <c r="L10" s="83"/>
      <c r="M10" s="83"/>
    </row>
    <row r="11" spans="1:8" ht="18">
      <c r="A11" s="174">
        <v>5321</v>
      </c>
      <c r="B11" s="485" t="s">
        <v>433</v>
      </c>
      <c r="C11" s="490">
        <v>10026</v>
      </c>
      <c r="D11" s="490">
        <f>SUM(D3:D9)</f>
        <v>9529</v>
      </c>
      <c r="E11" s="490">
        <f>SUM(E3:E9)</f>
        <v>9695.2</v>
      </c>
      <c r="F11" s="490">
        <f>SUM(F3:F9)</f>
        <v>0</v>
      </c>
      <c r="G11" s="490">
        <f>SUM(G3:G10)</f>
        <v>14093</v>
      </c>
      <c r="H11" s="490">
        <f>SUM(H3:H10)</f>
        <v>14093</v>
      </c>
    </row>
    <row r="12" spans="1:8" ht="18">
      <c r="A12" s="174">
        <v>5341</v>
      </c>
      <c r="B12" s="485"/>
      <c r="C12" s="177"/>
      <c r="D12" s="177"/>
      <c r="E12" s="177"/>
      <c r="F12" s="177"/>
      <c r="G12" s="177"/>
      <c r="H12" s="177"/>
    </row>
    <row r="13" spans="2:10" ht="18">
      <c r="B13" s="177" t="s">
        <v>404</v>
      </c>
      <c r="C13" s="489"/>
      <c r="D13" s="489">
        <f>(D3+D4+D7)*27%</f>
        <v>2416.23</v>
      </c>
      <c r="E13" s="177">
        <f>(E3+E4+E7)*27%</f>
        <v>2450.5740000000005</v>
      </c>
      <c r="F13" s="177"/>
      <c r="G13" s="177">
        <f>I13*27%</f>
        <v>3535.11</v>
      </c>
      <c r="H13" s="177">
        <f>J13*27%</f>
        <v>3535.11</v>
      </c>
      <c r="I13" s="30">
        <f>G11-G9-G8</f>
        <v>13093</v>
      </c>
      <c r="J13" s="30">
        <f>H11-H9-H8</f>
        <v>13093</v>
      </c>
    </row>
    <row r="14" spans="2:8" ht="18">
      <c r="B14" s="177" t="s">
        <v>577</v>
      </c>
      <c r="C14" s="177"/>
      <c r="D14" s="177"/>
      <c r="E14" s="177">
        <f>E9*16.7%</f>
        <v>80.16</v>
      </c>
      <c r="F14" s="177"/>
      <c r="G14" s="177">
        <v>150</v>
      </c>
      <c r="H14" s="177">
        <v>150</v>
      </c>
    </row>
    <row r="15" spans="1:8" ht="18">
      <c r="A15" s="174">
        <v>5431</v>
      </c>
      <c r="B15" s="177" t="s">
        <v>42</v>
      </c>
      <c r="C15" s="177"/>
      <c r="D15" s="177"/>
      <c r="E15" s="177"/>
      <c r="F15" s="177"/>
      <c r="G15" s="177">
        <v>174</v>
      </c>
      <c r="H15" s="177">
        <v>174</v>
      </c>
    </row>
    <row r="16" spans="1:8" ht="18">
      <c r="A16" s="174">
        <v>5461</v>
      </c>
      <c r="B16" s="485" t="s">
        <v>432</v>
      </c>
      <c r="C16" s="490">
        <v>2451</v>
      </c>
      <c r="D16" s="490">
        <f>SUM(D13:D15)</f>
        <v>2416.23</v>
      </c>
      <c r="E16" s="490">
        <f>SUM(E13:E15)</f>
        <v>2530.7340000000004</v>
      </c>
      <c r="F16" s="490">
        <f>SUM(F13:F15)</f>
        <v>0</v>
      </c>
      <c r="G16" s="490">
        <f>SUM(G13:G15)</f>
        <v>3859.11</v>
      </c>
      <c r="H16" s="490">
        <f>SUM(H13:H15)</f>
        <v>3859.11</v>
      </c>
    </row>
    <row r="17" spans="1:8" ht="18">
      <c r="A17" s="174">
        <v>54712</v>
      </c>
      <c r="B17" s="177"/>
      <c r="C17" s="177"/>
      <c r="D17" s="177"/>
      <c r="E17" s="177"/>
      <c r="F17" s="177"/>
      <c r="G17" s="177"/>
      <c r="H17" s="177"/>
    </row>
    <row r="18" spans="1:8" ht="18">
      <c r="A18" s="174">
        <v>5481</v>
      </c>
      <c r="B18" s="177" t="s">
        <v>431</v>
      </c>
      <c r="C18" s="177">
        <v>80</v>
      </c>
      <c r="D18" s="177">
        <v>100</v>
      </c>
      <c r="E18" s="177">
        <v>50</v>
      </c>
      <c r="F18" s="177">
        <v>45</v>
      </c>
      <c r="G18" s="177">
        <v>50</v>
      </c>
      <c r="H18" s="177">
        <v>50</v>
      </c>
    </row>
    <row r="19" spans="1:8" ht="18">
      <c r="A19" s="174">
        <v>54913</v>
      </c>
      <c r="B19" s="177" t="s">
        <v>89</v>
      </c>
      <c r="C19" s="489">
        <v>2500</v>
      </c>
      <c r="D19" s="489">
        <v>2200</v>
      </c>
      <c r="E19" s="177">
        <v>3000</v>
      </c>
      <c r="F19" s="177">
        <v>3245</v>
      </c>
      <c r="G19" s="177">
        <v>3300</v>
      </c>
      <c r="H19" s="177">
        <v>3300</v>
      </c>
    </row>
    <row r="20" spans="1:9" ht="18">
      <c r="A20" s="174">
        <v>54913</v>
      </c>
      <c r="B20" s="177" t="s">
        <v>430</v>
      </c>
      <c r="C20" s="177">
        <v>155</v>
      </c>
      <c r="D20" s="177">
        <v>200</v>
      </c>
      <c r="E20" s="177">
        <v>150</v>
      </c>
      <c r="F20" s="177"/>
      <c r="G20" s="177">
        <v>230</v>
      </c>
      <c r="H20" s="177">
        <v>230</v>
      </c>
      <c r="I20" s="30" t="s">
        <v>759</v>
      </c>
    </row>
    <row r="21" spans="1:9" ht="18">
      <c r="A21" s="174">
        <v>549131</v>
      </c>
      <c r="B21" s="177" t="s">
        <v>28</v>
      </c>
      <c r="C21" s="177">
        <v>150</v>
      </c>
      <c r="D21" s="177">
        <v>230</v>
      </c>
      <c r="E21" s="177">
        <v>100</v>
      </c>
      <c r="F21" s="177">
        <v>50</v>
      </c>
      <c r="G21" s="177">
        <v>200</v>
      </c>
      <c r="H21" s="177">
        <v>200</v>
      </c>
      <c r="I21" s="30" t="s">
        <v>760</v>
      </c>
    </row>
    <row r="22" spans="1:8" ht="18">
      <c r="A22" s="174">
        <v>54913</v>
      </c>
      <c r="B22" s="177" t="s">
        <v>341</v>
      </c>
      <c r="C22" s="177">
        <v>82</v>
      </c>
      <c r="D22" s="177">
        <v>75</v>
      </c>
      <c r="E22" s="177">
        <v>15</v>
      </c>
      <c r="F22" s="575">
        <v>2700</v>
      </c>
      <c r="G22" s="177">
        <v>20</v>
      </c>
      <c r="H22" s="177">
        <v>20</v>
      </c>
    </row>
    <row r="23" spans="1:8" ht="18">
      <c r="A23" s="174">
        <v>54913</v>
      </c>
      <c r="B23" s="177" t="s">
        <v>429</v>
      </c>
      <c r="C23" s="177">
        <v>700</v>
      </c>
      <c r="D23" s="177">
        <v>700</v>
      </c>
      <c r="E23" s="177">
        <v>700</v>
      </c>
      <c r="F23" s="576"/>
      <c r="G23" s="177">
        <v>700</v>
      </c>
      <c r="H23" s="177">
        <v>700</v>
      </c>
    </row>
    <row r="24" spans="1:8" ht="18">
      <c r="A24" s="174">
        <v>549131</v>
      </c>
      <c r="B24" s="177" t="s">
        <v>428</v>
      </c>
      <c r="C24" s="177">
        <v>100</v>
      </c>
      <c r="D24" s="177">
        <v>100</v>
      </c>
      <c r="E24" s="177">
        <v>100</v>
      </c>
      <c r="F24" s="576"/>
      <c r="G24" s="177">
        <v>100</v>
      </c>
      <c r="H24" s="177">
        <v>100</v>
      </c>
    </row>
    <row r="25" spans="1:9" ht="18">
      <c r="A25" s="30"/>
      <c r="B25" s="177" t="s">
        <v>427</v>
      </c>
      <c r="C25" s="177"/>
      <c r="D25" s="177">
        <v>500</v>
      </c>
      <c r="E25" s="177">
        <v>200</v>
      </c>
      <c r="F25" s="576"/>
      <c r="G25" s="177">
        <v>250</v>
      </c>
      <c r="H25" s="177">
        <v>250</v>
      </c>
      <c r="I25" s="30" t="s">
        <v>761</v>
      </c>
    </row>
    <row r="26" spans="2:9" ht="18">
      <c r="B26" s="177" t="s">
        <v>426</v>
      </c>
      <c r="C26" s="177">
        <v>200</v>
      </c>
      <c r="D26" s="177">
        <v>200</v>
      </c>
      <c r="E26" s="177">
        <v>200</v>
      </c>
      <c r="F26" s="576"/>
      <c r="G26" s="177">
        <v>500</v>
      </c>
      <c r="H26" s="177">
        <v>500</v>
      </c>
      <c r="I26" s="30" t="s">
        <v>762</v>
      </c>
    </row>
    <row r="27" spans="2:8" ht="18">
      <c r="B27" s="177" t="s">
        <v>425</v>
      </c>
      <c r="C27" s="177">
        <v>800</v>
      </c>
      <c r="D27" s="177">
        <v>775</v>
      </c>
      <c r="E27" s="177">
        <v>500</v>
      </c>
      <c r="F27" s="577"/>
      <c r="G27" s="177">
        <v>550</v>
      </c>
      <c r="H27" s="177">
        <v>550</v>
      </c>
    </row>
    <row r="28" spans="2:6" ht="18">
      <c r="B28" s="177"/>
      <c r="C28" s="177"/>
      <c r="D28" s="177"/>
      <c r="E28" s="177"/>
      <c r="F28" s="177"/>
    </row>
    <row r="29" spans="1:8" ht="18">
      <c r="A29" s="174">
        <v>55111</v>
      </c>
      <c r="B29" s="177"/>
      <c r="C29" s="177"/>
      <c r="D29" s="177"/>
      <c r="E29" s="177"/>
      <c r="F29" s="177"/>
      <c r="G29" s="177"/>
      <c r="H29" s="177"/>
    </row>
    <row r="30" spans="2:8" ht="18">
      <c r="B30" s="485" t="s">
        <v>424</v>
      </c>
      <c r="C30" s="490">
        <f aca="true" t="shared" si="0" ref="C30:H30">SUM(C18:C27)</f>
        <v>4767</v>
      </c>
      <c r="D30" s="490">
        <f t="shared" si="0"/>
        <v>5080</v>
      </c>
      <c r="E30" s="490">
        <f t="shared" si="0"/>
        <v>5015</v>
      </c>
      <c r="F30" s="490">
        <f t="shared" si="0"/>
        <v>6040</v>
      </c>
      <c r="G30" s="490">
        <f t="shared" si="0"/>
        <v>5900</v>
      </c>
      <c r="H30" s="490">
        <f t="shared" si="0"/>
        <v>5900</v>
      </c>
    </row>
    <row r="31" spans="1:8" ht="18">
      <c r="A31" s="174">
        <v>55214</v>
      </c>
      <c r="B31" s="177"/>
      <c r="C31" s="177"/>
      <c r="D31" s="177"/>
      <c r="E31" s="177"/>
      <c r="F31" s="177"/>
      <c r="G31" s="177"/>
      <c r="H31" s="177"/>
    </row>
    <row r="32" spans="1:8" ht="18">
      <c r="A32" s="174">
        <v>55215</v>
      </c>
      <c r="B32" s="177" t="s">
        <v>423</v>
      </c>
      <c r="C32" s="177">
        <v>140</v>
      </c>
      <c r="D32" s="177">
        <v>130</v>
      </c>
      <c r="E32" s="177">
        <v>130</v>
      </c>
      <c r="F32" s="177">
        <v>162</v>
      </c>
      <c r="G32" s="177">
        <v>130</v>
      </c>
      <c r="H32" s="177">
        <v>130</v>
      </c>
    </row>
    <row r="33" spans="1:8" ht="18">
      <c r="A33" s="174">
        <v>55217</v>
      </c>
      <c r="B33" s="177" t="s">
        <v>422</v>
      </c>
      <c r="C33" s="177">
        <v>50</v>
      </c>
      <c r="D33" s="177">
        <v>150</v>
      </c>
      <c r="E33" s="177">
        <v>80</v>
      </c>
      <c r="F33" s="177"/>
      <c r="G33" s="177">
        <v>80</v>
      </c>
      <c r="H33" s="177">
        <v>80</v>
      </c>
    </row>
    <row r="34" spans="1:8" ht="18">
      <c r="A34" s="174">
        <v>55217</v>
      </c>
      <c r="B34" s="177" t="s">
        <v>421</v>
      </c>
      <c r="C34" s="177">
        <v>450</v>
      </c>
      <c r="D34" s="177">
        <v>300</v>
      </c>
      <c r="E34" s="177">
        <v>480</v>
      </c>
      <c r="F34" s="177">
        <v>321</v>
      </c>
      <c r="G34" s="177">
        <v>480</v>
      </c>
      <c r="H34" s="177">
        <v>480</v>
      </c>
    </row>
    <row r="35" spans="1:8" ht="18">
      <c r="A35" s="174">
        <v>55182</v>
      </c>
      <c r="B35" s="177" t="s">
        <v>420</v>
      </c>
      <c r="C35" s="177">
        <v>180</v>
      </c>
      <c r="D35" s="177">
        <v>200</v>
      </c>
      <c r="E35" s="177">
        <v>115</v>
      </c>
      <c r="F35" s="177">
        <v>74</v>
      </c>
      <c r="G35" s="177">
        <v>115</v>
      </c>
      <c r="H35" s="177">
        <v>115</v>
      </c>
    </row>
    <row r="36" spans="1:8" ht="18">
      <c r="A36" s="174">
        <v>55131</v>
      </c>
      <c r="B36" s="177" t="s">
        <v>419</v>
      </c>
      <c r="C36" s="177">
        <v>120</v>
      </c>
      <c r="D36" s="177">
        <v>120</v>
      </c>
      <c r="E36" s="177"/>
      <c r="F36" s="177"/>
      <c r="G36" s="177">
        <v>100</v>
      </c>
      <c r="H36" s="177">
        <v>100</v>
      </c>
    </row>
    <row r="37" spans="2:8" ht="18">
      <c r="B37" s="177" t="s">
        <v>418</v>
      </c>
      <c r="C37" s="177">
        <v>80</v>
      </c>
      <c r="D37" s="177">
        <v>80</v>
      </c>
      <c r="E37" s="177">
        <v>115</v>
      </c>
      <c r="F37" s="177">
        <v>93</v>
      </c>
      <c r="G37" s="177">
        <v>115</v>
      </c>
      <c r="H37" s="177">
        <v>115</v>
      </c>
    </row>
    <row r="38" spans="2:9" ht="18">
      <c r="B38" s="177" t="s">
        <v>417</v>
      </c>
      <c r="C38" s="177">
        <v>595</v>
      </c>
      <c r="D38" s="177">
        <v>625</v>
      </c>
      <c r="E38" s="177">
        <f>240+600</f>
        <v>840</v>
      </c>
      <c r="F38" s="177">
        <v>815</v>
      </c>
      <c r="G38" s="177">
        <v>840</v>
      </c>
      <c r="H38" s="556">
        <f>840+400</f>
        <v>1240</v>
      </c>
      <c r="I38" s="30" t="s">
        <v>849</v>
      </c>
    </row>
    <row r="39" spans="2:8" ht="18">
      <c r="B39" s="177" t="s">
        <v>416</v>
      </c>
      <c r="C39" s="177">
        <v>100</v>
      </c>
      <c r="D39" s="177">
        <v>100</v>
      </c>
      <c r="E39" s="177">
        <v>88</v>
      </c>
      <c r="F39" s="177">
        <v>54</v>
      </c>
      <c r="G39" s="177">
        <v>88</v>
      </c>
      <c r="H39" s="177">
        <v>88</v>
      </c>
    </row>
    <row r="40" spans="1:8" ht="18">
      <c r="A40" s="174">
        <v>56111</v>
      </c>
      <c r="B40" s="177" t="s">
        <v>763</v>
      </c>
      <c r="C40" s="177"/>
      <c r="D40" s="177"/>
      <c r="E40" s="177">
        <v>600</v>
      </c>
      <c r="F40" s="177">
        <v>593</v>
      </c>
      <c r="G40" s="177">
        <v>600</v>
      </c>
      <c r="H40" s="177">
        <v>600</v>
      </c>
    </row>
    <row r="41" spans="1:11" ht="18">
      <c r="A41" s="174">
        <v>5621</v>
      </c>
      <c r="B41" s="485" t="s">
        <v>415</v>
      </c>
      <c r="C41" s="490">
        <f>SUM(C32:C39)</f>
        <v>1715</v>
      </c>
      <c r="D41" s="490">
        <f>SUM(D32:D39)</f>
        <v>1705</v>
      </c>
      <c r="E41" s="490">
        <f>SUM(E32:E40)</f>
        <v>2448</v>
      </c>
      <c r="F41" s="490">
        <f>SUM(F32:F40)</f>
        <v>2112</v>
      </c>
      <c r="G41" s="490">
        <f>SUM(G32:G40)</f>
        <v>2548</v>
      </c>
      <c r="H41" s="490">
        <f>SUM(H32:H40)</f>
        <v>2948</v>
      </c>
      <c r="K41" s="30">
        <f>I39+I28</f>
        <v>0</v>
      </c>
    </row>
    <row r="42" spans="1:8" ht="18">
      <c r="A42" s="174">
        <v>56211</v>
      </c>
      <c r="B42" s="177"/>
      <c r="C42" s="177"/>
      <c r="D42" s="177"/>
      <c r="E42" s="177"/>
      <c r="F42" s="177"/>
      <c r="G42" s="177"/>
      <c r="H42" s="177"/>
    </row>
    <row r="43" spans="2:10" ht="18">
      <c r="B43" s="177" t="s">
        <v>414</v>
      </c>
      <c r="C43" s="489">
        <v>1789</v>
      </c>
      <c r="D43" s="489">
        <v>1559</v>
      </c>
      <c r="E43" s="177">
        <f>(E30+E41+E44)*27%</f>
        <v>2015.0100000000002</v>
      </c>
      <c r="F43" s="177">
        <v>2167</v>
      </c>
      <c r="G43" s="177">
        <f>I43*27%</f>
        <v>2280.96</v>
      </c>
      <c r="H43" s="177">
        <f>J43*27%</f>
        <v>2388.96</v>
      </c>
      <c r="I43" s="30">
        <f>G41+G30</f>
        <v>8448</v>
      </c>
      <c r="J43" s="30">
        <f>H41+H30</f>
        <v>8848</v>
      </c>
    </row>
    <row r="44" spans="2:8" ht="18">
      <c r="B44" s="177" t="s">
        <v>19</v>
      </c>
      <c r="C44" s="177">
        <v>140</v>
      </c>
      <c r="D44" s="177"/>
      <c r="E44" s="177"/>
      <c r="F44" s="177"/>
      <c r="G44" s="177"/>
      <c r="H44" s="177"/>
    </row>
    <row r="45" spans="1:8" ht="18">
      <c r="A45" s="174">
        <v>5721</v>
      </c>
      <c r="B45" s="177" t="s">
        <v>18</v>
      </c>
      <c r="C45" s="177">
        <v>100</v>
      </c>
      <c r="D45" s="177">
        <v>100</v>
      </c>
      <c r="E45" s="177">
        <v>55</v>
      </c>
      <c r="F45" s="177">
        <v>25</v>
      </c>
      <c r="G45" s="177">
        <v>55</v>
      </c>
      <c r="H45" s="177">
        <v>55</v>
      </c>
    </row>
    <row r="46" spans="1:8" ht="18">
      <c r="A46" s="174">
        <v>572191</v>
      </c>
      <c r="B46" s="485" t="s">
        <v>361</v>
      </c>
      <c r="C46" s="490">
        <f aca="true" t="shared" si="1" ref="C46:H46">SUM(C43:C45)</f>
        <v>2029</v>
      </c>
      <c r="D46" s="490">
        <f t="shared" si="1"/>
        <v>1659</v>
      </c>
      <c r="E46" s="490">
        <f t="shared" si="1"/>
        <v>2070.01</v>
      </c>
      <c r="F46" s="490">
        <f t="shared" si="1"/>
        <v>2192</v>
      </c>
      <c r="G46" s="490">
        <f t="shared" si="1"/>
        <v>2335.96</v>
      </c>
      <c r="H46" s="490">
        <f t="shared" si="1"/>
        <v>2443.96</v>
      </c>
    </row>
    <row r="47" spans="1:8" ht="18">
      <c r="A47" s="174">
        <v>572192</v>
      </c>
      <c r="B47" s="485"/>
      <c r="C47" s="490"/>
      <c r="D47" s="490"/>
      <c r="E47" s="177"/>
      <c r="F47" s="177"/>
      <c r="G47" s="177"/>
      <c r="H47" s="177"/>
    </row>
    <row r="48" spans="2:8" ht="18">
      <c r="B48" s="177" t="s">
        <v>413</v>
      </c>
      <c r="C48" s="177">
        <v>140</v>
      </c>
      <c r="D48" s="177">
        <v>94</v>
      </c>
      <c r="E48" s="177">
        <f>E9*19.04%</f>
        <v>91.392</v>
      </c>
      <c r="F48" s="177"/>
      <c r="G48" s="177"/>
      <c r="H48" s="177"/>
    </row>
    <row r="49" spans="2:8" ht="18">
      <c r="B49" s="177" t="s">
        <v>412</v>
      </c>
      <c r="C49" s="177"/>
      <c r="D49" s="177"/>
      <c r="E49" s="177"/>
      <c r="F49" s="177"/>
      <c r="G49" s="177"/>
      <c r="H49" s="177"/>
    </row>
    <row r="50" spans="2:8" ht="18">
      <c r="B50" s="177" t="s">
        <v>411</v>
      </c>
      <c r="C50" s="177">
        <v>355</v>
      </c>
      <c r="D50" s="177">
        <v>355</v>
      </c>
      <c r="E50" s="177">
        <v>355</v>
      </c>
      <c r="F50" s="177">
        <v>238</v>
      </c>
      <c r="G50" s="177">
        <v>400</v>
      </c>
      <c r="H50" s="177">
        <v>400</v>
      </c>
    </row>
    <row r="51" spans="2:8" ht="18">
      <c r="B51" s="485" t="s">
        <v>410</v>
      </c>
      <c r="C51" s="485">
        <f aca="true" t="shared" si="2" ref="C51:H51">SUM(C48:C50)</f>
        <v>495</v>
      </c>
      <c r="D51" s="485">
        <f t="shared" si="2"/>
        <v>449</v>
      </c>
      <c r="E51" s="485">
        <f t="shared" si="2"/>
        <v>446.392</v>
      </c>
      <c r="F51" s="485">
        <f t="shared" si="2"/>
        <v>238</v>
      </c>
      <c r="G51" s="485">
        <f t="shared" si="2"/>
        <v>400</v>
      </c>
      <c r="H51" s="485">
        <f t="shared" si="2"/>
        <v>400</v>
      </c>
    </row>
    <row r="52" spans="2:8" ht="18">
      <c r="B52" s="177"/>
      <c r="C52" s="177"/>
      <c r="D52" s="177"/>
      <c r="E52" s="177"/>
      <c r="F52" s="177"/>
      <c r="G52" s="177"/>
      <c r="H52" s="177"/>
    </row>
    <row r="53" spans="2:8" ht="18">
      <c r="B53" s="485" t="s">
        <v>29</v>
      </c>
      <c r="C53" s="490">
        <f aca="true" t="shared" si="3" ref="C53:H53">+C30+C41+C46+C51</f>
        <v>9006</v>
      </c>
      <c r="D53" s="490">
        <f t="shared" si="3"/>
        <v>8893</v>
      </c>
      <c r="E53" s="490">
        <f t="shared" si="3"/>
        <v>9979.402</v>
      </c>
      <c r="F53" s="490">
        <f t="shared" si="3"/>
        <v>10582</v>
      </c>
      <c r="G53" s="490">
        <f t="shared" si="3"/>
        <v>11183.96</v>
      </c>
      <c r="H53" s="490">
        <f t="shared" si="3"/>
        <v>11691.96</v>
      </c>
    </row>
    <row r="54" spans="2:8" ht="18">
      <c r="B54" s="485" t="s">
        <v>43</v>
      </c>
      <c r="C54" s="490">
        <v>20447</v>
      </c>
      <c r="D54" s="490">
        <f>SUM(D11+D16+D30+D41+D46+D51)</f>
        <v>20838.23</v>
      </c>
      <c r="E54" s="490">
        <f>SUM(E11+E16+E30+E41+E46+E51)</f>
        <v>22205.336000000003</v>
      </c>
      <c r="F54" s="490">
        <f>SUM(F11+F16+F30+F41+F46+F51)</f>
        <v>10582</v>
      </c>
      <c r="G54" s="490">
        <f>G53+G16+G11</f>
        <v>29136.07</v>
      </c>
      <c r="H54" s="490">
        <f>H53+H16+H11</f>
        <v>29644.07</v>
      </c>
    </row>
    <row r="55" spans="2:12" ht="18">
      <c r="B55" s="485"/>
      <c r="C55" s="490"/>
      <c r="D55" s="490"/>
      <c r="E55" s="177"/>
      <c r="F55" s="177"/>
      <c r="G55" s="177"/>
      <c r="H55" s="177"/>
      <c r="I55" s="177"/>
      <c r="K55" s="177" t="s">
        <v>764</v>
      </c>
      <c r="L55" s="177" t="s">
        <v>765</v>
      </c>
    </row>
    <row r="56" spans="2:12" ht="18">
      <c r="B56" s="485" t="s">
        <v>774</v>
      </c>
      <c r="C56" s="490"/>
      <c r="D56" s="490"/>
      <c r="E56" s="177"/>
      <c r="F56" s="177"/>
      <c r="G56" s="177">
        <v>1260</v>
      </c>
      <c r="H56" s="177">
        <v>1260</v>
      </c>
      <c r="I56" s="177"/>
      <c r="K56" s="177" t="s">
        <v>766</v>
      </c>
      <c r="L56" s="177" t="s">
        <v>767</v>
      </c>
    </row>
    <row r="57" spans="2:12" ht="18">
      <c r="B57" s="177" t="s">
        <v>775</v>
      </c>
      <c r="E57" s="177"/>
      <c r="F57" s="177"/>
      <c r="G57" s="177">
        <v>1024</v>
      </c>
      <c r="H57" s="177">
        <v>1024</v>
      </c>
      <c r="I57" s="177"/>
      <c r="K57" s="177" t="s">
        <v>768</v>
      </c>
      <c r="L57" s="177" t="s">
        <v>769</v>
      </c>
    </row>
    <row r="58" spans="2:12" ht="18">
      <c r="B58" s="485" t="s">
        <v>776</v>
      </c>
      <c r="E58" s="177"/>
      <c r="F58" s="177">
        <v>331</v>
      </c>
      <c r="G58" s="30">
        <v>158</v>
      </c>
      <c r="H58" s="30">
        <v>158</v>
      </c>
      <c r="I58" s="29"/>
      <c r="L58" s="29" t="s">
        <v>770</v>
      </c>
    </row>
    <row r="59" spans="2:9" ht="18">
      <c r="B59" s="485" t="s">
        <v>236</v>
      </c>
      <c r="E59" s="177"/>
      <c r="F59" s="177">
        <v>89</v>
      </c>
      <c r="G59" s="30">
        <v>660</v>
      </c>
      <c r="H59" s="30">
        <v>660</v>
      </c>
      <c r="I59" s="29"/>
    </row>
    <row r="60" spans="2:8" ht="18">
      <c r="B60" s="485" t="s">
        <v>276</v>
      </c>
      <c r="E60" s="177"/>
      <c r="F60" s="177">
        <f>SUM(F58:F59)</f>
        <v>420</v>
      </c>
      <c r="G60" s="29">
        <f>SUM(G56:G59)</f>
        <v>3102</v>
      </c>
      <c r="H60" s="29">
        <f>SUM(H56:H59)</f>
        <v>3102</v>
      </c>
    </row>
    <row r="61" spans="1:2" ht="15.75">
      <c r="A61" s="178">
        <v>14034</v>
      </c>
      <c r="B61" s="29"/>
    </row>
    <row r="62" spans="1:8" ht="15.75">
      <c r="A62" s="178"/>
      <c r="B62" s="29" t="s">
        <v>0</v>
      </c>
      <c r="C62" s="180">
        <f>SUM(C54+G57)</f>
        <v>21471</v>
      </c>
      <c r="D62" s="180">
        <f>SUM(D54+I57)</f>
        <v>20838.23</v>
      </c>
      <c r="E62" s="180">
        <f>SUM(E54+E60)</f>
        <v>22205.336000000003</v>
      </c>
      <c r="F62" s="180">
        <f>SUM(F54+F60)</f>
        <v>11002</v>
      </c>
      <c r="G62" s="180">
        <f>SUM(G54+G60)</f>
        <v>32238.07</v>
      </c>
      <c r="H62" s="180">
        <f>SUM(H54+H60)</f>
        <v>32746.07</v>
      </c>
    </row>
    <row r="63" ht="15.75">
      <c r="B63" s="29"/>
    </row>
    <row r="64" spans="1:2" ht="15.75">
      <c r="A64" s="178"/>
      <c r="B64" s="29" t="s">
        <v>335</v>
      </c>
    </row>
    <row r="65" ht="15.75">
      <c r="B65" s="29" t="s">
        <v>409</v>
      </c>
    </row>
    <row r="66" ht="15">
      <c r="B66" s="30" t="s">
        <v>408</v>
      </c>
    </row>
    <row r="67" spans="2:4" ht="15">
      <c r="B67" s="30" t="s">
        <v>63</v>
      </c>
      <c r="D67" s="30">
        <f>SUM(D65:D66)</f>
        <v>0</v>
      </c>
    </row>
  </sheetData>
  <sheetProtection/>
  <mergeCells count="1">
    <mergeCell ref="F22:F27"/>
  </mergeCells>
  <printOptions/>
  <pageMargins left="0.7" right="0.7" top="0.75" bottom="0.75" header="0.3" footer="0.3"/>
  <pageSetup horizontalDpi="300" verticalDpi="300" orientation="portrait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60" zoomScalePageLayoutView="0" workbookViewId="0" topLeftCell="A46">
      <selection activeCell="H72" sqref="H72"/>
    </sheetView>
  </sheetViews>
  <sheetFormatPr defaultColWidth="8.66015625" defaultRowHeight="18"/>
  <cols>
    <col min="1" max="1" width="7.58203125" style="86" customWidth="1"/>
    <col min="2" max="2" width="30.25" style="86" customWidth="1"/>
    <col min="3" max="3" width="9.08203125" style="15" customWidth="1"/>
    <col min="4" max="4" width="8.08203125" style="22" customWidth="1"/>
    <col min="5" max="5" width="10.25" style="22" customWidth="1"/>
    <col min="6" max="7" width="8.91015625" style="86" customWidth="1"/>
    <col min="8" max="8" width="34.75" style="86" customWidth="1"/>
    <col min="9" max="9" width="6.33203125" style="86" customWidth="1"/>
    <col min="10" max="16384" width="8.91015625" style="86" customWidth="1"/>
  </cols>
  <sheetData>
    <row r="1" spans="1:7" s="409" customFormat="1" ht="35.25" customHeight="1">
      <c r="A1" s="33" t="s">
        <v>578</v>
      </c>
      <c r="B1" s="85" t="s">
        <v>321</v>
      </c>
      <c r="C1" s="426" t="s">
        <v>266</v>
      </c>
      <c r="D1" s="427" t="s">
        <v>302</v>
      </c>
      <c r="E1" s="453" t="s">
        <v>651</v>
      </c>
      <c r="F1" s="459" t="s">
        <v>659</v>
      </c>
      <c r="G1" s="459" t="s">
        <v>653</v>
      </c>
    </row>
    <row r="2" spans="1:7" s="409" customFormat="1" ht="15" customHeight="1">
      <c r="A2" s="33"/>
      <c r="B2" s="85" t="s">
        <v>329</v>
      </c>
      <c r="C2" s="426"/>
      <c r="D2" s="427"/>
      <c r="E2" s="453"/>
      <c r="F2" s="459"/>
      <c r="G2" s="459"/>
    </row>
    <row r="3" spans="1:7" ht="27.75" customHeight="1" thickBot="1">
      <c r="A3" s="157">
        <v>841146</v>
      </c>
      <c r="B3" s="47" t="s">
        <v>160</v>
      </c>
      <c r="C3" s="48"/>
      <c r="D3" s="37"/>
      <c r="E3" s="454"/>
      <c r="F3" s="459" t="s">
        <v>203</v>
      </c>
      <c r="G3" s="35"/>
    </row>
    <row r="4" spans="1:7" ht="24.75" customHeight="1" thickTop="1">
      <c r="A4" s="87"/>
      <c r="B4" s="88" t="s">
        <v>586</v>
      </c>
      <c r="C4" s="37"/>
      <c r="D4" s="37"/>
      <c r="E4" s="454">
        <v>400</v>
      </c>
      <c r="F4" s="35"/>
      <c r="G4" s="35"/>
    </row>
    <row r="5" spans="1:7" ht="13.5" customHeight="1">
      <c r="A5" s="87"/>
      <c r="B5" s="88" t="s">
        <v>587</v>
      </c>
      <c r="C5" s="37"/>
      <c r="D5" s="37"/>
      <c r="E5" s="454">
        <v>100</v>
      </c>
      <c r="F5" s="35"/>
      <c r="G5" s="35"/>
    </row>
    <row r="6" spans="1:7" s="438" customFormat="1" ht="13.5" customHeight="1">
      <c r="A6" s="439"/>
      <c r="B6" s="440" t="s">
        <v>619</v>
      </c>
      <c r="C6" s="441"/>
      <c r="D6" s="441"/>
      <c r="E6" s="455"/>
      <c r="F6" s="460"/>
      <c r="G6" s="460"/>
    </row>
    <row r="7" spans="1:8" ht="13.5" customHeight="1">
      <c r="A7" s="87"/>
      <c r="B7" s="88" t="s">
        <v>588</v>
      </c>
      <c r="C7" s="37"/>
      <c r="D7" s="37"/>
      <c r="E7" s="454">
        <v>250</v>
      </c>
      <c r="F7" s="35"/>
      <c r="G7" s="35">
        <v>150</v>
      </c>
      <c r="H7" s="86" t="s">
        <v>661</v>
      </c>
    </row>
    <row r="8" spans="1:7" ht="13.5" customHeight="1">
      <c r="A8" s="87"/>
      <c r="B8" s="88" t="s">
        <v>560</v>
      </c>
      <c r="C8" s="37"/>
      <c r="D8" s="37">
        <f>SUM(D5:D7)</f>
        <v>0</v>
      </c>
      <c r="E8" s="454">
        <f>SUM(E4:E7)</f>
        <v>750</v>
      </c>
      <c r="F8" s="35"/>
      <c r="G8" s="35">
        <f>SUM(G4:G7)</f>
        <v>150</v>
      </c>
    </row>
    <row r="9" spans="1:7" ht="15.75">
      <c r="A9" s="87"/>
      <c r="B9" s="88" t="s">
        <v>260</v>
      </c>
      <c r="C9" s="37"/>
      <c r="D9" s="37">
        <f>D8*27%</f>
        <v>0</v>
      </c>
      <c r="E9" s="454">
        <f>E8*27%</f>
        <v>202.5</v>
      </c>
      <c r="F9" s="35"/>
      <c r="G9" s="35">
        <v>41</v>
      </c>
    </row>
    <row r="10" spans="1:7" ht="15.75">
      <c r="A10" s="87"/>
      <c r="B10" s="158" t="s">
        <v>261</v>
      </c>
      <c r="C10" s="37">
        <f>SUM(C4:C9)</f>
        <v>0</v>
      </c>
      <c r="D10" s="37">
        <f>D8+D9</f>
        <v>0</v>
      </c>
      <c r="E10" s="454">
        <f>SUM(E8:E9)</f>
        <v>952.5</v>
      </c>
      <c r="F10" s="454">
        <f>SUM(F8:F9)</f>
        <v>0</v>
      </c>
      <c r="G10" s="454">
        <f>SUM(G8:G9)</f>
        <v>191</v>
      </c>
    </row>
    <row r="11" spans="1:7" ht="15.75">
      <c r="A11" s="87"/>
      <c r="B11" s="88"/>
      <c r="C11" s="37"/>
      <c r="D11" s="37"/>
      <c r="E11" s="454"/>
      <c r="F11" s="35"/>
      <c r="G11" s="35"/>
    </row>
    <row r="12" spans="1:7" ht="15.75">
      <c r="A12" s="87"/>
      <c r="B12" s="89" t="s">
        <v>314</v>
      </c>
      <c r="C12" s="37"/>
      <c r="D12" s="37"/>
      <c r="E12" s="454"/>
      <c r="F12" s="35"/>
      <c r="G12" s="35"/>
    </row>
    <row r="13" spans="1:7" ht="15.75">
      <c r="A13" s="87"/>
      <c r="B13" s="89" t="s">
        <v>259</v>
      </c>
      <c r="C13" s="37"/>
      <c r="D13" s="37"/>
      <c r="E13" s="454"/>
      <c r="F13" s="35"/>
      <c r="G13" s="35"/>
    </row>
    <row r="14" spans="1:7" ht="15.75">
      <c r="A14" s="87"/>
      <c r="B14" s="99" t="s">
        <v>173</v>
      </c>
      <c r="C14" s="37">
        <f>SUM(C12:C13)</f>
        <v>0</v>
      </c>
      <c r="D14" s="37">
        <f>SUM(D12:D13)</f>
        <v>0</v>
      </c>
      <c r="E14" s="454">
        <f>SUM(E12:E13)</f>
        <v>0</v>
      </c>
      <c r="F14" s="454">
        <f>SUM(F12:F13)</f>
        <v>0</v>
      </c>
      <c r="G14" s="454">
        <f>SUM(G12:G13)</f>
        <v>0</v>
      </c>
    </row>
    <row r="15" spans="1:7" ht="15.75">
      <c r="A15" s="87"/>
      <c r="B15" s="47" t="s">
        <v>41</v>
      </c>
      <c r="C15" s="37">
        <f>SUM(C14+C10)</f>
        <v>0</v>
      </c>
      <c r="D15" s="37">
        <f>SUM(D10+D14)</f>
        <v>0</v>
      </c>
      <c r="E15" s="454">
        <f>SUM(E14+E10)</f>
        <v>952.5</v>
      </c>
      <c r="F15" s="454">
        <f>SUM(F14+F10)</f>
        <v>0</v>
      </c>
      <c r="G15" s="454">
        <f>SUM(G14+G10)</f>
        <v>191</v>
      </c>
    </row>
    <row r="16" spans="1:7" ht="33.75" customHeight="1">
      <c r="A16" s="47"/>
      <c r="B16" s="47" t="s">
        <v>111</v>
      </c>
      <c r="C16" s="37"/>
      <c r="D16" s="37"/>
      <c r="E16" s="454"/>
      <c r="F16" s="35"/>
      <c r="G16" s="35"/>
    </row>
    <row r="17" spans="1:7" ht="15.75">
      <c r="A17" s="35">
        <v>511111</v>
      </c>
      <c r="B17" s="35" t="s">
        <v>67</v>
      </c>
      <c r="C17" s="37"/>
      <c r="D17" s="37">
        <f>'[2]GEVSZ'!$J$14/1000</f>
        <v>6115.5</v>
      </c>
      <c r="E17" s="454">
        <f>'[3]GEVSZ'!$P$9/1000-480-608</f>
        <v>10130.505</v>
      </c>
      <c r="F17" s="35"/>
      <c r="G17" s="35">
        <f>10925+154</f>
        <v>11079</v>
      </c>
    </row>
    <row r="18" spans="1:7" ht="15.75">
      <c r="A18" s="35">
        <v>511131</v>
      </c>
      <c r="B18" s="35" t="s">
        <v>322</v>
      </c>
      <c r="C18" s="37"/>
      <c r="D18" s="37">
        <f>'[2]GEVSZ'!$J$16/1000</f>
        <v>556.56</v>
      </c>
      <c r="E18" s="454"/>
      <c r="F18" s="35"/>
      <c r="G18" s="35"/>
    </row>
    <row r="19" spans="1:7" ht="15.75">
      <c r="A19" s="35">
        <v>511241</v>
      </c>
      <c r="B19" s="35" t="s">
        <v>561</v>
      </c>
      <c r="C19" s="37"/>
      <c r="D19" s="37">
        <f>'[2]GEVSZ'!$J$15/1000</f>
        <v>371.55</v>
      </c>
      <c r="E19" s="454"/>
      <c r="F19" s="35"/>
      <c r="G19" s="35"/>
    </row>
    <row r="20" spans="1:7" ht="15.75">
      <c r="A20" s="35"/>
      <c r="B20" s="35" t="s">
        <v>393</v>
      </c>
      <c r="C20" s="37"/>
      <c r="D20" s="37"/>
      <c r="E20" s="454">
        <v>480</v>
      </c>
      <c r="F20" s="35"/>
      <c r="G20" s="35">
        <f>660+40</f>
        <v>700</v>
      </c>
    </row>
    <row r="21" spans="1:7" ht="15.75">
      <c r="A21" s="35"/>
      <c r="B21" s="35" t="s">
        <v>219</v>
      </c>
      <c r="C21" s="37"/>
      <c r="D21" s="37"/>
      <c r="E21" s="454">
        <v>110</v>
      </c>
      <c r="F21" s="35"/>
      <c r="G21" s="35">
        <v>101</v>
      </c>
    </row>
    <row r="22" spans="1:7" ht="15.75">
      <c r="A22" s="35">
        <v>512191</v>
      </c>
      <c r="B22" s="35" t="s">
        <v>49</v>
      </c>
      <c r="C22" s="37"/>
      <c r="D22" s="37">
        <v>200</v>
      </c>
      <c r="E22" s="454">
        <v>200</v>
      </c>
      <c r="F22" s="35"/>
      <c r="G22" s="35">
        <v>200</v>
      </c>
    </row>
    <row r="23" spans="1:7" ht="15.75">
      <c r="A23" s="35">
        <v>512191</v>
      </c>
      <c r="B23" s="35" t="s">
        <v>139</v>
      </c>
      <c r="C23" s="37"/>
      <c r="D23" s="37">
        <v>100</v>
      </c>
      <c r="E23" s="454">
        <v>100</v>
      </c>
      <c r="F23" s="35"/>
      <c r="G23" s="35"/>
    </row>
    <row r="24" spans="1:7" ht="15.75">
      <c r="A24" s="35">
        <v>517121</v>
      </c>
      <c r="B24" s="35" t="s">
        <v>253</v>
      </c>
      <c r="C24" s="37"/>
      <c r="D24" s="37">
        <v>80</v>
      </c>
      <c r="E24" s="454">
        <v>80</v>
      </c>
      <c r="F24" s="35"/>
      <c r="G24" s="35">
        <v>80</v>
      </c>
    </row>
    <row r="25" spans="1:7" ht="15.75">
      <c r="A25" s="35">
        <v>513191</v>
      </c>
      <c r="B25" s="35" t="s">
        <v>150</v>
      </c>
      <c r="C25" s="37"/>
      <c r="D25" s="37">
        <v>10</v>
      </c>
      <c r="E25" s="454"/>
      <c r="F25" s="35"/>
      <c r="G25" s="35"/>
    </row>
    <row r="26" spans="1:8" ht="15.75">
      <c r="A26" s="35">
        <v>513121</v>
      </c>
      <c r="B26" s="35" t="s">
        <v>48</v>
      </c>
      <c r="C26" s="37"/>
      <c r="D26" s="37"/>
      <c r="E26" s="454">
        <v>1935</v>
      </c>
      <c r="F26" s="35"/>
      <c r="G26" s="91"/>
      <c r="H26" s="90"/>
    </row>
    <row r="27" spans="1:7" ht="15.75">
      <c r="A27" s="35">
        <v>513131</v>
      </c>
      <c r="B27" s="35" t="s">
        <v>45</v>
      </c>
      <c r="C27" s="37"/>
      <c r="D27" s="37">
        <v>30</v>
      </c>
      <c r="E27" s="454">
        <v>30</v>
      </c>
      <c r="F27" s="91"/>
      <c r="G27" s="91">
        <v>30</v>
      </c>
    </row>
    <row r="28" spans="1:8" ht="18.75">
      <c r="A28" s="35">
        <v>513191</v>
      </c>
      <c r="B28" s="91" t="s">
        <v>24</v>
      </c>
      <c r="C28" s="37"/>
      <c r="D28" s="37">
        <v>130</v>
      </c>
      <c r="E28" s="454">
        <v>180</v>
      </c>
      <c r="F28" s="35"/>
      <c r="G28" s="461">
        <v>260</v>
      </c>
      <c r="H28" s="519" t="s">
        <v>818</v>
      </c>
    </row>
    <row r="29" spans="1:7" ht="15.75">
      <c r="A29" s="35">
        <v>514131</v>
      </c>
      <c r="B29" s="35" t="s">
        <v>1</v>
      </c>
      <c r="C29" s="37"/>
      <c r="D29" s="37">
        <v>250</v>
      </c>
      <c r="E29" s="454"/>
      <c r="F29" s="35"/>
      <c r="G29" s="35">
        <v>120</v>
      </c>
    </row>
    <row r="30" spans="1:7" ht="15.75">
      <c r="A30" s="35">
        <v>514141</v>
      </c>
      <c r="B30" s="35" t="s">
        <v>181</v>
      </c>
      <c r="C30" s="37"/>
      <c r="D30" s="37">
        <f>(3*12500*9+12500*8)/1000</f>
        <v>437.5</v>
      </c>
      <c r="E30" s="454">
        <v>570</v>
      </c>
      <c r="F30" s="35"/>
      <c r="G30" s="35">
        <v>825</v>
      </c>
    </row>
    <row r="31" spans="1:7" ht="15.75">
      <c r="A31" s="35">
        <v>516115</v>
      </c>
      <c r="B31" s="35" t="s">
        <v>839</v>
      </c>
      <c r="C31" s="37"/>
      <c r="D31" s="37">
        <f>'[1]GEVSZ'!$K$10/1000</f>
        <v>351</v>
      </c>
      <c r="E31" s="454">
        <f>'[3]GEVSZ'!$P$7/1000</f>
        <v>607.8</v>
      </c>
      <c r="F31" s="35"/>
      <c r="G31" s="35">
        <v>964</v>
      </c>
    </row>
    <row r="32" spans="1:7" ht="15.75">
      <c r="A32" s="35">
        <v>516125</v>
      </c>
      <c r="B32" s="35" t="s">
        <v>145</v>
      </c>
      <c r="C32" s="37"/>
      <c r="D32" s="37">
        <v>56</v>
      </c>
      <c r="E32" s="454">
        <v>75</v>
      </c>
      <c r="F32" s="35"/>
      <c r="G32" s="35"/>
    </row>
    <row r="33" spans="1:7" ht="15.75">
      <c r="A33" s="47">
        <v>51</v>
      </c>
      <c r="B33" s="47" t="s">
        <v>136</v>
      </c>
      <c r="C33" s="37">
        <f>SUM(C17:C32)</f>
        <v>0</v>
      </c>
      <c r="D33" s="37">
        <f>SUM(D17:D32)</f>
        <v>8688.11</v>
      </c>
      <c r="E33" s="454">
        <f>SUM(E17:E32)</f>
        <v>14498.304999999998</v>
      </c>
      <c r="F33" s="454">
        <f>SUM(F17:F32)</f>
        <v>0</v>
      </c>
      <c r="G33" s="454">
        <f>SUM(G17:G32)</f>
        <v>14359</v>
      </c>
    </row>
    <row r="34" spans="1:8" s="92" customFormat="1" ht="18" customHeight="1">
      <c r="A34" s="47"/>
      <c r="B34" s="35" t="s">
        <v>46</v>
      </c>
      <c r="C34" s="37"/>
      <c r="D34" s="37"/>
      <c r="E34" s="454"/>
      <c r="F34" s="47"/>
      <c r="G34" s="47">
        <v>287</v>
      </c>
      <c r="H34" s="92" t="s">
        <v>842</v>
      </c>
    </row>
    <row r="35" spans="1:8" s="92" customFormat="1" ht="15.75">
      <c r="A35" s="35">
        <v>52211</v>
      </c>
      <c r="B35" s="35" t="s">
        <v>182</v>
      </c>
      <c r="C35" s="37"/>
      <c r="D35" s="37">
        <v>100</v>
      </c>
      <c r="E35" s="454">
        <v>200</v>
      </c>
      <c r="F35" s="47"/>
      <c r="G35" s="47">
        <v>100</v>
      </c>
      <c r="H35" s="92" t="s">
        <v>841</v>
      </c>
    </row>
    <row r="36" spans="1:7" ht="15.75">
      <c r="A36" s="35"/>
      <c r="B36" s="35"/>
      <c r="C36" s="37"/>
      <c r="D36" s="37"/>
      <c r="E36" s="454"/>
      <c r="F36" s="35"/>
      <c r="G36" s="35"/>
    </row>
    <row r="37" spans="1:7" s="92" customFormat="1" ht="15.75">
      <c r="A37" s="35"/>
      <c r="B37" s="47" t="s">
        <v>25</v>
      </c>
      <c r="C37" s="37">
        <f>SUM(C34:C36)</f>
        <v>0</v>
      </c>
      <c r="D37" s="37">
        <f>SUM(D34:D36)</f>
        <v>100</v>
      </c>
      <c r="E37" s="454">
        <f>SUM(E34:E36)</f>
        <v>200</v>
      </c>
      <c r="F37" s="454">
        <f>SUM(F34:F36)</f>
        <v>0</v>
      </c>
      <c r="G37" s="454">
        <f>SUM(G34:G36)</f>
        <v>387</v>
      </c>
    </row>
    <row r="38" spans="1:7" ht="15.75">
      <c r="A38" s="47">
        <v>52</v>
      </c>
      <c r="B38" s="47" t="s">
        <v>44</v>
      </c>
      <c r="C38" s="37">
        <f>SUM(C37,C33)</f>
        <v>0</v>
      </c>
      <c r="D38" s="37">
        <f>SUM(D37,D33)</f>
        <v>8788.11</v>
      </c>
      <c r="E38" s="454">
        <f>SUM(E37,E33)</f>
        <v>14698.304999999998</v>
      </c>
      <c r="F38" s="454">
        <f>SUM(F37,F33)</f>
        <v>0</v>
      </c>
      <c r="G38" s="454">
        <f>SUM(G37,G33)</f>
        <v>14746</v>
      </c>
    </row>
    <row r="39" spans="1:7" ht="13.5" customHeight="1">
      <c r="A39" s="35"/>
      <c r="B39" s="37">
        <f>C17+C18+C19+C21+C22+C23+C25+C26+C27+C30+C31+C32+C35</f>
        <v>0</v>
      </c>
      <c r="C39" s="37"/>
      <c r="D39" s="37"/>
      <c r="E39" s="454"/>
      <c r="F39" s="35"/>
      <c r="G39" s="35"/>
    </row>
    <row r="40" spans="1:8" ht="15.75">
      <c r="A40" s="35">
        <v>531125</v>
      </c>
      <c r="B40" s="35" t="s">
        <v>315</v>
      </c>
      <c r="C40" s="37"/>
      <c r="D40" s="37">
        <f>D38*27%</f>
        <v>2372.7897000000003</v>
      </c>
      <c r="E40" s="454">
        <f>(E38-E32-E30-E28-E24)*27%</f>
        <v>3724.19235</v>
      </c>
      <c r="F40" s="35"/>
      <c r="G40" s="170">
        <f>H40*27%</f>
        <v>3680.3700000000003</v>
      </c>
      <c r="H40" s="549">
        <f>G38-G30-G28-G27</f>
        <v>13631</v>
      </c>
    </row>
    <row r="41" spans="1:7" s="92" customFormat="1" ht="15.75">
      <c r="A41" s="35">
        <v>5331</v>
      </c>
      <c r="B41" s="35" t="s">
        <v>4</v>
      </c>
      <c r="C41" s="37"/>
      <c r="D41" s="37">
        <v>28</v>
      </c>
      <c r="E41" s="454">
        <f>(E30+E32)*16.7%</f>
        <v>107.71499999999999</v>
      </c>
      <c r="F41" s="47"/>
      <c r="G41" s="47">
        <v>125</v>
      </c>
    </row>
    <row r="42" spans="1:7" s="92" customFormat="1" ht="15.75">
      <c r="A42" s="35"/>
      <c r="B42" s="35" t="s">
        <v>660</v>
      </c>
      <c r="C42" s="37"/>
      <c r="D42" s="37"/>
      <c r="E42" s="454"/>
      <c r="F42" s="47"/>
      <c r="G42" s="47">
        <v>145</v>
      </c>
    </row>
    <row r="43" spans="1:8" ht="15.75">
      <c r="A43" s="35">
        <v>5341</v>
      </c>
      <c r="B43" s="35" t="s">
        <v>820</v>
      </c>
      <c r="C43" s="37"/>
      <c r="D43" s="37">
        <v>5</v>
      </c>
      <c r="E43" s="454">
        <v>2372</v>
      </c>
      <c r="F43" s="35"/>
      <c r="G43" s="35">
        <v>1430</v>
      </c>
      <c r="H43" s="86" t="s">
        <v>835</v>
      </c>
    </row>
    <row r="44" spans="1:7" ht="15.75">
      <c r="A44" s="47">
        <v>53</v>
      </c>
      <c r="B44" s="47" t="s">
        <v>5</v>
      </c>
      <c r="C44" s="37">
        <f>SUM(C39:C43)</f>
        <v>0</v>
      </c>
      <c r="D44" s="37">
        <f>SUM(D39:D43)</f>
        <v>2405.7897000000003</v>
      </c>
      <c r="E44" s="454">
        <f>SUM(E39:E43)</f>
        <v>6203.9073499999995</v>
      </c>
      <c r="F44" s="454">
        <f>SUM(F39:F43)</f>
        <v>0</v>
      </c>
      <c r="G44" s="454">
        <f>SUM(G39:G43)</f>
        <v>5380.370000000001</v>
      </c>
    </row>
    <row r="45" spans="1:7" ht="13.5" customHeight="1">
      <c r="A45" s="47"/>
      <c r="B45" s="35"/>
      <c r="C45" s="37"/>
      <c r="D45" s="37"/>
      <c r="E45" s="454"/>
      <c r="F45" s="35"/>
      <c r="G45" s="35"/>
    </row>
    <row r="46" spans="1:7" ht="15.75">
      <c r="A46" s="35">
        <v>5431</v>
      </c>
      <c r="B46" s="88" t="s">
        <v>6</v>
      </c>
      <c r="C46" s="37">
        <v>700</v>
      </c>
      <c r="D46" s="37">
        <f>1000+200+30</f>
        <v>1230</v>
      </c>
      <c r="E46" s="454">
        <v>1500</v>
      </c>
      <c r="F46" s="35">
        <v>1321</v>
      </c>
      <c r="G46" s="35">
        <v>1500</v>
      </c>
    </row>
    <row r="47" spans="1:7" ht="15.75">
      <c r="A47" s="35">
        <v>54411</v>
      </c>
      <c r="B47" s="35" t="s">
        <v>205</v>
      </c>
      <c r="C47" s="37">
        <v>80</v>
      </c>
      <c r="D47" s="37">
        <f>50+20+20</f>
        <v>90</v>
      </c>
      <c r="E47" s="454">
        <v>40</v>
      </c>
      <c r="F47" s="35">
        <v>81</v>
      </c>
      <c r="G47" s="35">
        <v>50</v>
      </c>
    </row>
    <row r="48" spans="1:7" ht="15.75">
      <c r="A48" s="35">
        <v>54412</v>
      </c>
      <c r="B48" s="35" t="s">
        <v>206</v>
      </c>
      <c r="C48" s="37">
        <v>500</v>
      </c>
      <c r="D48" s="37">
        <f>450+50</f>
        <v>500</v>
      </c>
      <c r="E48" s="454">
        <v>300</v>
      </c>
      <c r="F48" s="35">
        <v>155</v>
      </c>
      <c r="G48" s="35">
        <v>155</v>
      </c>
    </row>
    <row r="49" spans="1:7" ht="15.75">
      <c r="A49" s="35">
        <v>54413</v>
      </c>
      <c r="B49" s="35" t="s">
        <v>125</v>
      </c>
      <c r="C49" s="37"/>
      <c r="D49" s="37">
        <f>20+10+40</f>
        <v>70</v>
      </c>
      <c r="E49" s="454">
        <v>50</v>
      </c>
      <c r="F49" s="35">
        <v>50</v>
      </c>
      <c r="G49" s="35">
        <v>50</v>
      </c>
    </row>
    <row r="50" spans="1:7" ht="15.75">
      <c r="A50" s="35">
        <v>54711</v>
      </c>
      <c r="B50" s="35" t="s">
        <v>90</v>
      </c>
      <c r="C50" s="37">
        <v>100</v>
      </c>
      <c r="D50" s="37">
        <f>145+30</f>
        <v>175</v>
      </c>
      <c r="E50" s="454">
        <v>200</v>
      </c>
      <c r="F50" s="35">
        <v>58</v>
      </c>
      <c r="G50" s="35">
        <v>60</v>
      </c>
    </row>
    <row r="51" spans="1:8" s="92" customFormat="1" ht="15.75">
      <c r="A51" s="35">
        <v>54712</v>
      </c>
      <c r="B51" s="35" t="s">
        <v>113</v>
      </c>
      <c r="C51" s="37">
        <v>100</v>
      </c>
      <c r="D51" s="37">
        <f>120+20+100</f>
        <v>240</v>
      </c>
      <c r="E51" s="454">
        <v>410</v>
      </c>
      <c r="F51" s="47">
        <v>85</v>
      </c>
      <c r="G51" s="47">
        <v>300</v>
      </c>
      <c r="H51" s="86" t="s">
        <v>819</v>
      </c>
    </row>
    <row r="52" spans="1:7" ht="15.75">
      <c r="A52" s="35">
        <v>5481</v>
      </c>
      <c r="B52" s="35" t="s">
        <v>28</v>
      </c>
      <c r="C52" s="37">
        <v>20</v>
      </c>
      <c r="D52" s="37">
        <v>20</v>
      </c>
      <c r="E52" s="454">
        <v>20</v>
      </c>
      <c r="F52" s="35"/>
      <c r="G52" s="35">
        <v>20</v>
      </c>
    </row>
    <row r="53" spans="1:7" ht="15.75">
      <c r="A53" s="35">
        <v>54913</v>
      </c>
      <c r="B53" s="35" t="s">
        <v>47</v>
      </c>
      <c r="C53" s="37">
        <v>200</v>
      </c>
      <c r="D53" s="37">
        <f>150+10+20</f>
        <v>180</v>
      </c>
      <c r="E53" s="454">
        <v>220</v>
      </c>
      <c r="F53" s="35">
        <v>270</v>
      </c>
      <c r="G53" s="35">
        <v>270</v>
      </c>
    </row>
    <row r="54" spans="1:7" ht="15.75">
      <c r="A54" s="47">
        <v>54</v>
      </c>
      <c r="B54" s="47" t="s">
        <v>7</v>
      </c>
      <c r="C54" s="37">
        <f>SUM(C46:C53)</f>
        <v>1700</v>
      </c>
      <c r="D54" s="37">
        <f>SUM(D46:D53)</f>
        <v>2505</v>
      </c>
      <c r="E54" s="454">
        <f>SUM(E46:E53)</f>
        <v>2740</v>
      </c>
      <c r="F54" s="454">
        <f>SUM(F46:F53)</f>
        <v>2020</v>
      </c>
      <c r="G54" s="454">
        <f>SUM(G46:G53)</f>
        <v>2405</v>
      </c>
    </row>
    <row r="55" spans="1:7" ht="12" customHeight="1">
      <c r="A55" s="47"/>
      <c r="B55" s="35"/>
      <c r="C55" s="37"/>
      <c r="D55" s="37"/>
      <c r="E55" s="454"/>
      <c r="F55" s="35"/>
      <c r="G55" s="35"/>
    </row>
    <row r="56" spans="1:7" ht="15.75">
      <c r="A56" s="35">
        <v>55121</v>
      </c>
      <c r="B56" s="35" t="s">
        <v>8</v>
      </c>
      <c r="C56" s="37">
        <v>400</v>
      </c>
      <c r="D56" s="37">
        <f>400+100+200</f>
        <v>700</v>
      </c>
      <c r="E56" s="454">
        <v>700</v>
      </c>
      <c r="F56" s="35">
        <v>430</v>
      </c>
      <c r="G56" s="35">
        <v>500</v>
      </c>
    </row>
    <row r="57" spans="1:8" ht="15.75">
      <c r="A57" s="35">
        <v>55122</v>
      </c>
      <c r="B57" s="35" t="s">
        <v>135</v>
      </c>
      <c r="C57" s="37">
        <v>320</v>
      </c>
      <c r="D57" s="37">
        <f>150+150+360-360</f>
        <v>300</v>
      </c>
      <c r="E57" s="454">
        <v>530</v>
      </c>
      <c r="F57" s="35">
        <v>267</v>
      </c>
      <c r="G57" s="35">
        <v>300</v>
      </c>
      <c r="H57" s="86" t="s">
        <v>606</v>
      </c>
    </row>
    <row r="58" spans="1:7" ht="15.75">
      <c r="A58" s="578">
        <v>55129</v>
      </c>
      <c r="B58" s="579" t="s">
        <v>159</v>
      </c>
      <c r="C58" s="53"/>
      <c r="D58" s="580">
        <f>400</f>
        <v>400</v>
      </c>
      <c r="E58" s="456"/>
      <c r="F58" s="35"/>
      <c r="G58" s="35"/>
    </row>
    <row r="59" spans="1:7" ht="15.75">
      <c r="A59" s="578"/>
      <c r="B59" s="573"/>
      <c r="C59" s="53">
        <v>550</v>
      </c>
      <c r="D59" s="581"/>
      <c r="E59" s="456">
        <v>250</v>
      </c>
      <c r="F59" s="35">
        <v>250</v>
      </c>
      <c r="G59" s="35">
        <v>250</v>
      </c>
    </row>
    <row r="60" spans="1:7" ht="15.75">
      <c r="A60" s="35">
        <v>55213</v>
      </c>
      <c r="B60" s="35" t="s">
        <v>9</v>
      </c>
      <c r="C60" s="37">
        <v>70</v>
      </c>
      <c r="D60" s="37">
        <v>70</v>
      </c>
      <c r="E60" s="454"/>
      <c r="F60" s="35"/>
      <c r="G60" s="35">
        <v>110</v>
      </c>
    </row>
    <row r="61" spans="1:8" ht="15.75">
      <c r="A61" s="35">
        <v>55214</v>
      </c>
      <c r="B61" s="35" t="s">
        <v>10</v>
      </c>
      <c r="C61" s="37">
        <v>700</v>
      </c>
      <c r="D61" s="37">
        <v>580</v>
      </c>
      <c r="E61" s="454">
        <v>900</v>
      </c>
      <c r="F61" s="35">
        <v>434</v>
      </c>
      <c r="G61" s="35">
        <v>700</v>
      </c>
      <c r="H61" s="86" t="s">
        <v>836</v>
      </c>
    </row>
    <row r="62" spans="1:7" ht="15.75">
      <c r="A62" s="35">
        <v>55215</v>
      </c>
      <c r="B62" s="35" t="s">
        <v>11</v>
      </c>
      <c r="C62" s="37">
        <v>450</v>
      </c>
      <c r="D62" s="37">
        <v>450</v>
      </c>
      <c r="E62" s="454">
        <v>600</v>
      </c>
      <c r="F62" s="35">
        <v>518</v>
      </c>
      <c r="G62" s="35">
        <v>550</v>
      </c>
    </row>
    <row r="63" spans="1:7" ht="15.75">
      <c r="A63" s="35">
        <v>55217</v>
      </c>
      <c r="B63" s="35" t="s">
        <v>12</v>
      </c>
      <c r="C63" s="37">
        <v>250</v>
      </c>
      <c r="D63" s="37">
        <v>230</v>
      </c>
      <c r="E63" s="454">
        <v>185</v>
      </c>
      <c r="F63" s="35">
        <v>176</v>
      </c>
      <c r="G63" s="35">
        <v>185</v>
      </c>
    </row>
    <row r="64" spans="1:7" ht="15.75">
      <c r="A64" s="35">
        <v>552181</v>
      </c>
      <c r="B64" s="35" t="s">
        <v>26</v>
      </c>
      <c r="C64" s="37">
        <v>100</v>
      </c>
      <c r="D64" s="37">
        <v>100</v>
      </c>
      <c r="E64" s="454">
        <v>100</v>
      </c>
      <c r="F64" s="35">
        <v>45</v>
      </c>
      <c r="G64" s="35">
        <v>50</v>
      </c>
    </row>
    <row r="65" spans="1:8" ht="15.75">
      <c r="A65" s="35">
        <v>552182</v>
      </c>
      <c r="B65" s="35" t="s">
        <v>13</v>
      </c>
      <c r="C65" s="37">
        <v>250</v>
      </c>
      <c r="D65" s="37">
        <v>500</v>
      </c>
      <c r="E65" s="454">
        <v>715</v>
      </c>
      <c r="F65" s="35">
        <f>580+63</f>
        <v>643</v>
      </c>
      <c r="G65" s="35">
        <v>700</v>
      </c>
      <c r="H65" s="86" t="s">
        <v>607</v>
      </c>
    </row>
    <row r="66" spans="1:7" ht="15.75">
      <c r="A66" s="35">
        <v>55219</v>
      </c>
      <c r="B66" s="35" t="s">
        <v>14</v>
      </c>
      <c r="C66" s="37">
        <v>50</v>
      </c>
      <c r="D66" s="37">
        <v>50</v>
      </c>
      <c r="E66" s="454">
        <v>50</v>
      </c>
      <c r="F66" s="35">
        <v>292</v>
      </c>
      <c r="G66" s="35">
        <v>290</v>
      </c>
    </row>
    <row r="67" spans="1:7" ht="15.75">
      <c r="A67" s="35">
        <v>55219</v>
      </c>
      <c r="B67" s="35" t="s">
        <v>15</v>
      </c>
      <c r="C67" s="37">
        <v>2000</v>
      </c>
      <c r="D67" s="37">
        <f>875+875+30-1300</f>
        <v>480</v>
      </c>
      <c r="E67" s="454">
        <v>850</v>
      </c>
      <c r="F67" s="35">
        <v>590</v>
      </c>
      <c r="G67" s="35">
        <v>850</v>
      </c>
    </row>
    <row r="68" spans="1:9" ht="47.25" customHeight="1">
      <c r="A68" s="35">
        <v>5531</v>
      </c>
      <c r="B68" s="93" t="s">
        <v>222</v>
      </c>
      <c r="C68" s="37">
        <v>1895</v>
      </c>
      <c r="D68" s="37">
        <f>1820+1153+437-437</f>
        <v>2973</v>
      </c>
      <c r="E68" s="454">
        <v>1695</v>
      </c>
      <c r="F68" s="35">
        <v>1447</v>
      </c>
      <c r="G68" s="35">
        <v>2245</v>
      </c>
      <c r="H68" s="110" t="s">
        <v>830</v>
      </c>
      <c r="I68" s="520"/>
    </row>
    <row r="69" spans="1:7" ht="15.75">
      <c r="A69" s="47">
        <v>55</v>
      </c>
      <c r="B69" s="47" t="s">
        <v>16</v>
      </c>
      <c r="C69" s="37">
        <f>SUM(C55:C68)</f>
        <v>7035</v>
      </c>
      <c r="D69" s="37">
        <f>SUM(D55:D68)</f>
        <v>6833</v>
      </c>
      <c r="E69" s="454">
        <f>SUM(E55:E68)</f>
        <v>6575</v>
      </c>
      <c r="F69" s="454">
        <f>SUM(F55:F68)</f>
        <v>5092</v>
      </c>
      <c r="G69" s="454">
        <f>SUM(G55:G68)</f>
        <v>6730</v>
      </c>
    </row>
    <row r="70" spans="1:7" ht="12" customHeight="1">
      <c r="A70" s="47"/>
      <c r="B70" s="35"/>
      <c r="C70" s="37"/>
      <c r="D70" s="37"/>
      <c r="E70" s="454"/>
      <c r="F70" s="35"/>
      <c r="G70" s="35"/>
    </row>
    <row r="71" spans="1:8" ht="15.75">
      <c r="A71" s="35">
        <v>56111</v>
      </c>
      <c r="B71" s="35" t="s">
        <v>17</v>
      </c>
      <c r="C71" s="170">
        <f>(C54+C69+C74)*27%</f>
        <v>2381.67</v>
      </c>
      <c r="D71" s="170">
        <f>(D54+D69+D74)*27%</f>
        <v>2557.98</v>
      </c>
      <c r="E71" s="457">
        <f>(E69+E74+E54)*27%</f>
        <v>2542.05</v>
      </c>
      <c r="F71" s="35">
        <f>1560+49</f>
        <v>1609</v>
      </c>
      <c r="G71" s="170">
        <f>H71*27%+1</f>
        <v>2494.4500000000003</v>
      </c>
      <c r="H71" s="549">
        <f>G69+G54+G74</f>
        <v>9235</v>
      </c>
    </row>
    <row r="72" spans="1:7" ht="15.75">
      <c r="A72" s="35">
        <v>56112</v>
      </c>
      <c r="B72" s="35" t="s">
        <v>328</v>
      </c>
      <c r="C72" s="170"/>
      <c r="D72" s="170">
        <v>5000</v>
      </c>
      <c r="E72" s="457">
        <v>3200</v>
      </c>
      <c r="F72" s="35">
        <v>3245</v>
      </c>
      <c r="G72" s="35">
        <v>3900</v>
      </c>
    </row>
    <row r="73" spans="1:7" s="92" customFormat="1" ht="15.75">
      <c r="A73" s="35">
        <v>56211</v>
      </c>
      <c r="B73" s="35" t="s">
        <v>18</v>
      </c>
      <c r="C73" s="48">
        <v>950</v>
      </c>
      <c r="D73" s="37">
        <f>610+200</f>
        <v>810</v>
      </c>
      <c r="E73" s="351">
        <v>400</v>
      </c>
      <c r="F73" s="35">
        <v>330</v>
      </c>
      <c r="G73" s="35">
        <v>330</v>
      </c>
    </row>
    <row r="74" spans="1:7" ht="15.75">
      <c r="A74" s="35">
        <v>56213</v>
      </c>
      <c r="B74" s="35" t="s">
        <v>19</v>
      </c>
      <c r="C74" s="48">
        <v>86</v>
      </c>
      <c r="D74" s="37">
        <f>106+30</f>
        <v>136</v>
      </c>
      <c r="E74" s="351">
        <v>100</v>
      </c>
      <c r="F74" s="35">
        <v>115</v>
      </c>
      <c r="G74" s="35">
        <v>100</v>
      </c>
    </row>
    <row r="75" spans="1:7" ht="15.75">
      <c r="A75" s="47">
        <v>56</v>
      </c>
      <c r="B75" s="47" t="s">
        <v>20</v>
      </c>
      <c r="C75" s="37">
        <f>SUM(C71:C74)</f>
        <v>3417.67</v>
      </c>
      <c r="D75" s="37">
        <f>SUM(D71:D74)</f>
        <v>8503.98</v>
      </c>
      <c r="E75" s="454">
        <f>SUM(E71:E74)</f>
        <v>6242.05</v>
      </c>
      <c r="F75" s="454">
        <f>SUM(F71:F74)</f>
        <v>5299</v>
      </c>
      <c r="G75" s="454">
        <f>SUM(G71:G74)</f>
        <v>6824.450000000001</v>
      </c>
    </row>
    <row r="76" spans="1:7" ht="12" customHeight="1">
      <c r="A76" s="47"/>
      <c r="B76" s="35"/>
      <c r="C76" s="37"/>
      <c r="D76" s="37"/>
      <c r="E76" s="454"/>
      <c r="F76" s="35"/>
      <c r="G76" s="35"/>
    </row>
    <row r="77" spans="1:7" ht="15.75">
      <c r="A77" s="374">
        <v>57213</v>
      </c>
      <c r="B77" s="374" t="s">
        <v>221</v>
      </c>
      <c r="C77" s="375">
        <v>1800</v>
      </c>
      <c r="D77" s="375">
        <v>1160</v>
      </c>
      <c r="E77" s="458"/>
      <c r="F77" s="35"/>
      <c r="G77" s="35"/>
    </row>
    <row r="78" spans="1:7" ht="15.75">
      <c r="A78" s="35"/>
      <c r="B78" s="35" t="s">
        <v>220</v>
      </c>
      <c r="C78" s="37">
        <v>323</v>
      </c>
      <c r="D78" s="37">
        <v>90</v>
      </c>
      <c r="E78" s="454">
        <f>(E30+E32)*19.04%</f>
        <v>122.80799999999999</v>
      </c>
      <c r="F78" s="35"/>
      <c r="G78" s="35"/>
    </row>
    <row r="79" spans="1:7" s="410" customFormat="1" ht="15.75">
      <c r="A79" s="35">
        <v>572191</v>
      </c>
      <c r="B79" s="35" t="s">
        <v>21</v>
      </c>
      <c r="C79" s="37">
        <v>1600</v>
      </c>
      <c r="D79" s="37">
        <v>1590</v>
      </c>
      <c r="E79" s="454">
        <v>900</v>
      </c>
      <c r="F79" s="47">
        <v>589</v>
      </c>
      <c r="G79" s="47">
        <v>600</v>
      </c>
    </row>
    <row r="80" spans="1:7" s="92" customFormat="1" ht="15.75">
      <c r="A80" s="35">
        <v>572192</v>
      </c>
      <c r="B80" s="35" t="s">
        <v>22</v>
      </c>
      <c r="C80" s="37"/>
      <c r="D80" s="37">
        <f>230+300</f>
        <v>530</v>
      </c>
      <c r="E80" s="454">
        <v>415</v>
      </c>
      <c r="F80" s="47">
        <v>825</v>
      </c>
      <c r="G80" s="47">
        <v>415</v>
      </c>
    </row>
    <row r="81" spans="1:7" s="3" customFormat="1" ht="21" customHeight="1">
      <c r="A81" s="34"/>
      <c r="B81" s="47" t="s">
        <v>23</v>
      </c>
      <c r="C81" s="43">
        <f>SUM(C77:C80)</f>
        <v>3723</v>
      </c>
      <c r="D81" s="43">
        <f>SUM(D77:D80)</f>
        <v>3370</v>
      </c>
      <c r="E81" s="334">
        <f>SUM(E77:E80)</f>
        <v>1437.808</v>
      </c>
      <c r="F81" s="334">
        <f>SUM(F77:F80)</f>
        <v>1414</v>
      </c>
      <c r="G81" s="334">
        <f>SUM(G77:G80)</f>
        <v>1015</v>
      </c>
    </row>
    <row r="82" spans="1:7" s="21" customFormat="1" ht="18.75">
      <c r="A82" s="36">
        <v>57</v>
      </c>
      <c r="B82" s="36" t="s">
        <v>29</v>
      </c>
      <c r="C82" s="43">
        <f>SUM(C81,C75,C69,C54,)</f>
        <v>15875.67</v>
      </c>
      <c r="D82" s="43">
        <f>SUM(D81,D75,D69,D54,)</f>
        <v>21211.98</v>
      </c>
      <c r="E82" s="334">
        <f>SUM(E81,E75,E69,E54,)</f>
        <v>16994.858</v>
      </c>
      <c r="F82" s="334">
        <f>SUM(F81,F75,F69,F54,)</f>
        <v>13825</v>
      </c>
      <c r="G82" s="334">
        <f>SUM(G81,G75,G69,G54)</f>
        <v>16974.45</v>
      </c>
    </row>
    <row r="83" spans="1:7" s="21" customFormat="1" ht="18.75">
      <c r="A83" s="36"/>
      <c r="B83" s="36" t="s">
        <v>43</v>
      </c>
      <c r="C83" s="43">
        <f>SUM(C82,C44,C38)</f>
        <v>15875.67</v>
      </c>
      <c r="D83" s="43">
        <f>SUM(D82,D44,D38)</f>
        <v>32405.8797</v>
      </c>
      <c r="E83" s="334">
        <f>SUM(E82,E44,E38)</f>
        <v>37897.07035</v>
      </c>
      <c r="F83" s="334">
        <f>SUM(F82,F44,F38)</f>
        <v>13825</v>
      </c>
      <c r="G83" s="334">
        <f>SUM(G82,G44,G38)</f>
        <v>37100.82</v>
      </c>
    </row>
    <row r="84" spans="1:7" s="21" customFormat="1" ht="9.75" customHeight="1">
      <c r="A84" s="36"/>
      <c r="B84" s="36"/>
      <c r="C84" s="43"/>
      <c r="D84" s="43"/>
      <c r="E84" s="334"/>
      <c r="F84" s="34"/>
      <c r="G84" s="34"/>
    </row>
    <row r="85" spans="1:7" s="21" customFormat="1" ht="19.5" thickBot="1">
      <c r="A85" s="8"/>
      <c r="B85" s="8" t="s">
        <v>0</v>
      </c>
      <c r="C85" s="39">
        <f>SUM(C83,C15)</f>
        <v>15875.67</v>
      </c>
      <c r="D85" s="39">
        <f>SUM(D83,D15)</f>
        <v>32405.8797</v>
      </c>
      <c r="E85" s="39">
        <f>SUM(E83,E15)</f>
        <v>38849.57035</v>
      </c>
      <c r="F85" s="39">
        <f>SUM(F83,F15)</f>
        <v>13825</v>
      </c>
      <c r="G85" s="39">
        <f>SUM(G83,G15)</f>
        <v>37291.82</v>
      </c>
    </row>
    <row r="86" spans="1:2" ht="16.5" thickTop="1">
      <c r="A86" s="94"/>
      <c r="B86" s="95"/>
    </row>
  </sheetData>
  <sheetProtection/>
  <mergeCells count="3">
    <mergeCell ref="A58:A59"/>
    <mergeCell ref="B58:B59"/>
    <mergeCell ref="D58:D59"/>
  </mergeCells>
  <printOptions/>
  <pageMargins left="0.7" right="0.7" top="0.75" bottom="0.75" header="0.3" footer="0.3"/>
  <pageSetup horizontalDpi="300" verticalDpi="300" orientation="portrait" paperSize="9" scale="51" r:id="rId1"/>
  <rowBreaks count="1" manualBreakCount="1">
    <brk id="70" max="255" man="1"/>
  </rowBreaks>
  <colBreaks count="1" manualBreakCount="1">
    <brk id="9" max="8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2:G22"/>
  <sheetViews>
    <sheetView view="pageBreakPreview" zoomScale="60" zoomScalePageLayoutView="0" workbookViewId="0" topLeftCell="A1">
      <selection activeCell="F24" sqref="F24"/>
    </sheetView>
  </sheetViews>
  <sheetFormatPr defaultColWidth="8.66015625" defaultRowHeight="18"/>
  <cols>
    <col min="1" max="1" width="9" style="0" bestFit="1" customWidth="1"/>
    <col min="2" max="2" width="35.75" style="0" customWidth="1"/>
    <col min="3" max="3" width="10.33203125" style="7" customWidth="1"/>
    <col min="4" max="4" width="9.75" style="3" customWidth="1"/>
    <col min="5" max="5" width="11.58203125" style="0" customWidth="1"/>
  </cols>
  <sheetData>
    <row r="2" spans="1:3" ht="19.5" thickBot="1">
      <c r="A2" s="1" t="s">
        <v>191</v>
      </c>
      <c r="B2" s="1" t="s">
        <v>141</v>
      </c>
      <c r="C2" s="6"/>
    </row>
    <row r="3" spans="1:7" ht="19.5" thickTop="1">
      <c r="A3" s="23"/>
      <c r="B3" s="2"/>
      <c r="C3" s="335" t="s">
        <v>284</v>
      </c>
      <c r="D3" s="335" t="s">
        <v>285</v>
      </c>
      <c r="E3" s="335" t="s">
        <v>651</v>
      </c>
      <c r="F3" s="462" t="s">
        <v>662</v>
      </c>
      <c r="G3" s="462" t="s">
        <v>653</v>
      </c>
    </row>
    <row r="4" spans="1:7" ht="18.75">
      <c r="A4" s="40"/>
      <c r="B4" s="366" t="s">
        <v>121</v>
      </c>
      <c r="C4" s="41"/>
      <c r="D4" s="34"/>
      <c r="E4" s="41"/>
      <c r="F4" s="41"/>
      <c r="G4" s="41"/>
    </row>
    <row r="5" spans="1:7" ht="18.75">
      <c r="A5" s="40"/>
      <c r="B5" s="367"/>
      <c r="C5" s="41"/>
      <c r="D5" s="34"/>
      <c r="E5" s="41"/>
      <c r="F5" s="41"/>
      <c r="G5" s="41"/>
    </row>
    <row r="6" spans="1:7" ht="18.75">
      <c r="A6" s="40"/>
      <c r="B6" s="368" t="s">
        <v>41</v>
      </c>
      <c r="C6" s="41"/>
      <c r="D6" s="34"/>
      <c r="E6" s="41"/>
      <c r="F6" s="41"/>
      <c r="G6" s="41"/>
    </row>
    <row r="7" spans="1:7" ht="18.75">
      <c r="A7" s="40"/>
      <c r="B7" s="366"/>
      <c r="C7" s="41"/>
      <c r="D7" s="34"/>
      <c r="E7" s="41"/>
      <c r="F7" s="41"/>
      <c r="G7" s="41"/>
    </row>
    <row r="8" spans="1:7" ht="18.75">
      <c r="A8" s="40"/>
      <c r="B8" s="366" t="s">
        <v>111</v>
      </c>
      <c r="C8" s="41"/>
      <c r="D8" s="34"/>
      <c r="E8" s="41"/>
      <c r="F8" s="41"/>
      <c r="G8" s="41"/>
    </row>
    <row r="9" spans="1:7" ht="18.75">
      <c r="A9" s="40"/>
      <c r="B9" s="366"/>
      <c r="C9" s="41"/>
      <c r="D9" s="34"/>
      <c r="E9" s="41"/>
      <c r="F9" s="41"/>
      <c r="G9" s="41"/>
    </row>
    <row r="10" spans="1:7" ht="18.75">
      <c r="A10" s="40">
        <v>54712</v>
      </c>
      <c r="B10" t="s">
        <v>278</v>
      </c>
      <c r="C10" s="41">
        <v>60</v>
      </c>
      <c r="D10" s="34"/>
      <c r="E10" s="41"/>
      <c r="F10" s="41"/>
      <c r="G10" s="41"/>
    </row>
    <row r="11" spans="1:7" ht="18.75">
      <c r="A11" s="40"/>
      <c r="B11" s="366" t="s">
        <v>171</v>
      </c>
      <c r="C11" s="41">
        <f>SUM(C10)</f>
        <v>60</v>
      </c>
      <c r="D11" s="34"/>
      <c r="E11" s="41"/>
      <c r="F11" s="41"/>
      <c r="G11" s="41"/>
    </row>
    <row r="12" spans="1:7" ht="18.75">
      <c r="A12" s="41">
        <v>55215</v>
      </c>
      <c r="B12" s="302" t="s">
        <v>11</v>
      </c>
      <c r="C12" s="36">
        <v>12000</v>
      </c>
      <c r="D12" s="36">
        <v>12000</v>
      </c>
      <c r="E12" s="41">
        <v>11000</v>
      </c>
      <c r="F12" s="41">
        <v>12459</v>
      </c>
      <c r="G12" s="41">
        <v>13000</v>
      </c>
    </row>
    <row r="13" spans="1:7" ht="18.75">
      <c r="A13" s="41">
        <v>552181</v>
      </c>
      <c r="B13" s="302" t="s">
        <v>115</v>
      </c>
      <c r="C13" s="36">
        <v>823</v>
      </c>
      <c r="D13" s="171">
        <v>857</v>
      </c>
      <c r="E13" s="41">
        <v>857</v>
      </c>
      <c r="F13" s="41">
        <v>890</v>
      </c>
      <c r="G13" s="41">
        <v>1000</v>
      </c>
    </row>
    <row r="14" spans="1:7" ht="18.75">
      <c r="A14" s="40">
        <v>55</v>
      </c>
      <c r="B14" s="366" t="s">
        <v>16</v>
      </c>
      <c r="C14" s="43">
        <f>SUM(C12:C13)</f>
        <v>12823</v>
      </c>
      <c r="D14" s="43">
        <f>SUM(D12:D13)</f>
        <v>12857</v>
      </c>
      <c r="E14" s="43">
        <f>SUM(E12:E13)</f>
        <v>11857</v>
      </c>
      <c r="F14" s="43">
        <f>SUM(F12:F13)</f>
        <v>13349</v>
      </c>
      <c r="G14" s="43">
        <f>SUM(G12:G13)</f>
        <v>14000</v>
      </c>
    </row>
    <row r="15" spans="1:7" ht="18.75">
      <c r="A15" s="41"/>
      <c r="B15" s="302"/>
      <c r="C15" s="36"/>
      <c r="D15" s="36"/>
      <c r="E15" s="41"/>
      <c r="F15" s="41"/>
      <c r="G15" s="41"/>
    </row>
    <row r="16" spans="1:7" ht="18.75">
      <c r="A16" s="41">
        <v>56111</v>
      </c>
      <c r="B16" s="302" t="s">
        <v>55</v>
      </c>
      <c r="C16" s="50">
        <f>(C14+C11)*0.27</f>
        <v>3478.4100000000003</v>
      </c>
      <c r="D16" s="50">
        <f>D14*0.27</f>
        <v>3471.3900000000003</v>
      </c>
      <c r="E16" s="50">
        <f>(E14+E11)*0.27</f>
        <v>3201.3900000000003</v>
      </c>
      <c r="F16" s="41">
        <v>3422</v>
      </c>
      <c r="G16" s="41">
        <f>G14*27%</f>
        <v>3780.0000000000005</v>
      </c>
    </row>
    <row r="17" spans="1:7" ht="18.75">
      <c r="A17" s="41"/>
      <c r="B17" s="302"/>
      <c r="C17" s="36"/>
      <c r="D17" s="36"/>
      <c r="E17" s="41"/>
      <c r="F17" s="41"/>
      <c r="G17" s="41"/>
    </row>
    <row r="18" spans="1:7" ht="18.75">
      <c r="A18" s="40">
        <v>56</v>
      </c>
      <c r="B18" s="366" t="s">
        <v>56</v>
      </c>
      <c r="C18" s="43">
        <f>SUM(C16:C17)</f>
        <v>3478.4100000000003</v>
      </c>
      <c r="D18" s="43">
        <f>SUM(D16:D17)</f>
        <v>3471.3900000000003</v>
      </c>
      <c r="E18" s="43">
        <f>SUM(E16:E17)</f>
        <v>3201.3900000000003</v>
      </c>
      <c r="F18" s="43">
        <f>SUM(F16:F17)</f>
        <v>3422</v>
      </c>
      <c r="G18" s="43">
        <f>SUM(G16:G17)</f>
        <v>3780.0000000000005</v>
      </c>
    </row>
    <row r="19" spans="1:7" ht="18.75">
      <c r="A19" s="40"/>
      <c r="B19" s="366"/>
      <c r="C19" s="36"/>
      <c r="D19" s="36"/>
      <c r="E19" s="41"/>
      <c r="F19" s="41"/>
      <c r="G19" s="41"/>
    </row>
    <row r="20" spans="1:7" ht="18.75">
      <c r="A20" s="40"/>
      <c r="B20" s="366" t="s">
        <v>29</v>
      </c>
      <c r="C20" s="43">
        <f>SUM(C18,C14,C11)</f>
        <v>16361.41</v>
      </c>
      <c r="D20" s="43">
        <f>SUM(D18,D14)</f>
        <v>16328.39</v>
      </c>
      <c r="E20" s="43">
        <f>SUM(E18,E14,E11)</f>
        <v>15058.39</v>
      </c>
      <c r="F20" s="43">
        <f>SUM(F18,F14,F11)</f>
        <v>16771</v>
      </c>
      <c r="G20" s="43">
        <f>SUM(G18,G14,G11)</f>
        <v>17780</v>
      </c>
    </row>
    <row r="21" spans="1:7" ht="18.75">
      <c r="A21" s="41"/>
      <c r="B21" s="302"/>
      <c r="C21" s="41"/>
      <c r="D21" s="34"/>
      <c r="E21" s="41"/>
      <c r="F21" s="41"/>
      <c r="G21" s="41"/>
    </row>
    <row r="22" spans="1:7" ht="19.5" thickBot="1">
      <c r="A22" s="1"/>
      <c r="B22" s="1" t="s">
        <v>0</v>
      </c>
      <c r="C22" s="43">
        <f>SUM(C20,C6)</f>
        <v>16361.41</v>
      </c>
      <c r="D22" s="43">
        <f>SUM(D18,D14,D6)</f>
        <v>16328.39</v>
      </c>
      <c r="E22" s="43">
        <f>SUM(E20,E6)</f>
        <v>15058.39</v>
      </c>
      <c r="F22" s="43">
        <f>SUM(F20,F6)</f>
        <v>16771</v>
      </c>
      <c r="G22" s="43">
        <f>SUM(G20,G6)</f>
        <v>17780</v>
      </c>
    </row>
    <row r="23" ht="19.5" thickTop="1"/>
  </sheetData>
  <sheetProtection/>
  <printOptions horizontalCentered="1"/>
  <pageMargins left="0" right="0" top="1.5748031496062993" bottom="0.984251968503937" header="0.5118110236220472" footer="0.5118110236220472"/>
  <pageSetup horizontalDpi="300" verticalDpi="3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68"/>
  <sheetViews>
    <sheetView view="pageBreakPreview" zoomScale="60" zoomScalePageLayoutView="0" workbookViewId="0" topLeftCell="A1">
      <pane xSplit="2" ySplit="2" topLeftCell="D3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0" sqref="I50:M50"/>
    </sheetView>
  </sheetViews>
  <sheetFormatPr defaultColWidth="8.66015625" defaultRowHeight="18"/>
  <cols>
    <col min="1" max="1" width="9" style="96" bestFit="1" customWidth="1"/>
    <col min="2" max="2" width="46" style="96" customWidth="1"/>
    <col min="3" max="3" width="7.58203125" style="11" customWidth="1"/>
    <col min="4" max="4" width="8.25" style="96" customWidth="1"/>
    <col min="5" max="5" width="7.66015625" style="11" customWidth="1"/>
    <col min="6" max="6" width="8.91015625" style="96" customWidth="1"/>
    <col min="7" max="7" width="8.58203125" style="96" customWidth="1"/>
    <col min="8" max="8" width="10.75" style="96" customWidth="1"/>
    <col min="9" max="16384" width="8.91015625" style="96" customWidth="1"/>
  </cols>
  <sheetData>
    <row r="1" spans="1:8" ht="53.25" customHeight="1">
      <c r="A1" s="12">
        <v>841403</v>
      </c>
      <c r="B1" s="14" t="s">
        <v>57</v>
      </c>
      <c r="C1" s="25" t="s">
        <v>266</v>
      </c>
      <c r="D1" s="25" t="s">
        <v>286</v>
      </c>
      <c r="E1" s="337" t="s">
        <v>651</v>
      </c>
      <c r="F1" s="25" t="s">
        <v>663</v>
      </c>
      <c r="G1" s="25" t="s">
        <v>653</v>
      </c>
      <c r="H1" s="38"/>
    </row>
    <row r="2" spans="1:8" s="103" customFormat="1" ht="30.75">
      <c r="A2" s="13"/>
      <c r="B2" s="344"/>
      <c r="C2" s="113" t="s">
        <v>192</v>
      </c>
      <c r="D2" s="137"/>
      <c r="E2" s="463"/>
      <c r="F2" s="134" t="s">
        <v>203</v>
      </c>
      <c r="G2" s="112"/>
      <c r="H2" s="466"/>
    </row>
    <row r="3" spans="1:8" s="104" customFormat="1" ht="31.5" customHeight="1">
      <c r="A3" s="25">
        <v>1263</v>
      </c>
      <c r="B3" s="344"/>
      <c r="C3" s="25"/>
      <c r="D3" s="25"/>
      <c r="E3" s="126"/>
      <c r="F3" s="25"/>
      <c r="G3" s="25"/>
      <c r="H3" s="467"/>
    </row>
    <row r="4" spans="1:8" s="104" customFormat="1" ht="15" customHeight="1">
      <c r="A4" s="25"/>
      <c r="B4" s="344"/>
      <c r="C4" s="25"/>
      <c r="D4" s="25"/>
      <c r="E4" s="126"/>
      <c r="F4" s="25"/>
      <c r="G4" s="25"/>
      <c r="H4" s="467"/>
    </row>
    <row r="5" spans="1:8" s="104" customFormat="1" ht="15" customHeight="1">
      <c r="A5" s="25">
        <v>1263</v>
      </c>
      <c r="B5" s="126" t="s">
        <v>579</v>
      </c>
      <c r="C5" s="25"/>
      <c r="D5" s="25"/>
      <c r="E5" s="126">
        <v>3937</v>
      </c>
      <c r="F5" s="25"/>
      <c r="G5" s="25"/>
      <c r="H5" s="467"/>
    </row>
    <row r="6" spans="1:8" s="104" customFormat="1" ht="15" customHeight="1">
      <c r="A6" s="25"/>
      <c r="B6" s="13" t="s">
        <v>580</v>
      </c>
      <c r="C6" s="25"/>
      <c r="D6" s="25"/>
      <c r="E6" s="126">
        <v>1574</v>
      </c>
      <c r="F6" s="25"/>
      <c r="G6" s="25">
        <v>1575</v>
      </c>
      <c r="H6" s="467"/>
    </row>
    <row r="7" spans="1:9" s="104" customFormat="1" ht="15" customHeight="1">
      <c r="A7" s="25"/>
      <c r="C7" s="25"/>
      <c r="D7" s="25"/>
      <c r="E7" s="126"/>
      <c r="F7" s="25"/>
      <c r="G7" s="25">
        <v>32000</v>
      </c>
      <c r="H7" s="467"/>
      <c r="I7" s="13" t="s">
        <v>844</v>
      </c>
    </row>
    <row r="8" spans="1:12" s="104" customFormat="1" ht="15" customHeight="1">
      <c r="A8" s="25"/>
      <c r="B8" s="13" t="s">
        <v>823</v>
      </c>
      <c r="C8" s="25"/>
      <c r="D8" s="25"/>
      <c r="E8" s="126"/>
      <c r="F8" s="25"/>
      <c r="G8" s="25">
        <v>2000</v>
      </c>
      <c r="H8" s="467"/>
      <c r="I8" s="111" t="s">
        <v>824</v>
      </c>
      <c r="J8" s="111"/>
      <c r="K8" s="111"/>
      <c r="L8" s="111"/>
    </row>
    <row r="9" spans="1:8" s="104" customFormat="1" ht="15" customHeight="1">
      <c r="A9" s="25"/>
      <c r="B9" s="13" t="s">
        <v>623</v>
      </c>
      <c r="C9" s="25"/>
      <c r="D9" s="25"/>
      <c r="E9" s="126">
        <v>1226</v>
      </c>
      <c r="F9" s="25"/>
      <c r="G9" s="25"/>
      <c r="H9" s="467"/>
    </row>
    <row r="10" spans="1:8" s="104" customFormat="1" ht="15" customHeight="1">
      <c r="A10" s="25">
        <v>1263</v>
      </c>
      <c r="B10" s="11" t="s">
        <v>331</v>
      </c>
      <c r="C10" s="25"/>
      <c r="D10" s="25">
        <v>5460</v>
      </c>
      <c r="E10" s="126"/>
      <c r="F10" s="25"/>
      <c r="G10" s="25"/>
      <c r="H10" s="467"/>
    </row>
    <row r="11" spans="1:8" s="106" customFormat="1" ht="15" customHeight="1">
      <c r="A11" s="38"/>
      <c r="B11" s="106" t="s">
        <v>613</v>
      </c>
      <c r="C11" s="38"/>
      <c r="D11" s="38"/>
      <c r="E11" s="464">
        <v>1000</v>
      </c>
      <c r="F11" s="25"/>
      <c r="G11" s="25"/>
      <c r="H11" s="38"/>
    </row>
    <row r="12" spans="1:8" s="104" customFormat="1" ht="15" customHeight="1">
      <c r="A12" s="25"/>
      <c r="B12" s="11" t="s">
        <v>581</v>
      </c>
      <c r="C12" s="25"/>
      <c r="D12" s="25"/>
      <c r="E12" s="126">
        <f>SUM(E5:E11)</f>
        <v>7737</v>
      </c>
      <c r="F12" s="25"/>
      <c r="G12" s="25">
        <f>SUM(G6:G11)</f>
        <v>35575</v>
      </c>
      <c r="H12" s="467"/>
    </row>
    <row r="13" spans="1:8" s="11" customFormat="1" ht="17.25" customHeight="1">
      <c r="A13" s="25"/>
      <c r="B13" s="344" t="s">
        <v>259</v>
      </c>
      <c r="C13" s="30"/>
      <c r="D13" s="30">
        <v>1474</v>
      </c>
      <c r="E13" s="120">
        <f>E12*27%</f>
        <v>2088.9900000000002</v>
      </c>
      <c r="F13" s="25"/>
      <c r="G13" s="25">
        <f>425+8640+540</f>
        <v>9605</v>
      </c>
      <c r="H13" s="25"/>
    </row>
    <row r="14" spans="1:8" s="12" customFormat="1" ht="24" customHeight="1">
      <c r="A14" s="28"/>
      <c r="B14" s="346" t="s">
        <v>564</v>
      </c>
      <c r="C14" s="29"/>
      <c r="D14" s="29">
        <f>SUM(D10:D13)</f>
        <v>6934</v>
      </c>
      <c r="E14" s="342">
        <f>SUM(E12:E13)</f>
        <v>9825.99</v>
      </c>
      <c r="F14" s="342">
        <f>SUM(F12:F13)</f>
        <v>0</v>
      </c>
      <c r="G14" s="342">
        <f>SUM(G12:G13)</f>
        <v>45180</v>
      </c>
      <c r="H14" s="28"/>
    </row>
    <row r="15" spans="1:8" s="104" customFormat="1" ht="24" customHeight="1">
      <c r="A15" s="25"/>
      <c r="B15" s="345"/>
      <c r="C15" s="83"/>
      <c r="D15" s="83"/>
      <c r="E15" s="120"/>
      <c r="F15" s="25"/>
      <c r="G15" s="25"/>
      <c r="H15" s="467"/>
    </row>
    <row r="16" spans="1:8" s="104" customFormat="1" ht="15" customHeight="1">
      <c r="A16" s="25">
        <v>1811</v>
      </c>
      <c r="B16" s="344" t="s">
        <v>294</v>
      </c>
      <c r="C16" s="26"/>
      <c r="D16" s="26">
        <f>D3*25%</f>
        <v>0</v>
      </c>
      <c r="E16" s="208"/>
      <c r="F16" s="25"/>
      <c r="G16" s="25"/>
      <c r="H16" s="467"/>
    </row>
    <row r="17" spans="1:8" s="105" customFormat="1" ht="15" customHeight="1">
      <c r="A17" s="28"/>
      <c r="B17" s="346" t="s">
        <v>293</v>
      </c>
      <c r="C17" s="27"/>
      <c r="D17" s="55">
        <v>5120</v>
      </c>
      <c r="E17" s="369"/>
      <c r="F17" s="28"/>
      <c r="G17" s="28"/>
      <c r="H17" s="468"/>
    </row>
    <row r="18" spans="1:8" s="111" customFormat="1" ht="15" customHeight="1">
      <c r="A18" s="25"/>
      <c r="B18" s="344" t="s">
        <v>801</v>
      </c>
      <c r="C18" s="25">
        <v>488</v>
      </c>
      <c r="D18" s="25"/>
      <c r="E18" s="126"/>
      <c r="F18" s="25"/>
      <c r="G18" s="25">
        <v>500</v>
      </c>
      <c r="H18" s="469" t="s">
        <v>837</v>
      </c>
    </row>
    <row r="19" spans="1:8" s="111" customFormat="1" ht="15" customHeight="1">
      <c r="A19" s="25"/>
      <c r="B19" s="344" t="s">
        <v>572</v>
      </c>
      <c r="C19" s="25"/>
      <c r="D19" s="25"/>
      <c r="E19" s="126">
        <f>990+100</f>
        <v>1090</v>
      </c>
      <c r="F19" s="25"/>
      <c r="G19" s="25">
        <v>1969</v>
      </c>
      <c r="H19" s="469" t="s">
        <v>664</v>
      </c>
    </row>
    <row r="20" spans="1:8" s="111" customFormat="1" ht="15" customHeight="1">
      <c r="A20" s="25"/>
      <c r="B20" s="344" t="s">
        <v>592</v>
      </c>
      <c r="C20" s="25"/>
      <c r="D20" s="25"/>
      <c r="E20" s="126">
        <v>5000</v>
      </c>
      <c r="F20" s="25"/>
      <c r="G20" s="25"/>
      <c r="H20" s="469"/>
    </row>
    <row r="21" spans="1:8" ht="15" customHeight="1">
      <c r="A21" s="25"/>
      <c r="B21" s="344" t="s">
        <v>214</v>
      </c>
      <c r="C21" s="25"/>
      <c r="D21" s="25"/>
      <c r="E21" s="126"/>
      <c r="F21" s="25"/>
      <c r="G21" s="25"/>
      <c r="H21" s="38"/>
    </row>
    <row r="22" spans="1:8" ht="15" customHeight="1">
      <c r="A22" s="25"/>
      <c r="B22" s="126" t="s">
        <v>292</v>
      </c>
      <c r="C22" s="25">
        <v>2027</v>
      </c>
      <c r="D22" s="25"/>
      <c r="E22" s="126"/>
      <c r="F22" s="25"/>
      <c r="G22" s="25"/>
      <c r="H22" s="38"/>
    </row>
    <row r="23" spans="1:8" ht="15" customHeight="1">
      <c r="A23" s="25"/>
      <c r="B23" s="126" t="s">
        <v>295</v>
      </c>
      <c r="C23" s="25">
        <v>1114</v>
      </c>
      <c r="D23" s="25"/>
      <c r="E23" s="126"/>
      <c r="F23" s="25"/>
      <c r="G23" s="25"/>
      <c r="H23" s="38"/>
    </row>
    <row r="24" spans="1:8" s="11" customFormat="1" ht="15" customHeight="1">
      <c r="A24" s="25">
        <v>1254</v>
      </c>
      <c r="B24" s="344" t="s">
        <v>296</v>
      </c>
      <c r="C24" s="25">
        <v>1880</v>
      </c>
      <c r="D24" s="25"/>
      <c r="E24" s="126"/>
      <c r="F24" s="25"/>
      <c r="G24" s="25"/>
      <c r="H24" s="25"/>
    </row>
    <row r="25" spans="1:8" ht="15" customHeight="1">
      <c r="A25" s="25"/>
      <c r="B25" s="344" t="s">
        <v>291</v>
      </c>
      <c r="C25" s="25">
        <v>2169</v>
      </c>
      <c r="D25" s="25">
        <v>3051</v>
      </c>
      <c r="E25" s="126"/>
      <c r="F25" s="25"/>
      <c r="G25" s="25"/>
      <c r="H25" s="38"/>
    </row>
    <row r="26" spans="1:8" s="11" customFormat="1" ht="15" customHeight="1">
      <c r="A26" s="25"/>
      <c r="B26" s="344" t="s">
        <v>277</v>
      </c>
      <c r="C26" s="25">
        <v>350</v>
      </c>
      <c r="D26" s="25"/>
      <c r="E26" s="126"/>
      <c r="F26" s="25"/>
      <c r="G26" s="25"/>
      <c r="H26" s="25"/>
    </row>
    <row r="27" spans="1:8" ht="30" customHeight="1">
      <c r="A27" s="25">
        <v>1143</v>
      </c>
      <c r="B27" s="344" t="s">
        <v>187</v>
      </c>
      <c r="C27" s="25">
        <v>880</v>
      </c>
      <c r="D27" s="38">
        <v>180</v>
      </c>
      <c r="E27" s="126"/>
      <c r="F27" s="25"/>
      <c r="G27" s="25"/>
      <c r="H27" s="38"/>
    </row>
    <row r="28" spans="1:8" ht="18.75" customHeight="1">
      <c r="A28" s="25">
        <v>1154</v>
      </c>
      <c r="B28" s="344" t="s">
        <v>270</v>
      </c>
      <c r="C28" s="25">
        <v>9628</v>
      </c>
      <c r="D28" s="25">
        <v>3050</v>
      </c>
      <c r="E28" s="126">
        <v>530</v>
      </c>
      <c r="F28" s="25" t="s">
        <v>589</v>
      </c>
      <c r="G28" s="25"/>
      <c r="H28" s="38"/>
    </row>
    <row r="29" spans="1:8" ht="27" customHeight="1">
      <c r="A29" s="25"/>
      <c r="B29" s="344" t="s">
        <v>174</v>
      </c>
      <c r="C29" s="26">
        <f>SUM(C17:C28)</f>
        <v>18536</v>
      </c>
      <c r="D29" s="26">
        <f>SUM(D16:D28)</f>
        <v>11401</v>
      </c>
      <c r="E29" s="208">
        <f>SUM(E16:E28)</f>
        <v>6620</v>
      </c>
      <c r="F29" s="25"/>
      <c r="G29" s="25">
        <f>SUM(G16:G28)</f>
        <v>2469</v>
      </c>
      <c r="H29" s="38"/>
    </row>
    <row r="30" spans="1:8" ht="15" customHeight="1">
      <c r="A30" s="25">
        <v>18211</v>
      </c>
      <c r="B30" s="344" t="s">
        <v>175</v>
      </c>
      <c r="C30" s="26">
        <f>C29*27%</f>
        <v>5004.72</v>
      </c>
      <c r="D30" s="26">
        <f>D29*27%</f>
        <v>3078.27</v>
      </c>
      <c r="E30" s="208">
        <f>E29*27%</f>
        <v>1787.4</v>
      </c>
      <c r="F30" s="25"/>
      <c r="G30" s="25">
        <f>531+135</f>
        <v>666</v>
      </c>
      <c r="H30" s="38"/>
    </row>
    <row r="31" spans="1:8" s="105" customFormat="1" ht="15" customHeight="1">
      <c r="A31" s="28"/>
      <c r="B31" s="346" t="s">
        <v>176</v>
      </c>
      <c r="C31" s="27">
        <f>SUM(C29:C30)</f>
        <v>23540.72</v>
      </c>
      <c r="D31" s="27">
        <f>SUM(D29:D30)</f>
        <v>14479.27</v>
      </c>
      <c r="E31" s="369">
        <f>SUM(E29:E30)</f>
        <v>8407.4</v>
      </c>
      <c r="F31" s="369">
        <f>SUM(F29:F30)</f>
        <v>0</v>
      </c>
      <c r="G31" s="369">
        <f>SUM(G29:G30)</f>
        <v>3135</v>
      </c>
      <c r="H31" s="468"/>
    </row>
    <row r="32" spans="1:8" ht="15" customHeight="1">
      <c r="A32" s="25"/>
      <c r="B32" s="344"/>
      <c r="C32" s="26"/>
      <c r="D32" s="26"/>
      <c r="E32" s="208"/>
      <c r="F32" s="25"/>
      <c r="G32" s="25"/>
      <c r="H32" s="38"/>
    </row>
    <row r="33" spans="1:8" s="102" customFormat="1" ht="15.75">
      <c r="A33" s="28"/>
      <c r="B33" s="127" t="s">
        <v>63</v>
      </c>
      <c r="C33" s="27">
        <f>+C17+C31</f>
        <v>23540.72</v>
      </c>
      <c r="D33" s="27">
        <f>+D14+D31</f>
        <v>21413.27</v>
      </c>
      <c r="E33" s="369">
        <f>+E14+E31</f>
        <v>18233.39</v>
      </c>
      <c r="F33" s="28"/>
      <c r="G33" s="27">
        <f>G31+G14</f>
        <v>48315</v>
      </c>
      <c r="H33" s="49"/>
    </row>
    <row r="34" spans="1:8" ht="10.5" customHeight="1">
      <c r="A34" s="25"/>
      <c r="B34" s="126"/>
      <c r="C34" s="25"/>
      <c r="D34" s="25"/>
      <c r="E34" s="126"/>
      <c r="F34" s="25"/>
      <c r="G34" s="25"/>
      <c r="H34" s="38"/>
    </row>
    <row r="35" spans="1:8" ht="15">
      <c r="A35" s="25">
        <v>43121</v>
      </c>
      <c r="B35" s="126" t="s">
        <v>126</v>
      </c>
      <c r="C35" s="25">
        <v>3222</v>
      </c>
      <c r="D35" s="25"/>
      <c r="E35" s="126"/>
      <c r="F35" s="25"/>
      <c r="G35" s="25"/>
      <c r="H35" s="38"/>
    </row>
    <row r="36" spans="1:8" ht="15">
      <c r="A36" s="25">
        <v>573121</v>
      </c>
      <c r="B36" s="126" t="s">
        <v>143</v>
      </c>
      <c r="C36" s="25">
        <v>800</v>
      </c>
      <c r="D36" s="25"/>
      <c r="E36" s="126"/>
      <c r="F36" s="25"/>
      <c r="G36" s="25"/>
      <c r="H36" s="38"/>
    </row>
    <row r="37" spans="1:8" ht="15.75">
      <c r="A37" s="25"/>
      <c r="B37" s="127" t="s">
        <v>62</v>
      </c>
      <c r="C37" s="29">
        <f>SUM(C35:C36)</f>
        <v>4022</v>
      </c>
      <c r="D37" s="29">
        <f>SUM(D35:D36)</f>
        <v>0</v>
      </c>
      <c r="E37" s="342"/>
      <c r="F37" s="25"/>
      <c r="G37" s="25"/>
      <c r="H37" s="38"/>
    </row>
    <row r="38" spans="1:8" ht="15">
      <c r="A38" s="25">
        <v>382114</v>
      </c>
      <c r="B38" s="126" t="s">
        <v>117</v>
      </c>
      <c r="C38" s="25">
        <v>1100</v>
      </c>
      <c r="D38" s="25">
        <v>2500</v>
      </c>
      <c r="E38" s="126">
        <v>2500</v>
      </c>
      <c r="F38" s="25"/>
      <c r="G38" s="25">
        <v>2500</v>
      </c>
      <c r="H38" s="38"/>
    </row>
    <row r="39" spans="1:8" ht="15" customHeight="1">
      <c r="A39" s="25"/>
      <c r="B39" s="126"/>
      <c r="C39" s="25"/>
      <c r="D39" s="25"/>
      <c r="E39" s="126"/>
      <c r="F39" s="25"/>
      <c r="G39" s="25"/>
      <c r="H39" s="38"/>
    </row>
    <row r="40" spans="1:8" ht="15.75">
      <c r="A40" s="28"/>
      <c r="B40" s="127" t="s">
        <v>64</v>
      </c>
      <c r="C40" s="29">
        <f>SUM(C38,C37,C33)</f>
        <v>28662.72</v>
      </c>
      <c r="D40" s="29">
        <f>SUM(D38,D37,D33)</f>
        <v>23913.27</v>
      </c>
      <c r="E40" s="342">
        <f>SUM(E38,E37,E33)</f>
        <v>20733.39</v>
      </c>
      <c r="F40" s="25"/>
      <c r="G40" s="27">
        <f>G38+G33</f>
        <v>50815</v>
      </c>
      <c r="H40" s="38"/>
    </row>
    <row r="41" spans="1:8" s="106" customFormat="1" ht="15.75">
      <c r="A41" s="28"/>
      <c r="B41" s="127"/>
      <c r="C41" s="29"/>
      <c r="D41" s="29"/>
      <c r="E41" s="342"/>
      <c r="F41" s="25"/>
      <c r="G41" s="26"/>
      <c r="H41" s="38"/>
    </row>
    <row r="42" spans="1:8" ht="15.75">
      <c r="A42" s="25"/>
      <c r="B42" s="127" t="s">
        <v>111</v>
      </c>
      <c r="C42" s="25"/>
      <c r="D42" s="25"/>
      <c r="E42" s="126"/>
      <c r="F42" s="25"/>
      <c r="G42" s="25"/>
      <c r="H42" s="38"/>
    </row>
    <row r="43" spans="1:8" ht="14.25" customHeight="1">
      <c r="A43" s="25">
        <v>54</v>
      </c>
      <c r="B43" s="127" t="s">
        <v>179</v>
      </c>
      <c r="C43" s="25"/>
      <c r="D43" s="25"/>
      <c r="E43" s="126"/>
      <c r="F43" s="25"/>
      <c r="G43" s="25"/>
      <c r="H43" s="38"/>
    </row>
    <row r="44" spans="1:8" s="106" customFormat="1" ht="14.25" customHeight="1">
      <c r="A44" s="25"/>
      <c r="B44" s="127"/>
      <c r="C44" s="25"/>
      <c r="D44" s="25"/>
      <c r="E44" s="126"/>
      <c r="F44" s="25"/>
      <c r="G44" s="25"/>
      <c r="H44" s="38"/>
    </row>
    <row r="45" spans="1:8" s="106" customFormat="1" ht="14.25" customHeight="1">
      <c r="A45" s="25">
        <v>55</v>
      </c>
      <c r="B45" s="126" t="s">
        <v>788</v>
      </c>
      <c r="C45" s="25"/>
      <c r="D45" s="25"/>
      <c r="E45" s="126">
        <v>305</v>
      </c>
      <c r="F45" s="25">
        <v>305</v>
      </c>
      <c r="G45" s="25">
        <v>350</v>
      </c>
      <c r="H45" s="38"/>
    </row>
    <row r="46" spans="1:8" ht="15">
      <c r="A46" s="25">
        <v>55214</v>
      </c>
      <c r="B46" s="126" t="s">
        <v>127</v>
      </c>
      <c r="C46" s="25"/>
      <c r="D46" s="25"/>
      <c r="E46" s="126"/>
      <c r="F46" s="25">
        <v>39</v>
      </c>
      <c r="G46" s="25">
        <v>50</v>
      </c>
      <c r="H46" s="38"/>
    </row>
    <row r="47" spans="1:8" ht="15">
      <c r="A47" s="25">
        <v>55215</v>
      </c>
      <c r="B47" s="126" t="s">
        <v>58</v>
      </c>
      <c r="C47" s="25">
        <v>350</v>
      </c>
      <c r="D47" s="25">
        <v>350</v>
      </c>
      <c r="E47" s="126">
        <v>200</v>
      </c>
      <c r="F47" s="25">
        <v>7</v>
      </c>
      <c r="G47" s="25">
        <v>50</v>
      </c>
      <c r="H47" s="38"/>
    </row>
    <row r="48" spans="1:8" ht="15">
      <c r="A48" s="25">
        <v>55217</v>
      </c>
      <c r="B48" s="126" t="s">
        <v>59</v>
      </c>
      <c r="C48" s="25">
        <v>200</v>
      </c>
      <c r="D48" s="25">
        <v>200</v>
      </c>
      <c r="E48" s="126">
        <v>200</v>
      </c>
      <c r="F48" s="25">
        <v>120</v>
      </c>
      <c r="G48" s="25">
        <v>200</v>
      </c>
      <c r="H48" s="38"/>
    </row>
    <row r="49" spans="1:8" ht="15">
      <c r="A49" s="25">
        <v>552181</v>
      </c>
      <c r="B49" s="126" t="s">
        <v>61</v>
      </c>
      <c r="C49" s="25">
        <v>100</v>
      </c>
      <c r="D49" s="25">
        <v>100</v>
      </c>
      <c r="E49" s="126">
        <v>100</v>
      </c>
      <c r="F49" s="25">
        <v>45</v>
      </c>
      <c r="G49" s="25">
        <v>50</v>
      </c>
      <c r="H49" s="38"/>
    </row>
    <row r="50" spans="1:13" ht="134.25" customHeight="1">
      <c r="A50" s="172">
        <v>5531</v>
      </c>
      <c r="B50" s="344" t="s">
        <v>330</v>
      </c>
      <c r="C50" s="114">
        <v>15724</v>
      </c>
      <c r="D50" s="114">
        <v>15395</v>
      </c>
      <c r="E50" s="114">
        <v>10125</v>
      </c>
      <c r="F50" s="114">
        <f>13072</f>
        <v>13072</v>
      </c>
      <c r="G50" s="114">
        <v>12645</v>
      </c>
      <c r="H50" s="38"/>
      <c r="I50" s="582" t="s">
        <v>845</v>
      </c>
      <c r="J50" s="583"/>
      <c r="K50" s="583"/>
      <c r="L50" s="583"/>
      <c r="M50" s="583"/>
    </row>
    <row r="51" spans="1:8" ht="18.75" customHeight="1">
      <c r="A51" s="173">
        <v>55</v>
      </c>
      <c r="B51" s="347" t="s">
        <v>65</v>
      </c>
      <c r="C51" s="115">
        <f>SUM(C46:C50)</f>
        <v>16374</v>
      </c>
      <c r="D51" s="115">
        <f>SUM(D46:D50)</f>
        <v>16045</v>
      </c>
      <c r="E51" s="465">
        <f>SUM(E46:E50)</f>
        <v>10625</v>
      </c>
      <c r="F51" s="465">
        <f>SUM(F46:F50)</f>
        <v>13283</v>
      </c>
      <c r="G51" s="465">
        <f>SUM(G45:G50)</f>
        <v>13345</v>
      </c>
      <c r="H51" s="38"/>
    </row>
    <row r="52" spans="1:8" ht="15">
      <c r="A52" s="25">
        <v>56111</v>
      </c>
      <c r="B52" s="126" t="s">
        <v>156</v>
      </c>
      <c r="C52" s="30">
        <v>3975</v>
      </c>
      <c r="D52" s="30">
        <f>F52</f>
        <v>3070</v>
      </c>
      <c r="E52" s="120">
        <f>(E51+E43+E53-1828)*27%+0.5</f>
        <v>2429.69</v>
      </c>
      <c r="F52" s="25">
        <v>3070</v>
      </c>
      <c r="G52" s="26">
        <f>H52*27%</f>
        <v>3657.15</v>
      </c>
      <c r="H52" s="83">
        <f>G51+G53</f>
        <v>13545</v>
      </c>
    </row>
    <row r="53" spans="1:8" ht="15">
      <c r="A53" s="25">
        <v>56214</v>
      </c>
      <c r="B53" s="126" t="s">
        <v>157</v>
      </c>
      <c r="C53" s="25">
        <v>100</v>
      </c>
      <c r="D53" s="25">
        <v>100</v>
      </c>
      <c r="E53" s="126">
        <v>200</v>
      </c>
      <c r="F53" s="114">
        <v>169</v>
      </c>
      <c r="G53" s="25">
        <v>200</v>
      </c>
      <c r="H53" s="38"/>
    </row>
    <row r="54" spans="1:8" ht="15">
      <c r="A54" s="25"/>
      <c r="B54" s="126" t="s">
        <v>273</v>
      </c>
      <c r="C54" s="25">
        <v>1584</v>
      </c>
      <c r="D54" s="25"/>
      <c r="E54" s="126"/>
      <c r="F54" s="25"/>
      <c r="G54" s="25"/>
      <c r="H54" s="38"/>
    </row>
    <row r="55" spans="1:8" ht="15">
      <c r="A55" s="25">
        <v>56112</v>
      </c>
      <c r="B55" s="126" t="s">
        <v>66</v>
      </c>
      <c r="C55" s="25">
        <v>2500</v>
      </c>
      <c r="D55" s="25">
        <v>500</v>
      </c>
      <c r="E55" s="126"/>
      <c r="F55" s="25"/>
      <c r="G55" s="25"/>
      <c r="H55" s="38"/>
    </row>
    <row r="56" spans="1:8" ht="15.75">
      <c r="A56" s="28">
        <v>56</v>
      </c>
      <c r="B56" s="127" t="s">
        <v>56</v>
      </c>
      <c r="C56" s="29">
        <f>SUM(C52:C55)</f>
        <v>8159</v>
      </c>
      <c r="D56" s="29">
        <f>SUM(D52:D55)</f>
        <v>3670</v>
      </c>
      <c r="E56" s="342">
        <f>SUM(E52:E55)</f>
        <v>2629.69</v>
      </c>
      <c r="F56" s="342">
        <f>SUM(F52:F55)</f>
        <v>3239</v>
      </c>
      <c r="G56" s="342">
        <f>SUM(G52:G55)</f>
        <v>3857.15</v>
      </c>
      <c r="H56" s="38"/>
    </row>
    <row r="57" spans="1:8" ht="15.75">
      <c r="A57" s="28"/>
      <c r="B57" s="127"/>
      <c r="C57" s="25"/>
      <c r="D57" s="25"/>
      <c r="E57" s="126"/>
      <c r="F57" s="25"/>
      <c r="G57" s="25"/>
      <c r="H57" s="38"/>
    </row>
    <row r="58" spans="1:8" ht="15.75">
      <c r="A58" s="28"/>
      <c r="B58" s="127" t="s">
        <v>29</v>
      </c>
      <c r="C58" s="29">
        <f>SUM(C57,C56,C51,)</f>
        <v>24533</v>
      </c>
      <c r="D58" s="29">
        <f>SUM(D57,D56,D51,)</f>
        <v>19715</v>
      </c>
      <c r="E58" s="342">
        <f>SUM(E57,E56,E51,)</f>
        <v>13254.69</v>
      </c>
      <c r="F58" s="342">
        <f>SUM(F57,F56,F51,)</f>
        <v>16522</v>
      </c>
      <c r="G58" s="342">
        <f>SUM(G56,G51)</f>
        <v>17202.15</v>
      </c>
      <c r="H58" s="38"/>
    </row>
    <row r="59" spans="1:8" ht="25.5" customHeight="1">
      <c r="A59" s="28"/>
      <c r="B59" s="127" t="s">
        <v>0</v>
      </c>
      <c r="C59" s="29">
        <f>SUM(C58,C40)</f>
        <v>53195.72</v>
      </c>
      <c r="D59" s="29">
        <f>SUM(D58,D40)</f>
        <v>43628.270000000004</v>
      </c>
      <c r="E59" s="342">
        <f>SUM(E58,E40)</f>
        <v>33988.08</v>
      </c>
      <c r="F59" s="342">
        <f>SUM(F58,F40)</f>
        <v>16522</v>
      </c>
      <c r="G59" s="342">
        <f>SUM(G58,G40)</f>
        <v>68017.15</v>
      </c>
      <c r="H59" s="38"/>
    </row>
    <row r="60" spans="1:8" ht="15.75">
      <c r="A60" s="28"/>
      <c r="B60" s="25"/>
      <c r="C60" s="25"/>
      <c r="D60" s="25"/>
      <c r="E60" s="13"/>
      <c r="F60" s="25"/>
      <c r="G60" s="25"/>
      <c r="H60" s="38"/>
    </row>
    <row r="61" spans="1:8" ht="15">
      <c r="A61" s="38"/>
      <c r="B61" s="38"/>
      <c r="C61" s="25"/>
      <c r="D61" s="38"/>
      <c r="E61" s="13"/>
      <c r="F61" s="25"/>
      <c r="G61" s="25"/>
      <c r="H61" s="38"/>
    </row>
    <row r="62" spans="1:8" ht="15.75">
      <c r="A62" s="49"/>
      <c r="B62" s="38"/>
      <c r="C62" s="25"/>
      <c r="D62" s="38"/>
      <c r="E62" s="13"/>
      <c r="F62" s="25"/>
      <c r="G62" s="25"/>
      <c r="H62" s="38"/>
    </row>
    <row r="63" spans="1:8" ht="15">
      <c r="A63" s="38"/>
      <c r="B63" s="38"/>
      <c r="C63" s="25"/>
      <c r="D63" s="38"/>
      <c r="E63" s="13"/>
      <c r="F63" s="25"/>
      <c r="G63" s="25"/>
      <c r="H63" s="38"/>
    </row>
    <row r="64" spans="1:8" ht="15">
      <c r="A64" s="38"/>
      <c r="B64" s="38"/>
      <c r="C64" s="25"/>
      <c r="D64" s="38"/>
      <c r="E64" s="13"/>
      <c r="F64" s="25"/>
      <c r="G64" s="25"/>
      <c r="H64" s="38"/>
    </row>
    <row r="65" spans="1:8" ht="15">
      <c r="A65" s="38"/>
      <c r="B65" s="38"/>
      <c r="C65" s="25"/>
      <c r="D65" s="38"/>
      <c r="E65" s="13"/>
      <c r="F65" s="25"/>
      <c r="G65" s="25"/>
      <c r="H65" s="38"/>
    </row>
    <row r="66" spans="1:5" ht="15">
      <c r="A66" s="38"/>
      <c r="B66" s="38"/>
      <c r="C66" s="25"/>
      <c r="D66" s="38"/>
      <c r="E66" s="13"/>
    </row>
    <row r="67" spans="1:5" ht="15">
      <c r="A67" s="38"/>
      <c r="B67" s="38"/>
      <c r="C67" s="25"/>
      <c r="D67" s="38"/>
      <c r="E67" s="13"/>
    </row>
    <row r="68" spans="1:5" ht="15">
      <c r="A68" s="38"/>
      <c r="B68" s="38"/>
      <c r="C68" s="25"/>
      <c r="D68" s="38"/>
      <c r="E68" s="13"/>
    </row>
  </sheetData>
  <sheetProtection/>
  <mergeCells count="1">
    <mergeCell ref="I50:M5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2:G38"/>
  <sheetViews>
    <sheetView view="pageBreakPreview" zoomScale="60" zoomScalePageLayoutView="0" workbookViewId="0" topLeftCell="A1">
      <selection activeCell="G9" sqref="G9"/>
    </sheetView>
  </sheetViews>
  <sheetFormatPr defaultColWidth="8.66015625" defaultRowHeight="18"/>
  <cols>
    <col min="1" max="1" width="9" style="11" bestFit="1" customWidth="1"/>
    <col min="2" max="2" width="29.08203125" style="11" customWidth="1"/>
    <col min="3" max="3" width="8.91015625" style="11" customWidth="1"/>
    <col min="4" max="4" width="8.41015625" style="18" customWidth="1"/>
    <col min="5" max="5" width="10.91015625" style="11" customWidth="1"/>
    <col min="6" max="16384" width="8.91015625" style="11" customWidth="1"/>
  </cols>
  <sheetData>
    <row r="2" spans="1:4" ht="16.5" thickBot="1">
      <c r="A2" s="11">
        <v>842155</v>
      </c>
      <c r="B2" s="10" t="s">
        <v>226</v>
      </c>
      <c r="C2" s="117"/>
      <c r="D2" s="118"/>
    </row>
    <row r="3" spans="1:7" ht="17.25" thickBot="1" thickTop="1">
      <c r="A3" s="10"/>
      <c r="B3" s="14"/>
      <c r="C3" s="112">
        <v>2012</v>
      </c>
      <c r="D3" s="348" t="s">
        <v>285</v>
      </c>
      <c r="E3" s="337" t="s">
        <v>651</v>
      </c>
      <c r="F3" s="25" t="s">
        <v>663</v>
      </c>
      <c r="G3" s="25" t="s">
        <v>653</v>
      </c>
    </row>
    <row r="4" spans="1:7" ht="16.5" thickTop="1">
      <c r="A4" s="14"/>
      <c r="B4" s="14"/>
      <c r="C4" s="112"/>
      <c r="D4" s="348"/>
      <c r="E4" s="126"/>
      <c r="F4" s="25"/>
      <c r="G4" s="25"/>
    </row>
    <row r="5" spans="1:7" ht="15.75">
      <c r="A5" s="28">
        <v>38115</v>
      </c>
      <c r="B5" s="119" t="s">
        <v>264</v>
      </c>
      <c r="C5" s="25"/>
      <c r="D5" s="120"/>
      <c r="E5" s="126"/>
      <c r="F5" s="25"/>
      <c r="G5" s="25"/>
    </row>
    <row r="6" spans="1:7" ht="15">
      <c r="A6" s="25"/>
      <c r="B6" s="25" t="s">
        <v>171</v>
      </c>
      <c r="C6" s="25"/>
      <c r="D6" s="120"/>
      <c r="E6" s="126"/>
      <c r="F6" s="25"/>
      <c r="G6" s="25"/>
    </row>
    <row r="7" spans="1:7" ht="15.75">
      <c r="A7" s="28"/>
      <c r="B7" s="121"/>
      <c r="C7" s="25"/>
      <c r="D7" s="120"/>
      <c r="E7" s="126"/>
      <c r="F7" s="25"/>
      <c r="G7" s="25"/>
    </row>
    <row r="8" spans="1:7" ht="15">
      <c r="A8" s="25">
        <v>5531</v>
      </c>
      <c r="B8" s="121" t="s">
        <v>299</v>
      </c>
      <c r="C8" s="25">
        <v>1016</v>
      </c>
      <c r="D8" s="120">
        <v>500</v>
      </c>
      <c r="E8" s="126">
        <v>500</v>
      </c>
      <c r="F8" s="25">
        <v>519</v>
      </c>
      <c r="G8" s="25">
        <v>500</v>
      </c>
    </row>
    <row r="9" spans="1:7" ht="15">
      <c r="A9" s="25">
        <v>561111</v>
      </c>
      <c r="B9" s="121" t="s">
        <v>236</v>
      </c>
      <c r="C9" s="25">
        <v>139</v>
      </c>
      <c r="D9" s="120">
        <v>135</v>
      </c>
      <c r="E9" s="126">
        <f>E8*27%</f>
        <v>135</v>
      </c>
      <c r="F9" s="25">
        <v>67</v>
      </c>
      <c r="G9" s="25">
        <v>135</v>
      </c>
    </row>
    <row r="10" spans="1:7" ht="15.75">
      <c r="A10" s="28"/>
      <c r="B10" s="119" t="s">
        <v>29</v>
      </c>
      <c r="C10" s="30">
        <f>SUM(C7:C9)</f>
        <v>1155</v>
      </c>
      <c r="D10" s="30">
        <f>SUM(D6:D9)</f>
        <v>635</v>
      </c>
      <c r="E10" s="120">
        <f>SUM(E8:E9)</f>
        <v>635</v>
      </c>
      <c r="F10" s="120">
        <f>SUM(F8:F9)</f>
        <v>586</v>
      </c>
      <c r="G10" s="120">
        <f>SUM(G8:G9)</f>
        <v>635</v>
      </c>
    </row>
    <row r="11" spans="1:7" ht="15.75">
      <c r="A11" s="28"/>
      <c r="B11" s="119"/>
      <c r="C11" s="25"/>
      <c r="D11" s="120"/>
      <c r="E11" s="126"/>
      <c r="F11" s="25"/>
      <c r="G11" s="25"/>
    </row>
    <row r="12" spans="1:7" s="12" customFormat="1" ht="15.75">
      <c r="A12" s="28"/>
      <c r="B12" s="119" t="s">
        <v>112</v>
      </c>
      <c r="C12" s="30">
        <f>SUM(C10)</f>
        <v>1155</v>
      </c>
      <c r="D12" s="120">
        <f>SUM(D10)</f>
        <v>635</v>
      </c>
      <c r="E12" s="120">
        <f>SUM(E10)</f>
        <v>635</v>
      </c>
      <c r="F12" s="120">
        <f>SUM(F10)</f>
        <v>586</v>
      </c>
      <c r="G12" s="120">
        <f>SUM(G10)</f>
        <v>635</v>
      </c>
    </row>
    <row r="13" spans="1:7" ht="15">
      <c r="A13" s="25"/>
      <c r="B13" s="121"/>
      <c r="C13" s="25"/>
      <c r="D13" s="120"/>
      <c r="E13" s="126"/>
      <c r="F13" s="25"/>
      <c r="G13" s="25"/>
    </row>
    <row r="14" spans="1:7" ht="15.75">
      <c r="A14" s="28"/>
      <c r="B14" s="28" t="s">
        <v>109</v>
      </c>
      <c r="C14" s="30">
        <f>SUM(C12)</f>
        <v>1155</v>
      </c>
      <c r="D14" s="30">
        <f>SUM(D12)</f>
        <v>635</v>
      </c>
      <c r="E14" s="120">
        <f>SUM(E12)</f>
        <v>635</v>
      </c>
      <c r="F14" s="120">
        <f>SUM(F12)</f>
        <v>586</v>
      </c>
      <c r="G14" s="120">
        <f>SUM(G12)</f>
        <v>635</v>
      </c>
    </row>
    <row r="19" spans="1:4" s="12" customFormat="1" ht="15.75">
      <c r="A19" s="11"/>
      <c r="B19" s="11"/>
      <c r="C19" s="11"/>
      <c r="D19" s="18"/>
    </row>
    <row r="20" spans="1:4" s="12" customFormat="1" ht="15.75">
      <c r="A20" s="11"/>
      <c r="B20" s="11"/>
      <c r="C20" s="11"/>
      <c r="D20" s="18"/>
    </row>
    <row r="23" spans="1:4" s="12" customFormat="1" ht="15.75">
      <c r="A23" s="11"/>
      <c r="B23" s="11"/>
      <c r="C23" s="11"/>
      <c r="D23" s="18"/>
    </row>
    <row r="24" spans="1:4" s="12" customFormat="1" ht="15.75">
      <c r="A24" s="11"/>
      <c r="B24" s="11"/>
      <c r="C24" s="11"/>
      <c r="D24" s="18"/>
    </row>
    <row r="25" spans="1:4" s="12" customFormat="1" ht="15.75">
      <c r="A25" s="11"/>
      <c r="B25" s="11"/>
      <c r="C25" s="11"/>
      <c r="D25" s="18"/>
    </row>
    <row r="26" spans="1:2" ht="15.75">
      <c r="A26" s="12"/>
      <c r="B26" s="12"/>
    </row>
    <row r="32" spans="1:4" s="12" customFormat="1" ht="15.75">
      <c r="A32" s="11"/>
      <c r="B32" s="11"/>
      <c r="C32" s="11"/>
      <c r="D32" s="18"/>
    </row>
    <row r="33" spans="1:4" s="12" customFormat="1" ht="15.75">
      <c r="A33" s="11"/>
      <c r="B33" s="11"/>
      <c r="C33" s="11"/>
      <c r="D33" s="18"/>
    </row>
    <row r="38" spans="1:4" s="12" customFormat="1" ht="15.75">
      <c r="A38" s="11"/>
      <c r="B38" s="11"/>
      <c r="C38" s="11"/>
      <c r="D38" s="18"/>
    </row>
  </sheetData>
  <sheetProtection/>
  <printOptions/>
  <pageMargins left="0.7" right="0.7" top="0.75" bottom="0.75" header="0.3" footer="0.3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98"/>
  <sheetViews>
    <sheetView view="pageBreakPreview" zoomScale="80" zoomScaleSheetLayoutView="80" zoomScalePageLayoutView="0" workbookViewId="0" topLeftCell="A61">
      <selection activeCell="J17" sqref="J17"/>
    </sheetView>
  </sheetViews>
  <sheetFormatPr defaultColWidth="8.41015625" defaultRowHeight="18"/>
  <cols>
    <col min="1" max="1" width="8.41015625" style="21" customWidth="1"/>
    <col min="2" max="2" width="7.08203125" style="21" customWidth="1"/>
    <col min="3" max="3" width="8.25" style="21" customWidth="1"/>
    <col min="4" max="4" width="13.66015625" style="21" bestFit="1" customWidth="1"/>
    <col min="5" max="5" width="13.33203125" style="396" customWidth="1"/>
    <col min="6" max="8" width="9.58203125" style="396" customWidth="1"/>
    <col min="9" max="9" width="7.33203125" style="21" customWidth="1"/>
    <col min="10" max="10" width="6.66015625" style="21" customWidth="1"/>
    <col min="11" max="254" width="7.08203125" style="21" customWidth="1"/>
    <col min="255" max="16384" width="8.41015625" style="21" customWidth="1"/>
  </cols>
  <sheetData>
    <row r="2" spans="1:8" ht="18.75">
      <c r="A2" s="251" t="s">
        <v>526</v>
      </c>
      <c r="B2" s="251"/>
      <c r="C2" s="251"/>
      <c r="D2" s="251"/>
      <c r="E2" s="388"/>
      <c r="F2" s="388"/>
      <c r="G2" s="388"/>
      <c r="H2" s="388"/>
    </row>
    <row r="3" spans="4:8" ht="19.5" thickBot="1">
      <c r="D3" t="s">
        <v>847</v>
      </c>
      <c r="E3" s="252"/>
      <c r="F3" s="252"/>
      <c r="G3" s="252"/>
      <c r="H3" s="252"/>
    </row>
    <row r="4" spans="1:8" ht="19.5" thickBot="1">
      <c r="A4" s="253">
        <v>851011</v>
      </c>
      <c r="B4" s="254" t="s">
        <v>527</v>
      </c>
      <c r="C4" s="255"/>
      <c r="D4" s="255"/>
      <c r="E4" s="389" t="s">
        <v>285</v>
      </c>
      <c r="F4" s="442" t="s">
        <v>651</v>
      </c>
      <c r="G4" s="435" t="s">
        <v>652</v>
      </c>
      <c r="H4" s="435" t="s">
        <v>653</v>
      </c>
    </row>
    <row r="5" spans="1:8" ht="19.5" thickBot="1">
      <c r="A5" s="219"/>
      <c r="B5" s="219"/>
      <c r="C5" s="256"/>
      <c r="D5" s="256"/>
      <c r="E5" s="304"/>
      <c r="F5" s="443"/>
      <c r="G5" s="304"/>
      <c r="H5" s="304"/>
    </row>
    <row r="6" spans="1:10" ht="18.75">
      <c r="A6" s="258">
        <v>511112</v>
      </c>
      <c r="B6" s="259" t="s">
        <v>528</v>
      </c>
      <c r="C6" s="260"/>
      <c r="D6" s="260"/>
      <c r="E6" s="390">
        <v>11632</v>
      </c>
      <c r="F6" s="444">
        <f>'[3]Óvoda'!$P$9/1000-742</f>
        <v>15840.137999999999</v>
      </c>
      <c r="G6" s="390"/>
      <c r="H6" s="390">
        <v>15029</v>
      </c>
      <c r="I6" s="261"/>
      <c r="J6" s="261"/>
    </row>
    <row r="7" spans="1:10" ht="18.75">
      <c r="A7" s="512"/>
      <c r="B7" s="513" t="s">
        <v>791</v>
      </c>
      <c r="C7" s="514"/>
      <c r="D7" s="514"/>
      <c r="E7" s="390"/>
      <c r="F7" s="444"/>
      <c r="G7" s="390"/>
      <c r="H7" s="390">
        <v>100</v>
      </c>
      <c r="I7" s="261" t="s">
        <v>792</v>
      </c>
      <c r="J7" s="261"/>
    </row>
    <row r="8" spans="1:10" ht="18.75">
      <c r="A8" s="262"/>
      <c r="B8" s="263" t="s">
        <v>777</v>
      </c>
      <c r="C8" s="264"/>
      <c r="D8" s="321"/>
      <c r="E8" s="391"/>
      <c r="F8" s="399"/>
      <c r="G8" s="391"/>
      <c r="H8" s="391">
        <v>796</v>
      </c>
      <c r="J8" s="21">
        <v>66300</v>
      </c>
    </row>
    <row r="9" spans="1:10" ht="18.75">
      <c r="A9" s="262">
        <v>511142</v>
      </c>
      <c r="B9" s="263" t="s">
        <v>778</v>
      </c>
      <c r="C9" s="266"/>
      <c r="D9" s="379"/>
      <c r="E9" s="391">
        <v>600</v>
      </c>
      <c r="F9" s="399">
        <v>742</v>
      </c>
      <c r="G9" s="391"/>
      <c r="H9" s="391">
        <v>83</v>
      </c>
      <c r="J9" s="508">
        <v>6900</v>
      </c>
    </row>
    <row r="10" spans="1:8" ht="18.75">
      <c r="A10" s="262">
        <v>512142</v>
      </c>
      <c r="B10" s="267" t="s">
        <v>529</v>
      </c>
      <c r="C10" s="268"/>
      <c r="D10" s="380"/>
      <c r="E10" s="391">
        <v>200</v>
      </c>
      <c r="F10" s="399">
        <v>200</v>
      </c>
      <c r="G10" s="391"/>
      <c r="H10" s="391">
        <v>200</v>
      </c>
    </row>
    <row r="11" spans="1:8" ht="18.75">
      <c r="A11" s="262"/>
      <c r="B11" s="263" t="s">
        <v>219</v>
      </c>
      <c r="C11" s="264"/>
      <c r="D11" s="321"/>
      <c r="E11" s="391"/>
      <c r="F11" s="399">
        <v>50</v>
      </c>
      <c r="G11" s="391"/>
      <c r="H11" s="391">
        <v>115</v>
      </c>
    </row>
    <row r="12" spans="1:8" ht="18.75">
      <c r="A12" s="262"/>
      <c r="B12" s="269" t="s">
        <v>530</v>
      </c>
      <c r="C12" s="270"/>
      <c r="D12" s="270"/>
      <c r="E12" s="391">
        <v>342</v>
      </c>
      <c r="F12" s="445">
        <f>'[3]Óvoda'!$Q$7/1000</f>
        <v>1481.5</v>
      </c>
      <c r="G12" s="392"/>
      <c r="H12" s="392"/>
    </row>
    <row r="13" spans="1:8" ht="18.75">
      <c r="A13" s="262">
        <v>51219</v>
      </c>
      <c r="B13" s="271" t="s">
        <v>531</v>
      </c>
      <c r="C13" s="176"/>
      <c r="D13" s="265"/>
      <c r="E13" s="391"/>
      <c r="F13" s="399"/>
      <c r="G13" s="391"/>
      <c r="H13" s="391"/>
    </row>
    <row r="14" spans="1:8" ht="18.75">
      <c r="A14" s="262">
        <v>51219</v>
      </c>
      <c r="B14" s="271" t="s">
        <v>532</v>
      </c>
      <c r="C14" s="176"/>
      <c r="D14" s="265"/>
      <c r="E14" s="391">
        <v>137</v>
      </c>
      <c r="F14" s="399"/>
      <c r="G14" s="391"/>
      <c r="H14" s="391"/>
    </row>
    <row r="15" spans="1:8" ht="18.75">
      <c r="A15" s="262">
        <v>51219</v>
      </c>
      <c r="B15" s="263" t="s">
        <v>533</v>
      </c>
      <c r="C15" s="264"/>
      <c r="D15" s="321"/>
      <c r="E15" s="391"/>
      <c r="F15" s="399"/>
      <c r="G15" s="391"/>
      <c r="H15" s="391"/>
    </row>
    <row r="16" spans="1:8" ht="18.75">
      <c r="A16" s="262">
        <v>51319</v>
      </c>
      <c r="B16" s="263" t="s">
        <v>392</v>
      </c>
      <c r="C16" s="264"/>
      <c r="D16" s="321"/>
      <c r="E16" s="391"/>
      <c r="F16" s="399"/>
      <c r="G16" s="391"/>
      <c r="H16" s="391"/>
    </row>
    <row r="17" spans="1:8" ht="18.75">
      <c r="A17" s="262">
        <v>51319</v>
      </c>
      <c r="B17" s="263" t="s">
        <v>24</v>
      </c>
      <c r="C17" s="264"/>
      <c r="D17" s="321"/>
      <c r="E17" s="391"/>
      <c r="F17" s="399">
        <v>50</v>
      </c>
      <c r="G17" s="391"/>
      <c r="H17" s="391">
        <v>60</v>
      </c>
    </row>
    <row r="18" spans="1:8" ht="18.75">
      <c r="A18" s="262">
        <v>51323</v>
      </c>
      <c r="B18" s="263" t="s">
        <v>169</v>
      </c>
      <c r="C18" s="264"/>
      <c r="D18" s="321"/>
      <c r="E18" s="391"/>
      <c r="F18" s="399"/>
      <c r="G18" s="391"/>
      <c r="H18" s="391"/>
    </row>
    <row r="19" spans="1:8" ht="18.75">
      <c r="A19" s="262">
        <v>51421</v>
      </c>
      <c r="B19" s="263" t="s">
        <v>534</v>
      </c>
      <c r="C19" s="264"/>
      <c r="D19" s="321"/>
      <c r="E19" s="391"/>
      <c r="F19" s="399"/>
      <c r="G19" s="391"/>
      <c r="H19" s="391"/>
    </row>
    <row r="20" spans="1:8" ht="18.75">
      <c r="A20" s="262">
        <v>51423</v>
      </c>
      <c r="B20" s="263" t="s">
        <v>535</v>
      </c>
      <c r="C20" s="264"/>
      <c r="D20" s="321"/>
      <c r="E20" s="391">
        <v>176</v>
      </c>
      <c r="F20" s="399">
        <v>176</v>
      </c>
      <c r="G20" s="391"/>
      <c r="H20" s="391">
        <v>120</v>
      </c>
    </row>
    <row r="21" spans="1:8" ht="18.75">
      <c r="A21" s="262"/>
      <c r="B21" s="272" t="s">
        <v>536</v>
      </c>
      <c r="C21" s="175"/>
      <c r="D21" s="381"/>
      <c r="E21" s="391"/>
      <c r="F21" s="399"/>
      <c r="G21" s="391"/>
      <c r="H21" s="391"/>
    </row>
    <row r="22" spans="1:8" ht="18.75">
      <c r="A22" s="262"/>
      <c r="B22" s="272" t="s">
        <v>537</v>
      </c>
      <c r="C22" s="175"/>
      <c r="D22" s="381"/>
      <c r="E22" s="391"/>
      <c r="F22" s="399"/>
      <c r="G22" s="391"/>
      <c r="H22" s="391"/>
    </row>
    <row r="23" spans="1:9" ht="18.75">
      <c r="A23" s="262">
        <v>514142</v>
      </c>
      <c r="B23" s="263" t="s">
        <v>779</v>
      </c>
      <c r="C23" s="264"/>
      <c r="D23" s="321"/>
      <c r="E23" s="391">
        <v>840</v>
      </c>
      <c r="F23" s="399">
        <v>840</v>
      </c>
      <c r="G23" s="391"/>
      <c r="H23" s="391">
        <v>1050</v>
      </c>
      <c r="I23" t="s">
        <v>780</v>
      </c>
    </row>
    <row r="24" spans="1:8" ht="18.75">
      <c r="A24" s="262">
        <v>51429</v>
      </c>
      <c r="B24" s="263" t="s">
        <v>538</v>
      </c>
      <c r="C24" s="264"/>
      <c r="D24" s="321"/>
      <c r="E24" s="391"/>
      <c r="F24" s="399"/>
      <c r="G24" s="391"/>
      <c r="H24" s="391"/>
    </row>
    <row r="25" spans="1:8" ht="19.5" thickBot="1">
      <c r="A25" s="273">
        <v>516</v>
      </c>
      <c r="B25" s="274" t="s">
        <v>838</v>
      </c>
      <c r="C25" s="275"/>
      <c r="D25" s="382"/>
      <c r="E25" s="391"/>
      <c r="F25" s="399"/>
      <c r="G25" s="391"/>
      <c r="H25" s="391">
        <v>1327</v>
      </c>
    </row>
    <row r="26" spans="1:10" ht="27" customHeight="1" thickBot="1">
      <c r="A26" s="277">
        <v>51</v>
      </c>
      <c r="B26" s="278" t="s">
        <v>539</v>
      </c>
      <c r="C26" s="278"/>
      <c r="D26" s="278"/>
      <c r="E26" s="393">
        <f>SUM(E6:E25)</f>
        <v>13927</v>
      </c>
      <c r="F26" s="446">
        <f>SUM(F6:F25)</f>
        <v>19379.638</v>
      </c>
      <c r="G26" s="446">
        <f>SUM(G6:G25)</f>
        <v>0</v>
      </c>
      <c r="H26" s="393">
        <f>SUM(H6:H25)</f>
        <v>18880</v>
      </c>
      <c r="I26" s="20"/>
      <c r="J26" s="394"/>
    </row>
    <row r="27" spans="1:8" ht="19.5" thickBot="1">
      <c r="A27" s="279"/>
      <c r="B27" s="280"/>
      <c r="C27" s="280"/>
      <c r="D27" s="280"/>
      <c r="E27" s="391"/>
      <c r="F27" s="399"/>
      <c r="G27" s="391"/>
      <c r="H27" s="391"/>
    </row>
    <row r="28" spans="1:9" ht="18.75">
      <c r="A28" s="281">
        <v>5311</v>
      </c>
      <c r="B28" s="282" t="s">
        <v>597</v>
      </c>
      <c r="C28" s="283"/>
      <c r="D28" s="283"/>
      <c r="E28" s="284">
        <v>3394</v>
      </c>
      <c r="F28" s="447">
        <f>(F26-F23-F20-F17)*27%</f>
        <v>4944.6822600000005</v>
      </c>
      <c r="G28" s="284"/>
      <c r="H28" s="284">
        <f>I28*27%</f>
        <v>4765.5</v>
      </c>
      <c r="I28" s="20">
        <f>H26-H23-H17-H20</f>
        <v>17650</v>
      </c>
    </row>
    <row r="29" spans="1:8" ht="18.75">
      <c r="A29" s="285">
        <v>5331</v>
      </c>
      <c r="B29" s="286" t="s">
        <v>4</v>
      </c>
      <c r="C29" s="287"/>
      <c r="D29" s="287"/>
      <c r="E29" s="391"/>
      <c r="F29" s="445">
        <f>F23*16.7%</f>
        <v>140.27999999999997</v>
      </c>
      <c r="G29" s="392"/>
      <c r="H29" s="392">
        <v>175</v>
      </c>
    </row>
    <row r="30" spans="1:8" ht="19.5" thickBot="1">
      <c r="A30" s="477"/>
      <c r="B30" s="287" t="s">
        <v>672</v>
      </c>
      <c r="C30" s="287"/>
      <c r="D30" s="287"/>
      <c r="E30" s="391"/>
      <c r="F30" s="445"/>
      <c r="G30" s="392"/>
      <c r="H30" s="392">
        <v>203</v>
      </c>
    </row>
    <row r="31" spans="1:8" ht="19.5" thickBot="1">
      <c r="A31" s="288">
        <v>53</v>
      </c>
      <c r="B31" s="289" t="s">
        <v>70</v>
      </c>
      <c r="C31" s="290"/>
      <c r="D31" s="290"/>
      <c r="E31" s="392">
        <f>SUM(E28:E29)</f>
        <v>3394</v>
      </c>
      <c r="F31" s="445">
        <f>SUM(F28:F29)</f>
        <v>5084.96226</v>
      </c>
      <c r="G31" s="392">
        <f>SUM(G28:G30)</f>
        <v>0</v>
      </c>
      <c r="H31" s="392">
        <f>SUM(H28:H30)</f>
        <v>5143.5</v>
      </c>
    </row>
    <row r="32" spans="1:8" ht="19.5" thickBot="1">
      <c r="A32" s="291"/>
      <c r="B32" s="292"/>
      <c r="C32" s="293"/>
      <c r="D32" s="293"/>
      <c r="E32" s="391"/>
      <c r="F32" s="399"/>
      <c r="G32" s="391"/>
      <c r="H32" s="391"/>
    </row>
    <row r="33" spans="1:8" ht="18.75">
      <c r="A33" s="294"/>
      <c r="B33" s="295" t="s">
        <v>540</v>
      </c>
      <c r="C33" s="296"/>
      <c r="D33" s="383"/>
      <c r="E33" s="391">
        <v>5</v>
      </c>
      <c r="F33" s="399">
        <v>12</v>
      </c>
      <c r="G33" s="391">
        <v>7</v>
      </c>
      <c r="H33" s="391">
        <v>10</v>
      </c>
    </row>
    <row r="34" spans="1:8" ht="18.75">
      <c r="A34" s="262">
        <v>5431</v>
      </c>
      <c r="B34" s="263" t="s">
        <v>431</v>
      </c>
      <c r="C34" s="264"/>
      <c r="D34" s="321"/>
      <c r="E34" s="391">
        <v>50</v>
      </c>
      <c r="F34" s="399">
        <v>40</v>
      </c>
      <c r="G34" s="391">
        <v>22</v>
      </c>
      <c r="H34" s="391">
        <v>30</v>
      </c>
    </row>
    <row r="35" spans="1:9" ht="18.75">
      <c r="A35" s="262">
        <v>54411</v>
      </c>
      <c r="B35" s="263" t="s">
        <v>541</v>
      </c>
      <c r="C35" s="266"/>
      <c r="D35" s="379"/>
      <c r="E35" s="391">
        <v>20</v>
      </c>
      <c r="F35" s="399">
        <v>10</v>
      </c>
      <c r="G35" s="391">
        <v>27</v>
      </c>
      <c r="H35" s="391">
        <v>30</v>
      </c>
      <c r="I35" t="s">
        <v>793</v>
      </c>
    </row>
    <row r="36" spans="1:9" ht="18.75">
      <c r="A36" s="262">
        <v>54711</v>
      </c>
      <c r="B36" s="263" t="s">
        <v>542</v>
      </c>
      <c r="C36" s="264"/>
      <c r="D36" s="321"/>
      <c r="E36" s="391">
        <v>130</v>
      </c>
      <c r="F36" s="399">
        <v>130</v>
      </c>
      <c r="G36" s="391">
        <v>206</v>
      </c>
      <c r="H36" s="568">
        <v>250</v>
      </c>
      <c r="I36" t="s">
        <v>794</v>
      </c>
    </row>
    <row r="37" spans="1:9" ht="18.75">
      <c r="A37" s="262">
        <v>54712</v>
      </c>
      <c r="B37" s="263" t="s">
        <v>543</v>
      </c>
      <c r="C37" s="264"/>
      <c r="D37" s="321"/>
      <c r="E37" s="391">
        <v>70</v>
      </c>
      <c r="F37" s="399">
        <v>30</v>
      </c>
      <c r="G37" s="391"/>
      <c r="H37" s="569"/>
      <c r="I37" s="21" t="s">
        <v>593</v>
      </c>
    </row>
    <row r="38" spans="1:8" ht="18.75">
      <c r="A38" s="262">
        <v>5481</v>
      </c>
      <c r="B38" s="263" t="s">
        <v>544</v>
      </c>
      <c r="C38" s="264"/>
      <c r="D38" s="321"/>
      <c r="E38" s="391">
        <v>72</v>
      </c>
      <c r="F38" s="399">
        <v>76</v>
      </c>
      <c r="G38" s="391">
        <v>72</v>
      </c>
      <c r="H38" s="391">
        <v>76</v>
      </c>
    </row>
    <row r="39" spans="1:9" ht="19.5" thickBot="1">
      <c r="A39" s="297">
        <v>5491</v>
      </c>
      <c r="B39" s="298" t="s">
        <v>91</v>
      </c>
      <c r="C39" s="299"/>
      <c r="D39" s="384"/>
      <c r="E39" s="391">
        <v>150</v>
      </c>
      <c r="F39" s="399">
        <v>120</v>
      </c>
      <c r="G39" s="391">
        <v>110</v>
      </c>
      <c r="H39" s="391">
        <v>120</v>
      </c>
      <c r="I39" s="21" t="s">
        <v>545</v>
      </c>
    </row>
    <row r="40" spans="1:8" ht="30" customHeight="1" thickBot="1">
      <c r="A40" s="277">
        <v>54</v>
      </c>
      <c r="B40" s="567" t="s">
        <v>546</v>
      </c>
      <c r="C40" s="566"/>
      <c r="D40" s="566"/>
      <c r="E40" s="391">
        <f>SUM(E33:E39)</f>
        <v>497</v>
      </c>
      <c r="F40" s="399">
        <f>SUM(F33:F39)</f>
        <v>418</v>
      </c>
      <c r="G40" s="399">
        <f>SUM(G33:G39)</f>
        <v>444</v>
      </c>
      <c r="H40" s="399">
        <f>SUM(H33:H39)</f>
        <v>516</v>
      </c>
    </row>
    <row r="41" spans="1:8" ht="18.75">
      <c r="A41" s="258">
        <v>55111</v>
      </c>
      <c r="B41" s="300" t="s">
        <v>380</v>
      </c>
      <c r="C41" s="301"/>
      <c r="D41" s="385"/>
      <c r="E41" s="391">
        <v>100</v>
      </c>
      <c r="F41" s="399">
        <v>100</v>
      </c>
      <c r="G41" s="391">
        <v>76</v>
      </c>
      <c r="H41" s="391">
        <v>100</v>
      </c>
    </row>
    <row r="42" spans="1:9" ht="18.75">
      <c r="A42" s="262"/>
      <c r="B42" s="263" t="s">
        <v>547</v>
      </c>
      <c r="C42" s="264"/>
      <c r="D42" s="321"/>
      <c r="E42" s="304">
        <v>90</v>
      </c>
      <c r="F42" s="443">
        <v>90</v>
      </c>
      <c r="G42" s="304">
        <v>36</v>
      </c>
      <c r="H42" s="304">
        <v>50</v>
      </c>
      <c r="I42" s="303"/>
    </row>
    <row r="43" spans="1:8" ht="18.75">
      <c r="A43" s="262">
        <v>55211</v>
      </c>
      <c r="B43" s="263" t="s">
        <v>172</v>
      </c>
      <c r="C43" s="264"/>
      <c r="D43" s="321"/>
      <c r="E43" s="304"/>
      <c r="F43" s="443"/>
      <c r="G43" s="304"/>
      <c r="H43" s="304"/>
    </row>
    <row r="44" spans="1:9" ht="18.75">
      <c r="A44" s="262">
        <v>55213</v>
      </c>
      <c r="B44" s="263" t="s">
        <v>548</v>
      </c>
      <c r="C44" s="264"/>
      <c r="D44" s="321"/>
      <c r="E44" s="304">
        <v>30</v>
      </c>
      <c r="F44" s="443">
        <v>30</v>
      </c>
      <c r="G44" s="304">
        <v>13</v>
      </c>
      <c r="H44" s="304">
        <v>15</v>
      </c>
      <c r="I44" s="21" t="s">
        <v>549</v>
      </c>
    </row>
    <row r="45" spans="1:8" ht="18.75">
      <c r="A45" s="262">
        <v>55214</v>
      </c>
      <c r="B45" s="263" t="s">
        <v>550</v>
      </c>
      <c r="C45" s="264"/>
      <c r="D45" s="321"/>
      <c r="E45" s="304">
        <v>700</v>
      </c>
      <c r="F45" s="443">
        <v>600</v>
      </c>
      <c r="G45" s="304">
        <v>495</v>
      </c>
      <c r="H45" s="304">
        <v>520</v>
      </c>
    </row>
    <row r="46" spans="1:8" ht="18.75">
      <c r="A46" s="262">
        <v>55215</v>
      </c>
      <c r="B46" s="263" t="s">
        <v>551</v>
      </c>
      <c r="C46" s="264"/>
      <c r="D46" s="321"/>
      <c r="E46" s="304">
        <v>200</v>
      </c>
      <c r="F46" s="443">
        <v>150</v>
      </c>
      <c r="G46" s="304">
        <v>56</v>
      </c>
      <c r="H46" s="304">
        <v>80</v>
      </c>
    </row>
    <row r="47" spans="1:8" ht="18.75">
      <c r="A47" s="262">
        <v>55217</v>
      </c>
      <c r="B47" s="263" t="s">
        <v>510</v>
      </c>
      <c r="C47" s="264"/>
      <c r="D47" s="321"/>
      <c r="E47" s="304">
        <v>350</v>
      </c>
      <c r="F47" s="443">
        <v>220</v>
      </c>
      <c r="G47" s="304">
        <v>278</v>
      </c>
      <c r="H47" s="304">
        <v>300</v>
      </c>
    </row>
    <row r="48" spans="1:9" ht="18.75">
      <c r="A48" s="262">
        <v>552181</v>
      </c>
      <c r="B48" s="263" t="s">
        <v>26</v>
      </c>
      <c r="C48" s="264"/>
      <c r="D48" s="321"/>
      <c r="E48" s="304">
        <v>200</v>
      </c>
      <c r="F48" s="443">
        <v>150</v>
      </c>
      <c r="G48" s="304">
        <v>74</v>
      </c>
      <c r="H48" s="304">
        <v>70</v>
      </c>
      <c r="I48" t="s">
        <v>795</v>
      </c>
    </row>
    <row r="49" spans="1:9" ht="18.75">
      <c r="A49" s="262"/>
      <c r="B49" s="263" t="s">
        <v>552</v>
      </c>
      <c r="C49" s="266"/>
      <c r="D49" s="379"/>
      <c r="E49" s="391">
        <v>135</v>
      </c>
      <c r="F49" s="399">
        <v>135</v>
      </c>
      <c r="G49" s="391">
        <v>135</v>
      </c>
      <c r="H49" s="391">
        <v>270</v>
      </c>
      <c r="I49" s="21" t="s">
        <v>599</v>
      </c>
    </row>
    <row r="50" spans="1:9" ht="18.75">
      <c r="A50" s="262"/>
      <c r="B50" s="263" t="s">
        <v>594</v>
      </c>
      <c r="C50" s="266"/>
      <c r="D50" s="379"/>
      <c r="E50" s="391"/>
      <c r="F50" s="399">
        <v>48</v>
      </c>
      <c r="G50" s="391"/>
      <c r="H50" s="391">
        <v>20</v>
      </c>
      <c r="I50" s="21" t="s">
        <v>598</v>
      </c>
    </row>
    <row r="51" spans="1:9" ht="18.75">
      <c r="A51" s="262">
        <v>55219</v>
      </c>
      <c r="B51" s="263" t="s">
        <v>553</v>
      </c>
      <c r="C51" s="264"/>
      <c r="D51" s="321"/>
      <c r="E51" s="391">
        <f>26+70</f>
        <v>96</v>
      </c>
      <c r="F51" s="399">
        <v>30</v>
      </c>
      <c r="G51" s="391">
        <v>36</v>
      </c>
      <c r="H51" s="391">
        <v>50</v>
      </c>
      <c r="I51" t="s">
        <v>798</v>
      </c>
    </row>
    <row r="52" spans="1:8" ht="18.75">
      <c r="A52" s="297"/>
      <c r="B52" s="305" t="s">
        <v>796</v>
      </c>
      <c r="C52" s="306"/>
      <c r="D52" s="306"/>
      <c r="E52" s="391"/>
      <c r="F52" s="399"/>
      <c r="G52" s="391">
        <v>82</v>
      </c>
      <c r="H52" s="391">
        <v>80</v>
      </c>
    </row>
    <row r="53" spans="1:9" ht="19.5" thickBot="1">
      <c r="A53" s="297">
        <v>5531</v>
      </c>
      <c r="B53" s="305" t="s">
        <v>554</v>
      </c>
      <c r="C53" s="306"/>
      <c r="D53" s="306"/>
      <c r="E53" s="391">
        <v>550</v>
      </c>
      <c r="F53" s="399">
        <v>320</v>
      </c>
      <c r="G53" s="391">
        <v>116</v>
      </c>
      <c r="H53" s="391">
        <v>120</v>
      </c>
      <c r="I53" t="s">
        <v>797</v>
      </c>
    </row>
    <row r="54" spans="1:8" ht="35.25" customHeight="1" thickBot="1">
      <c r="A54" s="307">
        <v>55</v>
      </c>
      <c r="B54" s="565" t="s">
        <v>555</v>
      </c>
      <c r="C54" s="566"/>
      <c r="D54" s="566"/>
      <c r="E54" s="28">
        <f>SUM(E41:E53)</f>
        <v>2451</v>
      </c>
      <c r="F54" s="127">
        <f>SUM(F41:F53)</f>
        <v>1873</v>
      </c>
      <c r="G54" s="127">
        <f>SUM(G41:G53)</f>
        <v>1397</v>
      </c>
      <c r="H54" s="127">
        <f>SUM(H41:H53)</f>
        <v>1675</v>
      </c>
    </row>
    <row r="55" spans="1:8" ht="18.75">
      <c r="A55" s="258">
        <v>56111</v>
      </c>
      <c r="B55" s="300" t="s">
        <v>556</v>
      </c>
      <c r="C55" s="308"/>
      <c r="D55" s="318"/>
      <c r="E55" s="393">
        <f>(E54+E40+E57)*27%</f>
        <v>798.6600000000001</v>
      </c>
      <c r="F55" s="446">
        <f>(F54-F53+F40+F57)*27%-0.5</f>
        <v>534.37</v>
      </c>
      <c r="G55" s="393">
        <v>425</v>
      </c>
      <c r="H55" s="393">
        <f>(H40+H54+H57)*27%</f>
        <v>598.32</v>
      </c>
    </row>
    <row r="56" spans="1:8" ht="18.75">
      <c r="A56" s="262">
        <v>56211</v>
      </c>
      <c r="B56" s="263" t="s">
        <v>600</v>
      </c>
      <c r="C56" s="264"/>
      <c r="D56" s="321"/>
      <c r="E56" s="391">
        <v>20</v>
      </c>
      <c r="F56" s="399">
        <v>5</v>
      </c>
      <c r="G56" s="391">
        <v>6</v>
      </c>
      <c r="H56" s="391">
        <v>10</v>
      </c>
    </row>
    <row r="57" spans="1:9" ht="18.75">
      <c r="A57" s="262">
        <v>56213</v>
      </c>
      <c r="B57" s="263" t="s">
        <v>19</v>
      </c>
      <c r="C57" s="264"/>
      <c r="D57" s="321"/>
      <c r="E57" s="391">
        <v>10</v>
      </c>
      <c r="F57" s="399">
        <v>10</v>
      </c>
      <c r="G57" s="391">
        <v>11</v>
      </c>
      <c r="H57" s="391">
        <v>25</v>
      </c>
      <c r="I57" t="s">
        <v>799</v>
      </c>
    </row>
    <row r="58" spans="1:8" ht="18.75">
      <c r="A58" s="262"/>
      <c r="B58" s="263" t="s">
        <v>557</v>
      </c>
      <c r="C58" s="264"/>
      <c r="D58" s="321"/>
      <c r="E58" s="391"/>
      <c r="F58" s="399"/>
      <c r="G58" s="391"/>
      <c r="H58" s="391"/>
    </row>
    <row r="59" spans="1:8" ht="19.5" thickBot="1">
      <c r="A59" s="297">
        <v>57212</v>
      </c>
      <c r="B59" s="298" t="s">
        <v>558</v>
      </c>
      <c r="C59" s="299"/>
      <c r="D59" s="384"/>
      <c r="E59" s="391">
        <v>76</v>
      </c>
      <c r="F59" s="445">
        <f>F23*19.04%</f>
        <v>159.93599999999998</v>
      </c>
      <c r="G59" s="392"/>
      <c r="H59" s="392"/>
    </row>
    <row r="60" spans="1:8" ht="27" customHeight="1" thickBot="1">
      <c r="A60" s="277">
        <v>56</v>
      </c>
      <c r="B60" s="567" t="s">
        <v>361</v>
      </c>
      <c r="C60" s="566"/>
      <c r="D60" s="566"/>
      <c r="E60" s="393">
        <f>SUM(E55:E59)</f>
        <v>904.6600000000001</v>
      </c>
      <c r="F60" s="446">
        <f>SUM(F55:F59)</f>
        <v>709.306</v>
      </c>
      <c r="G60" s="446">
        <f>SUM(G55:G59)</f>
        <v>442</v>
      </c>
      <c r="H60" s="446">
        <f>SUM(H55:H59)</f>
        <v>633.32</v>
      </c>
    </row>
    <row r="61" spans="1:8" ht="19.5" thickBot="1">
      <c r="A61" s="219"/>
      <c r="B61" s="219"/>
      <c r="C61" s="256"/>
      <c r="D61" s="256"/>
      <c r="E61" s="395"/>
      <c r="F61" s="448"/>
      <c r="G61" s="395"/>
      <c r="H61" s="395"/>
    </row>
    <row r="62" spans="1:8" ht="19.5" thickBot="1">
      <c r="A62" s="277"/>
      <c r="B62" s="309" t="s">
        <v>29</v>
      </c>
      <c r="C62" s="310"/>
      <c r="D62" s="386"/>
      <c r="E62" s="393">
        <f>E60+E54+E40</f>
        <v>3852.66</v>
      </c>
      <c r="F62" s="446">
        <f>F60+F54+F40</f>
        <v>3000.306</v>
      </c>
      <c r="G62" s="446">
        <f>G60+G54+G40</f>
        <v>2283</v>
      </c>
      <c r="H62" s="446">
        <f>H60+H54+H40</f>
        <v>2824.32</v>
      </c>
    </row>
    <row r="63" spans="1:8" ht="19.5" thickBot="1">
      <c r="A63" s="311"/>
      <c r="B63" s="311"/>
      <c r="C63" s="312"/>
      <c r="D63" s="378"/>
      <c r="E63" s="391"/>
      <c r="F63" s="399"/>
      <c r="G63" s="391"/>
      <c r="H63" s="391"/>
    </row>
    <row r="64" spans="1:8" ht="19.5" thickBot="1">
      <c r="A64" s="277"/>
      <c r="B64" s="307" t="s">
        <v>559</v>
      </c>
      <c r="C64" s="310"/>
      <c r="D64" s="386"/>
      <c r="E64" s="393">
        <f>E62+E31+E26</f>
        <v>21173.66</v>
      </c>
      <c r="F64" s="446">
        <f>F62+F31+F26</f>
        <v>27464.90626</v>
      </c>
      <c r="G64" s="446">
        <f>G62+G31+G26</f>
        <v>2283</v>
      </c>
      <c r="H64" s="446">
        <f>H62+H31+H26</f>
        <v>26847.82</v>
      </c>
    </row>
    <row r="65" spans="1:8" ht="19.5" thickBot="1">
      <c r="A65" s="311"/>
      <c r="B65" s="311"/>
      <c r="C65" s="312"/>
      <c r="D65" s="378"/>
      <c r="E65" s="391"/>
      <c r="F65" s="399"/>
      <c r="G65" s="391"/>
      <c r="H65" s="391"/>
    </row>
    <row r="66" spans="1:8" ht="19.5" thickBot="1">
      <c r="A66" s="277"/>
      <c r="B66" s="307" t="s">
        <v>595</v>
      </c>
      <c r="C66" s="310"/>
      <c r="D66" s="386"/>
      <c r="E66" s="391"/>
      <c r="F66" s="399"/>
      <c r="G66" s="391"/>
      <c r="H66" s="391"/>
    </row>
    <row r="67" spans="1:8" ht="18.75">
      <c r="A67" s="292"/>
      <c r="B67" s="377" t="s">
        <v>596</v>
      </c>
      <c r="C67" s="312"/>
      <c r="D67" s="378"/>
      <c r="E67" s="391"/>
      <c r="F67" s="399">
        <v>120</v>
      </c>
      <c r="G67" s="391">
        <v>119</v>
      </c>
      <c r="H67" s="391"/>
    </row>
    <row r="68" spans="1:8" ht="18.75">
      <c r="A68" s="292"/>
      <c r="B68" s="377" t="s">
        <v>236</v>
      </c>
      <c r="C68" s="312"/>
      <c r="D68" s="378"/>
      <c r="E68" s="391"/>
      <c r="F68" s="399">
        <v>32</v>
      </c>
      <c r="G68" s="391">
        <v>32</v>
      </c>
      <c r="H68" s="391"/>
    </row>
    <row r="69" spans="1:8" ht="18.75">
      <c r="A69" s="311"/>
      <c r="B69" s="311" t="s">
        <v>237</v>
      </c>
      <c r="C69" s="312"/>
      <c r="D69" s="378"/>
      <c r="E69" s="391"/>
      <c r="F69" s="399">
        <f>SUM(F67:F68)</f>
        <v>152</v>
      </c>
      <c r="G69" s="399">
        <f>SUM(G67:G68)</f>
        <v>151</v>
      </c>
      <c r="H69" s="399">
        <f>SUM(H67:H68)</f>
        <v>0</v>
      </c>
    </row>
    <row r="70" spans="1:8" ht="19.5" thickBot="1">
      <c r="A70" s="292"/>
      <c r="B70" s="377"/>
      <c r="C70" s="312"/>
      <c r="D70" s="378"/>
      <c r="E70" s="391"/>
      <c r="F70" s="399"/>
      <c r="G70" s="391"/>
      <c r="H70" s="391"/>
    </row>
    <row r="71" spans="1:8" s="396" customFormat="1" ht="16.5" thickBot="1">
      <c r="A71" s="277"/>
      <c r="B71" s="307" t="s">
        <v>0</v>
      </c>
      <c r="C71" s="313"/>
      <c r="D71" s="387"/>
      <c r="E71" s="393">
        <f>E66+E64</f>
        <v>21173.66</v>
      </c>
      <c r="F71" s="446">
        <f>F69+F64</f>
        <v>27616.90626</v>
      </c>
      <c r="G71" s="446">
        <f>G69+G64</f>
        <v>2434</v>
      </c>
      <c r="H71" s="446">
        <f>H69+H64</f>
        <v>26847.82</v>
      </c>
    </row>
    <row r="72" spans="1:8" ht="19.5" thickBot="1">
      <c r="A72" s="314"/>
      <c r="B72" s="312"/>
      <c r="C72" s="312"/>
      <c r="D72" s="312"/>
      <c r="E72" s="391"/>
      <c r="F72" s="391"/>
      <c r="G72" s="391"/>
      <c r="H72" s="391"/>
    </row>
    <row r="73" spans="1:8" ht="19.5" thickBot="1">
      <c r="A73" s="276"/>
      <c r="B73" s="315" t="s">
        <v>335</v>
      </c>
      <c r="C73" s="316"/>
      <c r="D73" s="316"/>
      <c r="E73" s="391"/>
      <c r="F73" s="391"/>
      <c r="G73" s="391"/>
      <c r="H73" s="391"/>
    </row>
    <row r="74" spans="1:8" ht="19.5" thickBot="1">
      <c r="A74" s="293"/>
      <c r="B74" s="509" t="s">
        <v>782</v>
      </c>
      <c r="C74" s="316"/>
      <c r="D74" s="316"/>
      <c r="E74" s="391"/>
      <c r="F74" s="391"/>
      <c r="G74" s="391"/>
      <c r="H74" s="391">
        <v>1</v>
      </c>
    </row>
    <row r="75" spans="1:8" ht="18.75">
      <c r="A75" s="317"/>
      <c r="B75" s="318" t="s">
        <v>781</v>
      </c>
      <c r="C75" s="260"/>
      <c r="D75" s="319"/>
      <c r="E75" s="391"/>
      <c r="F75" s="391"/>
      <c r="G75" s="391"/>
      <c r="H75" s="391">
        <v>462</v>
      </c>
    </row>
    <row r="76" spans="1:8" ht="18.75">
      <c r="A76" s="320"/>
      <c r="B76" s="321" t="s">
        <v>63</v>
      </c>
      <c r="C76" s="270"/>
      <c r="D76" s="322"/>
      <c r="E76" s="391"/>
      <c r="F76" s="391"/>
      <c r="G76" s="391"/>
      <c r="H76" s="391">
        <f>SUM(H74:H75)</f>
        <v>463</v>
      </c>
    </row>
    <row r="77" spans="1:8" ht="18.75">
      <c r="A77" s="320"/>
      <c r="B77" s="321"/>
      <c r="C77" s="270"/>
      <c r="D77" s="322"/>
      <c r="E77" s="391"/>
      <c r="F77" s="397"/>
      <c r="G77" s="397"/>
      <c r="H77" s="397"/>
    </row>
    <row r="78" spans="1:8" ht="18.75">
      <c r="A78" s="320"/>
      <c r="B78" s="321"/>
      <c r="C78" s="270"/>
      <c r="D78" s="322"/>
      <c r="E78" s="391"/>
      <c r="F78" s="397"/>
      <c r="G78" s="397"/>
      <c r="H78" s="397"/>
    </row>
    <row r="79" spans="1:9" ht="18.75">
      <c r="A79" s="320"/>
      <c r="B79" s="321"/>
      <c r="C79" s="270"/>
      <c r="D79" s="322"/>
      <c r="I79" s="398">
        <f>E75*27%</f>
        <v>0</v>
      </c>
    </row>
    <row r="80" spans="1:8" ht="18.75">
      <c r="A80" s="320"/>
      <c r="B80" s="321"/>
      <c r="C80" s="270"/>
      <c r="D80" s="322"/>
      <c r="E80" s="391"/>
      <c r="F80" s="397"/>
      <c r="G80" s="397"/>
      <c r="H80" s="397"/>
    </row>
    <row r="81" spans="1:8" ht="18.75">
      <c r="A81" s="320"/>
      <c r="B81" s="321"/>
      <c r="C81" s="270"/>
      <c r="D81" s="322"/>
      <c r="E81" s="391"/>
      <c r="F81" s="397"/>
      <c r="G81" s="397"/>
      <c r="H81" s="397"/>
    </row>
    <row r="82" spans="1:8" ht="18.75">
      <c r="A82" s="320"/>
      <c r="B82" s="323"/>
      <c r="C82" s="324"/>
      <c r="D82" s="324"/>
      <c r="E82" s="399"/>
      <c r="F82" s="397"/>
      <c r="G82" s="397"/>
      <c r="H82" s="397"/>
    </row>
    <row r="83" spans="1:8" ht="18.75">
      <c r="A83" s="320"/>
      <c r="B83" s="176"/>
      <c r="C83" s="176"/>
      <c r="D83" s="176"/>
      <c r="E83" s="391"/>
      <c r="F83" s="397"/>
      <c r="G83" s="397"/>
      <c r="H83" s="397"/>
    </row>
    <row r="84" spans="1:8" ht="18.75">
      <c r="A84" s="320"/>
      <c r="B84" s="325"/>
      <c r="C84" s="326"/>
      <c r="D84" s="327"/>
      <c r="E84" s="391"/>
      <c r="F84" s="397"/>
      <c r="G84" s="397"/>
      <c r="H84" s="397"/>
    </row>
    <row r="85" spans="1:8" ht="18.75">
      <c r="A85" s="320"/>
      <c r="B85" s="325"/>
      <c r="C85" s="326"/>
      <c r="D85" s="326"/>
      <c r="E85" s="399"/>
      <c r="F85" s="397"/>
      <c r="G85" s="397"/>
      <c r="H85" s="397"/>
    </row>
    <row r="86" spans="1:8" ht="18.75">
      <c r="A86" s="320"/>
      <c r="B86" s="176"/>
      <c r="C86" s="176"/>
      <c r="D86" s="176"/>
      <c r="E86" s="391"/>
      <c r="F86" s="397"/>
      <c r="G86" s="397"/>
      <c r="H86" s="397"/>
    </row>
    <row r="87" spans="1:8" ht="18.75">
      <c r="A87" s="320"/>
      <c r="B87" s="325"/>
      <c r="C87" s="326"/>
      <c r="D87" s="327"/>
      <c r="E87" s="393"/>
      <c r="F87" s="400"/>
      <c r="G87" s="400"/>
      <c r="H87" s="400"/>
    </row>
    <row r="88" spans="1:8" ht="19.5" thickBot="1">
      <c r="A88" s="328"/>
      <c r="B88" s="329"/>
      <c r="C88" s="329"/>
      <c r="D88" s="329"/>
      <c r="E88" s="391"/>
      <c r="F88" s="397"/>
      <c r="G88" s="397"/>
      <c r="H88" s="397"/>
    </row>
    <row r="89" spans="1:8" ht="18.75">
      <c r="A89" s="257"/>
      <c r="B89" s="257"/>
      <c r="C89" s="257"/>
      <c r="D89" s="257"/>
      <c r="E89" s="304"/>
      <c r="F89" s="376"/>
      <c r="G89" s="376"/>
      <c r="H89" s="376"/>
    </row>
    <row r="90" spans="1:8" ht="18.75">
      <c r="A90" s="257"/>
      <c r="B90" s="257"/>
      <c r="C90" s="257"/>
      <c r="D90" s="257"/>
      <c r="E90" s="304"/>
      <c r="F90" s="376"/>
      <c r="G90" s="376"/>
      <c r="H90" s="376"/>
    </row>
    <row r="91" spans="1:8" ht="18.75">
      <c r="A91" s="257"/>
      <c r="B91" s="257"/>
      <c r="C91" s="257"/>
      <c r="D91" s="257"/>
      <c r="E91" s="304"/>
      <c r="F91" s="376"/>
      <c r="G91" s="376"/>
      <c r="H91" s="376"/>
    </row>
    <row r="92" spans="5:8" ht="18.75">
      <c r="E92" s="304"/>
      <c r="F92" s="376"/>
      <c r="G92" s="376"/>
      <c r="H92" s="376"/>
    </row>
    <row r="93" spans="4:8" ht="18.75">
      <c r="D93" s="330"/>
      <c r="E93" s="304"/>
      <c r="F93" s="376"/>
      <c r="G93" s="376"/>
      <c r="H93" s="376"/>
    </row>
    <row r="94" spans="4:8" ht="18.75">
      <c r="D94" s="188"/>
      <c r="E94" s="304"/>
      <c r="F94" s="376"/>
      <c r="G94" s="376"/>
      <c r="H94" s="376"/>
    </row>
    <row r="95" spans="4:8" ht="18.75">
      <c r="D95" s="188"/>
      <c r="E95" s="304"/>
      <c r="F95" s="376"/>
      <c r="G95" s="376"/>
      <c r="H95" s="376"/>
    </row>
    <row r="96" spans="4:8" ht="18.75">
      <c r="D96" s="34"/>
      <c r="E96" s="304"/>
      <c r="F96" s="376"/>
      <c r="G96" s="376"/>
      <c r="H96" s="376"/>
    </row>
    <row r="97" ht="18.75">
      <c r="D97" s="188"/>
    </row>
    <row r="98" ht="18.75">
      <c r="D98" s="34"/>
    </row>
  </sheetData>
  <sheetProtection/>
  <mergeCells count="4">
    <mergeCell ref="B54:D54"/>
    <mergeCell ref="B40:D40"/>
    <mergeCell ref="B60:D60"/>
    <mergeCell ref="H36:H37"/>
  </mergeCells>
  <printOptions/>
  <pageMargins left="0.7" right="0.7" top="0.75" bottom="0.75" header="0.3" footer="0.3"/>
  <pageSetup horizontalDpi="300" verticalDpi="300" orientation="portrait" paperSize="9" scale="57" r:id="rId1"/>
  <rowBreaks count="1" manualBreakCount="1">
    <brk id="54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80" zoomScaleSheetLayoutView="80" zoomScalePageLayoutView="0" workbookViewId="0" topLeftCell="A47">
      <selection activeCell="F83" sqref="F83"/>
    </sheetView>
  </sheetViews>
  <sheetFormatPr defaultColWidth="8.66015625" defaultRowHeight="18"/>
  <cols>
    <col min="1" max="1" width="6.25" style="209" customWidth="1"/>
    <col min="2" max="2" width="22.33203125" style="209" customWidth="1"/>
    <col min="3" max="3" width="7.75" style="0" customWidth="1"/>
    <col min="4" max="4" width="8.75" style="0" customWidth="1"/>
    <col min="5" max="5" width="10.91015625" style="246" customWidth="1"/>
    <col min="6" max="6" width="9.33203125" style="0" customWidth="1"/>
    <col min="8" max="8" width="38.33203125" style="0" customWidth="1"/>
  </cols>
  <sheetData>
    <row r="1" spans="1:4" ht="18.75">
      <c r="A1" s="211"/>
      <c r="B1" s="211" t="s">
        <v>497</v>
      </c>
      <c r="C1" s="41"/>
      <c r="D1" s="215"/>
    </row>
    <row r="2" spans="1:4" s="226" customFormat="1" ht="12.75">
      <c r="A2" s="589" t="s">
        <v>496</v>
      </c>
      <c r="B2" s="589" t="s">
        <v>168</v>
      </c>
      <c r="C2" s="403"/>
      <c r="D2" s="428"/>
    </row>
    <row r="3" spans="1:6" s="226" customFormat="1" ht="13.5" customHeight="1">
      <c r="A3" s="589"/>
      <c r="B3" s="589"/>
      <c r="C3" s="228" t="s">
        <v>285</v>
      </c>
      <c r="D3" s="404" t="s">
        <v>651</v>
      </c>
      <c r="E3" s="470" t="s">
        <v>663</v>
      </c>
      <c r="F3" s="471" t="s">
        <v>653</v>
      </c>
    </row>
    <row r="4" spans="1:6" s="226" customFormat="1" ht="12.75">
      <c r="A4" s="589"/>
      <c r="B4" s="589"/>
      <c r="C4" s="228"/>
      <c r="D4" s="228"/>
      <c r="E4" s="470"/>
      <c r="F4" s="470"/>
    </row>
    <row r="5" spans="1:6" s="226" customFormat="1" ht="12.75">
      <c r="A5" s="590"/>
      <c r="B5" s="590"/>
      <c r="C5" s="227"/>
      <c r="D5" s="227"/>
      <c r="E5" s="470"/>
      <c r="F5" s="470"/>
    </row>
    <row r="6" spans="1:8" s="220" customFormat="1" ht="18.75">
      <c r="A6" s="224">
        <v>511112</v>
      </c>
      <c r="B6" s="405" t="s">
        <v>495</v>
      </c>
      <c r="C6" s="222">
        <v>1296</v>
      </c>
      <c r="D6" s="222">
        <f>'[3]GEVSZ'!$P$19/1000</f>
        <v>1412</v>
      </c>
      <c r="E6" s="472"/>
      <c r="F6" s="473">
        <v>2403</v>
      </c>
      <c r="H6" s="220" t="s">
        <v>790</v>
      </c>
    </row>
    <row r="7" spans="1:6" s="220" customFormat="1" ht="18.75">
      <c r="A7" s="224">
        <v>511115</v>
      </c>
      <c r="B7" s="223" t="s">
        <v>494</v>
      </c>
      <c r="C7" s="222"/>
      <c r="D7" s="222"/>
      <c r="E7" s="472"/>
      <c r="F7" s="473"/>
    </row>
    <row r="8" spans="1:6" s="220" customFormat="1" ht="18.75">
      <c r="A8" s="224">
        <v>511152</v>
      </c>
      <c r="B8" s="223"/>
      <c r="C8" s="222"/>
      <c r="D8" s="222"/>
      <c r="E8" s="472"/>
      <c r="F8" s="473"/>
    </row>
    <row r="9" spans="1:6" s="217" customFormat="1" ht="12.75">
      <c r="A9" s="584" t="s">
        <v>493</v>
      </c>
      <c r="B9" s="584"/>
      <c r="C9" s="222">
        <f>SUM(C6:C8)</f>
        <v>1296</v>
      </c>
      <c r="D9" s="222">
        <f>SUM(D6:D8)</f>
        <v>1412</v>
      </c>
      <c r="E9" s="222">
        <f>SUM(E6:E8)</f>
        <v>0</v>
      </c>
      <c r="F9" s="222">
        <f>SUM(F6:F8)</f>
        <v>2403</v>
      </c>
    </row>
    <row r="10" spans="1:6" s="220" customFormat="1" ht="18.75">
      <c r="A10" s="224">
        <v>512132</v>
      </c>
      <c r="B10" s="223" t="s">
        <v>492</v>
      </c>
      <c r="C10" s="222"/>
      <c r="D10" s="222"/>
      <c r="E10" s="472"/>
      <c r="F10" s="473"/>
    </row>
    <row r="11" spans="1:6" s="220" customFormat="1" ht="18.75">
      <c r="A11" s="224">
        <v>512142</v>
      </c>
      <c r="B11" s="223" t="s">
        <v>219</v>
      </c>
      <c r="C11" s="222"/>
      <c r="D11" s="222">
        <v>27</v>
      </c>
      <c r="E11" s="472"/>
      <c r="F11" s="473">
        <v>29</v>
      </c>
    </row>
    <row r="12" spans="1:6" s="220" customFormat="1" ht="18.75">
      <c r="A12" s="224">
        <v>513122</v>
      </c>
      <c r="B12" s="223" t="s">
        <v>491</v>
      </c>
      <c r="C12" s="222"/>
      <c r="D12" s="222"/>
      <c r="E12" s="472"/>
      <c r="F12" s="473"/>
    </row>
    <row r="13" spans="1:6" s="220" customFormat="1" ht="18.75">
      <c r="A13" s="224">
        <v>513192</v>
      </c>
      <c r="B13" s="223" t="s">
        <v>490</v>
      </c>
      <c r="C13" s="222"/>
      <c r="D13" s="222"/>
      <c r="E13" s="472"/>
      <c r="F13" s="473"/>
    </row>
    <row r="14" spans="1:6" s="220" customFormat="1" ht="18.75">
      <c r="A14" s="224">
        <v>5131921</v>
      </c>
      <c r="B14" s="223" t="s">
        <v>489</v>
      </c>
      <c r="C14" s="222"/>
      <c r="D14" s="222"/>
      <c r="E14" s="472"/>
      <c r="F14" s="473"/>
    </row>
    <row r="15" spans="1:8" s="220" customFormat="1" ht="18.75">
      <c r="A15" s="224">
        <v>514132</v>
      </c>
      <c r="B15" s="223" t="s">
        <v>488</v>
      </c>
      <c r="C15" s="222"/>
      <c r="D15" s="222"/>
      <c r="E15" s="473"/>
      <c r="F15" s="473"/>
      <c r="H15" s="429" t="s">
        <v>487</v>
      </c>
    </row>
    <row r="16" spans="1:8" s="220" customFormat="1" ht="18.75">
      <c r="A16" s="224">
        <v>514135</v>
      </c>
      <c r="B16" s="223" t="s">
        <v>486</v>
      </c>
      <c r="C16" s="222"/>
      <c r="D16" s="222"/>
      <c r="E16" s="473"/>
      <c r="F16" s="473"/>
      <c r="H16" s="429"/>
    </row>
    <row r="17" spans="1:8" s="220" customFormat="1" ht="18.75">
      <c r="A17" s="224">
        <v>514142</v>
      </c>
      <c r="B17" s="223" t="s">
        <v>789</v>
      </c>
      <c r="C17" s="222">
        <v>120</v>
      </c>
      <c r="D17" s="222">
        <v>120</v>
      </c>
      <c r="E17" s="473"/>
      <c r="F17" s="473">
        <v>263</v>
      </c>
      <c r="H17" s="429" t="s">
        <v>608</v>
      </c>
    </row>
    <row r="18" spans="1:8" s="220" customFormat="1" ht="18.75">
      <c r="A18" s="224">
        <v>514145</v>
      </c>
      <c r="B18" s="223" t="s">
        <v>839</v>
      </c>
      <c r="C18" s="222"/>
      <c r="D18" s="222"/>
      <c r="E18" s="473"/>
      <c r="F18" s="473">
        <v>201</v>
      </c>
      <c r="H18" s="429"/>
    </row>
    <row r="19" spans="1:8" s="220" customFormat="1" ht="18.75">
      <c r="A19" s="224">
        <v>514192</v>
      </c>
      <c r="B19" s="223" t="s">
        <v>485</v>
      </c>
      <c r="C19" s="222"/>
      <c r="D19" s="222"/>
      <c r="E19" s="473"/>
      <c r="F19" s="473"/>
      <c r="H19" s="429"/>
    </row>
    <row r="20" spans="1:6" s="217" customFormat="1" ht="12.75">
      <c r="A20" s="584" t="s">
        <v>484</v>
      </c>
      <c r="B20" s="584"/>
      <c r="C20" s="222">
        <f>SUM(C10:C19)</f>
        <v>120</v>
      </c>
      <c r="D20" s="222">
        <f>SUM(D10:D19)</f>
        <v>147</v>
      </c>
      <c r="E20" s="222">
        <f>SUM(E10:E19)</f>
        <v>0</v>
      </c>
      <c r="F20" s="222">
        <f>SUM(F10:F19)</f>
        <v>493</v>
      </c>
    </row>
    <row r="21" spans="1:8" s="220" customFormat="1" ht="18.75">
      <c r="A21" s="224">
        <v>516112</v>
      </c>
      <c r="B21" s="223" t="s">
        <v>483</v>
      </c>
      <c r="C21" s="222">
        <v>972</v>
      </c>
      <c r="D21" s="222">
        <f>'[3]GEVSZ'!$P$20/1000</f>
        <v>1059</v>
      </c>
      <c r="E21" s="473"/>
      <c r="F21" s="473"/>
      <c r="H21" s="429" t="s">
        <v>482</v>
      </c>
    </row>
    <row r="22" spans="1:8" s="220" customFormat="1" ht="18.75">
      <c r="A22" s="224">
        <v>516122</v>
      </c>
      <c r="B22" s="223" t="s">
        <v>481</v>
      </c>
      <c r="C22" s="222">
        <v>120</v>
      </c>
      <c r="D22" s="222">
        <v>120</v>
      </c>
      <c r="E22" s="473"/>
      <c r="F22" s="473"/>
      <c r="H22" s="429" t="s">
        <v>480</v>
      </c>
    </row>
    <row r="23" spans="1:8" s="220" customFormat="1" ht="18.75">
      <c r="A23" s="224">
        <v>516142</v>
      </c>
      <c r="B23" s="223" t="s">
        <v>479</v>
      </c>
      <c r="C23" s="222">
        <v>134</v>
      </c>
      <c r="D23" s="222"/>
      <c r="E23" s="473"/>
      <c r="F23" s="473"/>
      <c r="H23" s="429"/>
    </row>
    <row r="24" spans="1:6" s="217" customFormat="1" ht="12.75">
      <c r="A24" s="585" t="s">
        <v>478</v>
      </c>
      <c r="B24" s="585"/>
      <c r="C24" s="222">
        <f>SUM(C21:C23)</f>
        <v>1226</v>
      </c>
      <c r="D24" s="222">
        <f>SUM(D21:D23)</f>
        <v>1179</v>
      </c>
      <c r="E24" s="222">
        <f>SUM(E21:E23)</f>
        <v>0</v>
      </c>
      <c r="F24" s="222">
        <f>SUM(F21:F23)</f>
        <v>0</v>
      </c>
    </row>
    <row r="25" spans="1:8" s="220" customFormat="1" ht="22.5">
      <c r="A25" s="224">
        <v>52211</v>
      </c>
      <c r="B25" s="223" t="s">
        <v>477</v>
      </c>
      <c r="C25" s="222">
        <v>300</v>
      </c>
      <c r="D25" s="222">
        <v>320</v>
      </c>
      <c r="E25" s="473"/>
      <c r="F25" s="473">
        <v>400</v>
      </c>
      <c r="H25" s="429"/>
    </row>
    <row r="26" spans="1:6" s="217" customFormat="1" ht="12.75">
      <c r="A26" s="584" t="s">
        <v>476</v>
      </c>
      <c r="B26" s="584"/>
      <c r="C26" s="222">
        <f>SUM(C25:C25)</f>
        <v>300</v>
      </c>
      <c r="D26" s="222">
        <f>SUM(D25:D25)</f>
        <v>320</v>
      </c>
      <c r="E26" s="222">
        <f>SUM(E25:E25)</f>
        <v>0</v>
      </c>
      <c r="F26" s="222">
        <f>SUM(F25:F25)</f>
        <v>400</v>
      </c>
    </row>
    <row r="27" spans="1:7" s="217" customFormat="1" ht="12.75">
      <c r="A27" s="586" t="s">
        <v>475</v>
      </c>
      <c r="B27" s="586"/>
      <c r="C27" s="222">
        <f>C26+C24+C20+C9</f>
        <v>2942</v>
      </c>
      <c r="D27" s="222">
        <f>D26+D24+D9+D20</f>
        <v>3058</v>
      </c>
      <c r="E27" s="222">
        <f>E26+E24+E9+E20</f>
        <v>0</v>
      </c>
      <c r="F27" s="222">
        <f>F26+F24+F9+F20</f>
        <v>3296</v>
      </c>
      <c r="G27" s="551">
        <f>F27-F17</f>
        <v>3033</v>
      </c>
    </row>
    <row r="28" spans="1:8" s="220" customFormat="1" ht="18.75">
      <c r="A28" s="224">
        <v>53111</v>
      </c>
      <c r="B28" s="223" t="s">
        <v>601</v>
      </c>
      <c r="C28" s="222">
        <f>H28*27%</f>
        <v>693.36</v>
      </c>
      <c r="D28" s="222">
        <f>(D27-D22-D17)*27%</f>
        <v>760.86</v>
      </c>
      <c r="E28" s="473"/>
      <c r="F28" s="474">
        <f>G27*27%</f>
        <v>818.9100000000001</v>
      </c>
      <c r="H28" s="474">
        <f>C9+C21+C25</f>
        <v>2568</v>
      </c>
    </row>
    <row r="29" spans="1:8" s="220" customFormat="1" ht="18.75">
      <c r="A29" s="224">
        <v>5331</v>
      </c>
      <c r="B29" s="223" t="s">
        <v>4</v>
      </c>
      <c r="C29" s="222"/>
      <c r="D29" s="222">
        <f>250*16.7%</f>
        <v>41.74999999999999</v>
      </c>
      <c r="E29" s="473"/>
      <c r="F29" s="473">
        <v>44</v>
      </c>
      <c r="H29" s="429"/>
    </row>
    <row r="30" spans="1:8" s="220" customFormat="1" ht="18.75">
      <c r="A30" s="224"/>
      <c r="B30" s="223" t="s">
        <v>665</v>
      </c>
      <c r="C30" s="222"/>
      <c r="D30" s="222"/>
      <c r="E30" s="473"/>
      <c r="F30" s="473">
        <v>51</v>
      </c>
      <c r="H30" s="429"/>
    </row>
    <row r="31" spans="1:6" s="217" customFormat="1" ht="12.75">
      <c r="A31" s="584" t="s">
        <v>474</v>
      </c>
      <c r="B31" s="584"/>
      <c r="C31" s="222">
        <f>SUM(C28:C29)</f>
        <v>693.36</v>
      </c>
      <c r="D31" s="222">
        <f>SUM(D28:D29)</f>
        <v>802.61</v>
      </c>
      <c r="E31" s="222">
        <f>SUM(E28:E29)</f>
        <v>0</v>
      </c>
      <c r="F31" s="222">
        <f>SUM(F28:F30)</f>
        <v>913.9100000000001</v>
      </c>
    </row>
    <row r="32" spans="1:8" s="220" customFormat="1" ht="18.75">
      <c r="A32" s="224">
        <v>54211</v>
      </c>
      <c r="B32" s="223" t="s">
        <v>473</v>
      </c>
      <c r="C32" s="222">
        <v>5</v>
      </c>
      <c r="D32" s="222">
        <v>10</v>
      </c>
      <c r="E32" s="473"/>
      <c r="F32" s="473">
        <v>10</v>
      </c>
      <c r="H32" s="429" t="s">
        <v>472</v>
      </c>
    </row>
    <row r="33" spans="1:8" s="220" customFormat="1" ht="18.75">
      <c r="A33" s="224">
        <v>54212</v>
      </c>
      <c r="B33" s="223" t="s">
        <v>471</v>
      </c>
      <c r="C33" s="222"/>
      <c r="D33" s="222"/>
      <c r="E33" s="473"/>
      <c r="F33" s="473"/>
      <c r="H33" s="429"/>
    </row>
    <row r="34" spans="1:8" s="220" customFormat="1" ht="18.75">
      <c r="A34" s="224">
        <v>5431</v>
      </c>
      <c r="B34" s="223" t="s">
        <v>431</v>
      </c>
      <c r="C34" s="222">
        <v>80</v>
      </c>
      <c r="D34" s="222">
        <v>20</v>
      </c>
      <c r="E34" s="473"/>
      <c r="F34" s="473"/>
      <c r="H34" s="429"/>
    </row>
    <row r="35" spans="1:8" s="220" customFormat="1" ht="18.75">
      <c r="A35" s="224">
        <v>54411</v>
      </c>
      <c r="B35" s="223" t="s">
        <v>470</v>
      </c>
      <c r="C35" s="222"/>
      <c r="D35" s="222"/>
      <c r="E35" s="473"/>
      <c r="F35" s="473"/>
      <c r="H35" s="429"/>
    </row>
    <row r="36" spans="1:8" s="220" customFormat="1" ht="18.75">
      <c r="A36" s="224">
        <v>54412</v>
      </c>
      <c r="B36" s="223" t="s">
        <v>469</v>
      </c>
      <c r="C36" s="222">
        <v>18</v>
      </c>
      <c r="D36" s="222"/>
      <c r="E36" s="473"/>
      <c r="F36" s="473"/>
      <c r="H36" s="429"/>
    </row>
    <row r="37" spans="1:8" s="220" customFormat="1" ht="18.75">
      <c r="A37" s="224">
        <v>54413</v>
      </c>
      <c r="B37" s="223" t="s">
        <v>125</v>
      </c>
      <c r="C37" s="222">
        <v>10</v>
      </c>
      <c r="D37" s="222"/>
      <c r="E37" s="473"/>
      <c r="F37" s="473"/>
      <c r="H37" s="429"/>
    </row>
    <row r="38" spans="1:8" s="220" customFormat="1" ht="18.75">
      <c r="A38" s="224">
        <v>54711</v>
      </c>
      <c r="B38" s="223" t="s">
        <v>468</v>
      </c>
      <c r="C38" s="222"/>
      <c r="D38" s="222"/>
      <c r="E38" s="473"/>
      <c r="F38" s="473">
        <v>10</v>
      </c>
      <c r="H38" s="429" t="s">
        <v>822</v>
      </c>
    </row>
    <row r="39" spans="1:8" s="220" customFormat="1" ht="18.75">
      <c r="A39" s="224">
        <v>54712</v>
      </c>
      <c r="B39" s="223" t="s">
        <v>467</v>
      </c>
      <c r="C39" s="222">
        <v>20</v>
      </c>
      <c r="D39" s="222">
        <v>200</v>
      </c>
      <c r="E39" s="473">
        <v>198</v>
      </c>
      <c r="F39" s="473">
        <v>230</v>
      </c>
      <c r="H39" s="429" t="s">
        <v>825</v>
      </c>
    </row>
    <row r="40" spans="1:8" s="220" customFormat="1" ht="18.75">
      <c r="A40" s="224">
        <v>5481</v>
      </c>
      <c r="B40" s="223" t="s">
        <v>130</v>
      </c>
      <c r="C40" s="222">
        <v>44</v>
      </c>
      <c r="D40" s="222">
        <v>36</v>
      </c>
      <c r="E40" s="473">
        <v>36</v>
      </c>
      <c r="F40" s="473">
        <v>36</v>
      </c>
      <c r="H40" s="429" t="s">
        <v>466</v>
      </c>
    </row>
    <row r="41" spans="1:8" s="220" customFormat="1" ht="18.75">
      <c r="A41" s="224">
        <v>549111</v>
      </c>
      <c r="B41" s="223" t="s">
        <v>465</v>
      </c>
      <c r="C41" s="222">
        <v>200</v>
      </c>
      <c r="D41" s="222">
        <v>300</v>
      </c>
      <c r="E41" s="587">
        <v>517</v>
      </c>
      <c r="F41" s="473">
        <v>300</v>
      </c>
      <c r="H41" s="429"/>
    </row>
    <row r="42" spans="1:8" s="554" customFormat="1" ht="18.75">
      <c r="A42" s="552">
        <v>549112</v>
      </c>
      <c r="B42" s="553" t="s">
        <v>98</v>
      </c>
      <c r="C42" s="222">
        <v>50</v>
      </c>
      <c r="D42" s="222">
        <v>150</v>
      </c>
      <c r="E42" s="588"/>
      <c r="F42" s="522">
        <v>100</v>
      </c>
      <c r="H42" s="429" t="s">
        <v>821</v>
      </c>
    </row>
    <row r="43" spans="1:8" s="220" customFormat="1" ht="18.75">
      <c r="A43" s="224"/>
      <c r="B43" s="406" t="s">
        <v>602</v>
      </c>
      <c r="C43" s="222">
        <f>SUM(C32:C42)</f>
        <v>427</v>
      </c>
      <c r="D43" s="222">
        <f>SUM(D32:D42)</f>
        <v>716</v>
      </c>
      <c r="E43" s="222">
        <f>SUM(E32:E42)</f>
        <v>751</v>
      </c>
      <c r="F43" s="222">
        <f>SUM(F32:F42)</f>
        <v>686</v>
      </c>
      <c r="H43" s="429"/>
    </row>
    <row r="44" spans="1:8" s="220" customFormat="1" ht="18.75">
      <c r="A44" s="224">
        <v>55111</v>
      </c>
      <c r="B44" s="223" t="s">
        <v>464</v>
      </c>
      <c r="C44" s="222">
        <v>200</v>
      </c>
      <c r="D44" s="222">
        <v>170</v>
      </c>
      <c r="E44" s="473">
        <v>145</v>
      </c>
      <c r="F44" s="473">
        <v>150</v>
      </c>
      <c r="H44" s="429"/>
    </row>
    <row r="45" spans="1:8" s="220" customFormat="1" ht="18.75">
      <c r="A45" s="224">
        <v>55112</v>
      </c>
      <c r="B45" s="223" t="s">
        <v>463</v>
      </c>
      <c r="C45" s="222">
        <v>150</v>
      </c>
      <c r="D45" s="222">
        <v>40</v>
      </c>
      <c r="E45" s="473">
        <v>76</v>
      </c>
      <c r="F45" s="473">
        <v>80</v>
      </c>
      <c r="H45" s="429"/>
    </row>
    <row r="46" spans="1:8" s="220" customFormat="1" ht="18.75">
      <c r="A46" s="224">
        <v>55119</v>
      </c>
      <c r="B46" s="223" t="s">
        <v>462</v>
      </c>
      <c r="C46" s="222"/>
      <c r="D46" s="222">
        <v>20</v>
      </c>
      <c r="E46" s="473"/>
      <c r="F46" s="473"/>
      <c r="H46" s="429"/>
    </row>
    <row r="47" spans="1:8" s="554" customFormat="1" ht="18.75">
      <c r="A47" s="552">
        <v>552129</v>
      </c>
      <c r="B47" s="553" t="s">
        <v>817</v>
      </c>
      <c r="C47" s="222"/>
      <c r="D47" s="222">
        <v>725</v>
      </c>
      <c r="E47" s="522">
        <v>562</v>
      </c>
      <c r="F47" s="522">
        <v>30</v>
      </c>
      <c r="H47" s="429" t="s">
        <v>829</v>
      </c>
    </row>
    <row r="48" spans="1:8" s="220" customFormat="1" ht="18.75">
      <c r="A48" s="224">
        <v>55213</v>
      </c>
      <c r="B48" s="223" t="s">
        <v>461</v>
      </c>
      <c r="C48" s="222">
        <v>4200</v>
      </c>
      <c r="D48" s="222">
        <v>5625</v>
      </c>
      <c r="E48" s="473">
        <v>4864</v>
      </c>
      <c r="F48" s="473">
        <v>5640</v>
      </c>
      <c r="H48" s="429" t="s">
        <v>826</v>
      </c>
    </row>
    <row r="49" spans="1:8" s="220" customFormat="1" ht="18.75">
      <c r="A49" s="224">
        <v>55214</v>
      </c>
      <c r="B49" s="223" t="s">
        <v>460</v>
      </c>
      <c r="C49" s="408">
        <v>3000</v>
      </c>
      <c r="D49" s="408">
        <v>4100</v>
      </c>
      <c r="E49" s="473">
        <f>4380-1019</f>
        <v>3361</v>
      </c>
      <c r="F49" s="473">
        <v>3500</v>
      </c>
      <c r="H49" s="430"/>
    </row>
    <row r="50" spans="1:8" s="220" customFormat="1" ht="18.75">
      <c r="A50" s="224">
        <v>55215</v>
      </c>
      <c r="B50" s="223" t="s">
        <v>459</v>
      </c>
      <c r="C50" s="408">
        <v>500</v>
      </c>
      <c r="D50" s="408">
        <v>750</v>
      </c>
      <c r="E50" s="473">
        <f>1412-518</f>
        <v>894</v>
      </c>
      <c r="F50" s="473">
        <v>910</v>
      </c>
      <c r="H50" s="430"/>
    </row>
    <row r="51" spans="1:8" s="220" customFormat="1" ht="18.75">
      <c r="A51" s="224">
        <v>55217</v>
      </c>
      <c r="B51" s="223" t="s">
        <v>458</v>
      </c>
      <c r="C51" s="408">
        <v>380</v>
      </c>
      <c r="D51" s="408">
        <v>470</v>
      </c>
      <c r="E51" s="473">
        <f>1076-640</f>
        <v>436</v>
      </c>
      <c r="F51" s="473">
        <v>450</v>
      </c>
      <c r="H51" s="430"/>
    </row>
    <row r="52" spans="1:8" s="220" customFormat="1" ht="49.5" customHeight="1">
      <c r="A52" s="224">
        <v>552181</v>
      </c>
      <c r="B52" s="223" t="s">
        <v>457</v>
      </c>
      <c r="C52" s="222">
        <v>100</v>
      </c>
      <c r="D52" s="222">
        <v>300</v>
      </c>
      <c r="E52" s="473">
        <v>40</v>
      </c>
      <c r="F52" s="522">
        <v>195</v>
      </c>
      <c r="H52" s="521" t="s">
        <v>827</v>
      </c>
    </row>
    <row r="53" spans="1:8" s="220" customFormat="1" ht="18.75">
      <c r="A53" s="224">
        <v>552182</v>
      </c>
      <c r="B53" s="223" t="s">
        <v>456</v>
      </c>
      <c r="C53" s="222">
        <v>50</v>
      </c>
      <c r="D53" s="222">
        <v>60</v>
      </c>
      <c r="E53" s="473">
        <v>90</v>
      </c>
      <c r="F53" s="473">
        <v>90</v>
      </c>
      <c r="H53" s="429" t="s">
        <v>230</v>
      </c>
    </row>
    <row r="54" spans="1:8" s="220" customFormat="1" ht="18.75">
      <c r="A54" s="224">
        <v>5521901</v>
      </c>
      <c r="B54" s="223" t="s">
        <v>455</v>
      </c>
      <c r="C54" s="222">
        <v>50</v>
      </c>
      <c r="D54" s="222">
        <v>5</v>
      </c>
      <c r="E54" s="473"/>
      <c r="F54" s="473"/>
      <c r="H54" s="429"/>
    </row>
    <row r="55" spans="1:8" s="220" customFormat="1" ht="18.75">
      <c r="A55" s="224">
        <v>5521904</v>
      </c>
      <c r="B55" s="223" t="s">
        <v>454</v>
      </c>
      <c r="C55" s="222">
        <v>200</v>
      </c>
      <c r="D55" s="222">
        <v>100</v>
      </c>
      <c r="E55" s="473">
        <v>80</v>
      </c>
      <c r="F55" s="473">
        <v>100</v>
      </c>
      <c r="H55" s="429"/>
    </row>
    <row r="56" spans="1:8" s="220" customFormat="1" ht="18.75">
      <c r="A56" s="224">
        <v>5521908</v>
      </c>
      <c r="B56" s="223" t="s">
        <v>453</v>
      </c>
      <c r="C56" s="222">
        <v>150</v>
      </c>
      <c r="D56" s="222">
        <v>130</v>
      </c>
      <c r="E56" s="473">
        <v>38</v>
      </c>
      <c r="F56" s="473">
        <v>20</v>
      </c>
      <c r="H56" s="429" t="s">
        <v>609</v>
      </c>
    </row>
    <row r="57" spans="1:8" s="220" customFormat="1" ht="18.75">
      <c r="A57" s="224"/>
      <c r="B57" s="406" t="s">
        <v>604</v>
      </c>
      <c r="C57" s="222">
        <f>SUM(C44:C56)</f>
        <v>8980</v>
      </c>
      <c r="D57" s="222">
        <f>SUM(D44:D56)</f>
        <v>12495</v>
      </c>
      <c r="E57" s="222">
        <f>SUM(E44:E56)</f>
        <v>10586</v>
      </c>
      <c r="F57" s="222">
        <f>SUM(F44:F56)</f>
        <v>11165</v>
      </c>
      <c r="H57" s="429"/>
    </row>
    <row r="58" spans="1:11" s="220" customFormat="1" ht="18.75">
      <c r="A58" s="224">
        <v>56111</v>
      </c>
      <c r="B58" s="223" t="s">
        <v>451</v>
      </c>
      <c r="C58" s="222">
        <v>2661</v>
      </c>
      <c r="D58" s="222">
        <f>(D43+D57+D60)*27%</f>
        <v>3569.67</v>
      </c>
      <c r="E58" s="473">
        <v>3047</v>
      </c>
      <c r="F58" s="518">
        <f>G58*27%</f>
        <v>3202.4700000000003</v>
      </c>
      <c r="G58" s="518">
        <f>F57+F43+F60</f>
        <v>11861</v>
      </c>
      <c r="H58" s="429"/>
      <c r="K58" s="474">
        <f>SUM(C32:C57)+C60</f>
        <v>18824</v>
      </c>
    </row>
    <row r="59" spans="1:8" s="220" customFormat="1" ht="18.75">
      <c r="A59" s="224">
        <v>56112</v>
      </c>
      <c r="B59" s="223" t="s">
        <v>328</v>
      </c>
      <c r="C59" s="222"/>
      <c r="D59" s="222"/>
      <c r="E59" s="473"/>
      <c r="F59" s="473"/>
      <c r="H59" s="429"/>
    </row>
    <row r="60" spans="1:15" s="220" customFormat="1" ht="18.75">
      <c r="A60" s="224">
        <v>56213</v>
      </c>
      <c r="B60" s="223" t="s">
        <v>19</v>
      </c>
      <c r="C60" s="222">
        <v>10</v>
      </c>
      <c r="D60" s="222">
        <v>10</v>
      </c>
      <c r="E60" s="473">
        <v>8</v>
      </c>
      <c r="F60" s="473">
        <v>10</v>
      </c>
      <c r="G60" s="221"/>
      <c r="H60" s="256"/>
      <c r="I60" s="221"/>
      <c r="J60" s="221"/>
      <c r="K60" s="221"/>
      <c r="L60" s="221"/>
      <c r="M60" s="221"/>
      <c r="N60" s="221"/>
      <c r="O60" s="221"/>
    </row>
    <row r="61" spans="1:15" s="220" customFormat="1" ht="18.75">
      <c r="A61" s="224">
        <v>56214</v>
      </c>
      <c r="B61" s="223" t="s">
        <v>450</v>
      </c>
      <c r="C61" s="222"/>
      <c r="D61" s="222"/>
      <c r="E61" s="473"/>
      <c r="F61" s="473"/>
      <c r="G61" s="221"/>
      <c r="H61" s="256"/>
      <c r="I61" s="221"/>
      <c r="J61" s="221"/>
      <c r="K61" s="221"/>
      <c r="L61" s="221"/>
      <c r="M61" s="221"/>
      <c r="N61" s="221"/>
      <c r="O61" s="221"/>
    </row>
    <row r="62" spans="1:8" s="554" customFormat="1" ht="18.75">
      <c r="A62" s="552">
        <v>563191</v>
      </c>
      <c r="B62" s="553" t="s">
        <v>449</v>
      </c>
      <c r="C62" s="222">
        <v>130</v>
      </c>
      <c r="D62" s="222">
        <v>130</v>
      </c>
      <c r="E62" s="522"/>
      <c r="F62" s="522"/>
      <c r="H62" s="429" t="s">
        <v>828</v>
      </c>
    </row>
    <row r="63" spans="1:15" s="217" customFormat="1" ht="12.75">
      <c r="A63" s="584" t="s">
        <v>603</v>
      </c>
      <c r="B63" s="584"/>
      <c r="C63" s="222">
        <f>SUM(C58:C62)</f>
        <v>2801</v>
      </c>
      <c r="D63" s="222">
        <f>SUM(D58:D62)</f>
        <v>3709.67</v>
      </c>
      <c r="E63" s="222">
        <f>SUM(E58:E62)</f>
        <v>3055</v>
      </c>
      <c r="F63" s="222">
        <f>SUM(F58:F62)</f>
        <v>3212.4700000000003</v>
      </c>
      <c r="G63" s="218"/>
      <c r="H63" s="218"/>
      <c r="I63" s="218"/>
      <c r="J63" s="218"/>
      <c r="K63" s="218"/>
      <c r="L63" s="218"/>
      <c r="M63" s="218"/>
      <c r="N63" s="218"/>
      <c r="O63" s="218"/>
    </row>
    <row r="64" spans="1:15" s="220" customFormat="1" ht="18.75">
      <c r="A64" s="224">
        <v>57119</v>
      </c>
      <c r="B64" s="223" t="s">
        <v>448</v>
      </c>
      <c r="C64" s="222">
        <v>40</v>
      </c>
      <c r="D64" s="222">
        <v>34</v>
      </c>
      <c r="E64" s="473"/>
      <c r="F64" s="473"/>
      <c r="G64" s="221"/>
      <c r="H64" s="431" t="s">
        <v>447</v>
      </c>
      <c r="I64" s="221"/>
      <c r="J64" s="221"/>
      <c r="K64" s="221"/>
      <c r="L64" s="221"/>
      <c r="M64" s="221"/>
      <c r="N64" s="221"/>
      <c r="O64" s="221"/>
    </row>
    <row r="65" spans="1:15" s="220" customFormat="1" ht="18.75">
      <c r="A65" s="224">
        <v>57211</v>
      </c>
      <c r="B65" s="223" t="s">
        <v>446</v>
      </c>
      <c r="C65" s="222">
        <v>48</v>
      </c>
      <c r="D65" s="222">
        <f>240*19.04%</f>
        <v>45.696</v>
      </c>
      <c r="E65" s="473"/>
      <c r="F65" s="473"/>
      <c r="G65" s="221"/>
      <c r="H65" s="431"/>
      <c r="I65" s="221"/>
      <c r="J65" s="221"/>
      <c r="K65" s="221"/>
      <c r="L65" s="221"/>
      <c r="M65" s="221"/>
      <c r="N65" s="221"/>
      <c r="O65" s="221"/>
    </row>
    <row r="66" spans="1:15" s="220" customFormat="1" ht="18.75">
      <c r="A66" s="224">
        <v>57213</v>
      </c>
      <c r="B66" s="223" t="s">
        <v>445</v>
      </c>
      <c r="C66" s="222"/>
      <c r="D66" s="222"/>
      <c r="E66" s="473"/>
      <c r="F66" s="473"/>
      <c r="G66" s="221"/>
      <c r="H66" s="256"/>
      <c r="I66" s="221"/>
      <c r="J66" s="221"/>
      <c r="K66" s="221"/>
      <c r="L66" s="221"/>
      <c r="M66" s="221"/>
      <c r="N66" s="221"/>
      <c r="O66" s="221"/>
    </row>
    <row r="67" spans="1:15" s="220" customFormat="1" ht="18.75">
      <c r="A67" s="224">
        <v>57214</v>
      </c>
      <c r="B67" s="223" t="s">
        <v>444</v>
      </c>
      <c r="C67" s="222"/>
      <c r="D67" s="222"/>
      <c r="E67" s="473"/>
      <c r="F67" s="473"/>
      <c r="G67" s="221"/>
      <c r="H67" s="256"/>
      <c r="I67" s="221"/>
      <c r="J67" s="221"/>
      <c r="K67" s="221"/>
      <c r="L67" s="221"/>
      <c r="M67" s="221"/>
      <c r="N67" s="221"/>
      <c r="O67" s="221"/>
    </row>
    <row r="68" spans="1:15" s="220" customFormat="1" ht="18.75">
      <c r="A68" s="224">
        <v>57219</v>
      </c>
      <c r="B68" s="223" t="s">
        <v>443</v>
      </c>
      <c r="C68" s="222"/>
      <c r="D68" s="222"/>
      <c r="E68" s="473"/>
      <c r="F68" s="473"/>
      <c r="G68" s="221"/>
      <c r="H68" s="256"/>
      <c r="I68" s="221"/>
      <c r="J68" s="221"/>
      <c r="K68" s="221"/>
      <c r="L68" s="221"/>
      <c r="M68" s="221"/>
      <c r="N68" s="221"/>
      <c r="O68" s="221"/>
    </row>
    <row r="69" spans="1:15" s="220" customFormat="1" ht="18.75">
      <c r="A69" s="224">
        <v>573111</v>
      </c>
      <c r="B69" s="223" t="s">
        <v>442</v>
      </c>
      <c r="C69" s="222"/>
      <c r="D69" s="222"/>
      <c r="E69" s="473"/>
      <c r="F69" s="473"/>
      <c r="G69" s="221"/>
      <c r="H69" s="256"/>
      <c r="I69" s="221"/>
      <c r="J69" s="221"/>
      <c r="K69" s="221"/>
      <c r="L69" s="221"/>
      <c r="M69" s="221"/>
      <c r="N69" s="221"/>
      <c r="O69" s="221"/>
    </row>
    <row r="70" spans="1:15" s="217" customFormat="1" ht="12.75">
      <c r="A70" s="584" t="s">
        <v>441</v>
      </c>
      <c r="B70" s="584"/>
      <c r="C70" s="225">
        <f>SUM(C64:C69)</f>
        <v>88</v>
      </c>
      <c r="D70" s="222">
        <f>SUM(D64:D69)</f>
        <v>79.696</v>
      </c>
      <c r="E70" s="222">
        <f>SUM(E64:E69)</f>
        <v>0</v>
      </c>
      <c r="F70" s="222">
        <f>SUM(F64:F69)</f>
        <v>0</v>
      </c>
      <c r="G70" s="218"/>
      <c r="H70" s="218"/>
      <c r="I70" s="218"/>
      <c r="J70" s="218"/>
      <c r="K70" s="218"/>
      <c r="L70" s="218"/>
      <c r="M70" s="218"/>
      <c r="N70" s="218"/>
      <c r="O70" s="218"/>
    </row>
    <row r="71" spans="1:15" s="217" customFormat="1" ht="12.75">
      <c r="A71" s="584" t="s">
        <v>71</v>
      </c>
      <c r="B71" s="584"/>
      <c r="C71" s="407">
        <f>C63+C70+C43+C57</f>
        <v>12296</v>
      </c>
      <c r="D71" s="407">
        <f>D63+D70+D43+D57</f>
        <v>17000.366</v>
      </c>
      <c r="E71" s="407">
        <f>E63+E70+E43+E57</f>
        <v>14392</v>
      </c>
      <c r="F71" s="407">
        <f>F63+F70+F43+F57</f>
        <v>15063.470000000001</v>
      </c>
      <c r="G71" s="218"/>
      <c r="H71" s="218"/>
      <c r="I71" s="218"/>
      <c r="J71" s="218"/>
      <c r="K71" s="218"/>
      <c r="L71" s="218"/>
      <c r="M71" s="218"/>
      <c r="N71" s="218"/>
      <c r="O71" s="218"/>
    </row>
    <row r="72" spans="1:15" s="217" customFormat="1" ht="12.75">
      <c r="A72" s="584" t="s">
        <v>440</v>
      </c>
      <c r="B72" s="584"/>
      <c r="C72" s="222">
        <f>SUM(C27+C71+C31)</f>
        <v>15931.36</v>
      </c>
      <c r="D72" s="222">
        <f>SUM(D27+D71+D31)</f>
        <v>20860.976000000002</v>
      </c>
      <c r="E72" s="222">
        <f>SUM(E27+E71+E31)</f>
        <v>14392</v>
      </c>
      <c r="F72" s="222">
        <f>SUM(F27+F71+F31)</f>
        <v>19273.38</v>
      </c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ht="18.75">
      <c r="A73" s="211"/>
      <c r="B73" s="211"/>
      <c r="C73" s="41"/>
      <c r="D73" s="41"/>
      <c r="E73" s="176"/>
      <c r="F73" s="41"/>
      <c r="G73" s="215"/>
      <c r="H73" s="293"/>
      <c r="I73" s="215"/>
      <c r="J73" s="215"/>
      <c r="K73" s="215"/>
      <c r="L73" s="215"/>
      <c r="M73" s="215"/>
      <c r="N73" s="215"/>
      <c r="O73" s="215"/>
    </row>
    <row r="74" spans="1:15" ht="18.75">
      <c r="A74" s="211"/>
      <c r="B74" s="211" t="s">
        <v>439</v>
      </c>
      <c r="C74" s="41">
        <v>4000</v>
      </c>
      <c r="D74" s="41"/>
      <c r="E74" s="176"/>
      <c r="F74" s="41"/>
      <c r="G74" s="215"/>
      <c r="H74" s="293"/>
      <c r="I74" s="215"/>
      <c r="J74" s="215"/>
      <c r="K74" s="215"/>
      <c r="L74" s="215"/>
      <c r="M74" s="215"/>
      <c r="N74" s="215"/>
      <c r="O74" s="215"/>
    </row>
    <row r="75" spans="1:15" ht="18.75">
      <c r="A75" s="211"/>
      <c r="B75" s="211"/>
      <c r="C75" s="41"/>
      <c r="D75" s="41"/>
      <c r="E75" s="176"/>
      <c r="F75" s="41"/>
      <c r="G75" s="215"/>
      <c r="H75" s="293"/>
      <c r="I75" s="215"/>
      <c r="J75" s="215"/>
      <c r="K75" s="215"/>
      <c r="L75" s="215"/>
      <c r="M75" s="215"/>
      <c r="N75" s="215"/>
      <c r="O75" s="215"/>
    </row>
    <row r="76" spans="1:15" s="212" customFormat="1" ht="12.75">
      <c r="A76" s="213"/>
      <c r="B76" s="213" t="s">
        <v>438</v>
      </c>
      <c r="C76" s="198">
        <f>C72+C74</f>
        <v>19931.36</v>
      </c>
      <c r="D76" s="198">
        <f>D72+D74</f>
        <v>20860.976000000002</v>
      </c>
      <c r="E76" s="198">
        <f>E72+E74</f>
        <v>14392</v>
      </c>
      <c r="F76" s="198">
        <f>F72+F74</f>
        <v>19273.38</v>
      </c>
      <c r="G76" s="216"/>
      <c r="H76" s="216"/>
      <c r="I76" s="216"/>
      <c r="J76" s="216"/>
      <c r="K76" s="216"/>
      <c r="L76" s="216"/>
      <c r="M76" s="216"/>
      <c r="N76" s="216"/>
      <c r="O76" s="216"/>
    </row>
    <row r="77" spans="3:15" ht="18.75">
      <c r="C77" s="402"/>
      <c r="D77" s="215"/>
      <c r="F77" s="215"/>
      <c r="G77" s="215"/>
      <c r="H77" s="293"/>
      <c r="I77" s="215"/>
      <c r="J77" s="215"/>
      <c r="K77" s="215"/>
      <c r="L77" s="215"/>
      <c r="M77" s="215"/>
      <c r="N77" s="215"/>
      <c r="O77" s="215"/>
    </row>
    <row r="78" spans="2:8" ht="18.75">
      <c r="B78" s="211"/>
      <c r="C78" s="197"/>
      <c r="D78" s="216"/>
      <c r="H78" s="246"/>
    </row>
    <row r="79" spans="2:5" ht="18.75">
      <c r="B79" s="211"/>
      <c r="C79" s="197"/>
      <c r="D79" s="216"/>
      <c r="E79" s="246">
        <v>0</v>
      </c>
    </row>
    <row r="80" spans="2:5" ht="18.75">
      <c r="B80" s="211"/>
      <c r="C80" s="197"/>
      <c r="D80" s="216"/>
      <c r="E80" s="246">
        <v>0</v>
      </c>
    </row>
    <row r="81" spans="2:4" ht="18.75">
      <c r="B81" s="211"/>
      <c r="C81" s="210"/>
      <c r="D81" s="216"/>
    </row>
    <row r="82" spans="2:4" ht="18.75">
      <c r="B82" s="211"/>
      <c r="C82" s="197"/>
      <c r="D82" s="216"/>
    </row>
    <row r="83" spans="2:4" ht="18.75">
      <c r="B83" s="211"/>
      <c r="C83" s="197"/>
      <c r="D83" s="216"/>
    </row>
    <row r="84" spans="2:4" ht="18.75">
      <c r="B84" s="211"/>
      <c r="C84" s="197"/>
      <c r="D84" s="216"/>
    </row>
    <row r="85" spans="1:4" s="212" customFormat="1" ht="12.75">
      <c r="A85" s="214"/>
      <c r="B85" s="213"/>
      <c r="C85" s="210"/>
      <c r="D85" s="216"/>
    </row>
    <row r="86" spans="2:4" ht="18.75">
      <c r="B86" s="211"/>
      <c r="C86" s="197"/>
      <c r="D86" s="216"/>
    </row>
    <row r="87" spans="1:4" s="212" customFormat="1" ht="12.75">
      <c r="A87" s="214"/>
      <c r="B87" s="213"/>
      <c r="C87" s="198"/>
      <c r="D87" s="401"/>
    </row>
    <row r="88" spans="2:4" ht="18.75">
      <c r="B88" s="211"/>
      <c r="C88" s="197"/>
      <c r="D88" s="216"/>
    </row>
  </sheetData>
  <sheetProtection/>
  <mergeCells count="13">
    <mergeCell ref="E41:E42"/>
    <mergeCell ref="A2:A5"/>
    <mergeCell ref="B2:B5"/>
    <mergeCell ref="A63:B63"/>
    <mergeCell ref="A70:B70"/>
    <mergeCell ref="A71:B71"/>
    <mergeCell ref="A72:B72"/>
    <mergeCell ref="A9:B9"/>
    <mergeCell ref="A20:B20"/>
    <mergeCell ref="A24:B24"/>
    <mergeCell ref="A26:B26"/>
    <mergeCell ref="A27:B27"/>
    <mergeCell ref="A31:B31"/>
  </mergeCells>
  <printOptions/>
  <pageMargins left="0.7" right="0.7" top="0.75" bottom="0.75" header="0.3" footer="0.3"/>
  <pageSetup horizontalDpi="300" verticalDpi="300" orientation="portrait" paperSize="9" scale="62" r:id="rId1"/>
  <rowBreaks count="1" manualBreakCount="1">
    <brk id="63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view="pageBreakPreview" zoomScale="60" zoomScalePageLayoutView="0" workbookViewId="0" topLeftCell="A31">
      <selection activeCell="H25" sqref="H25"/>
    </sheetView>
  </sheetViews>
  <sheetFormatPr defaultColWidth="8.66015625" defaultRowHeight="18"/>
  <cols>
    <col min="1" max="1" width="9.08203125" style="21" bestFit="1" customWidth="1"/>
    <col min="2" max="2" width="40.33203125" style="21" customWidth="1"/>
    <col min="3" max="3" width="10.25" style="21" customWidth="1"/>
    <col min="4" max="4" width="9.33203125" style="21" customWidth="1"/>
    <col min="5" max="5" width="11.25" style="3" customWidth="1"/>
    <col min="6" max="6" width="10.33203125" style="21" customWidth="1"/>
    <col min="7" max="16384" width="8.91015625" style="21" customWidth="1"/>
  </cols>
  <sheetData>
    <row r="3" spans="1:2" ht="19.5" thickBot="1">
      <c r="A3" s="21" t="s">
        <v>196</v>
      </c>
      <c r="B3" s="349" t="s">
        <v>199</v>
      </c>
    </row>
    <row r="4" spans="1:2" ht="20.25" thickBot="1" thickTop="1">
      <c r="A4" s="31"/>
      <c r="B4" s="123"/>
    </row>
    <row r="5" spans="1:7" ht="19.5" thickTop="1">
      <c r="A5" s="123"/>
      <c r="B5" s="123"/>
      <c r="C5" s="84" t="s">
        <v>266</v>
      </c>
      <c r="D5" s="84" t="s">
        <v>285</v>
      </c>
      <c r="E5" s="138" t="s">
        <v>651</v>
      </c>
      <c r="F5" s="335" t="s">
        <v>663</v>
      </c>
      <c r="G5" s="462" t="s">
        <v>653</v>
      </c>
    </row>
    <row r="6" spans="1:7" ht="18.75">
      <c r="A6" s="125"/>
      <c r="B6" s="125"/>
      <c r="C6" s="34"/>
      <c r="D6" s="84"/>
      <c r="E6" s="50"/>
      <c r="F6" s="34"/>
      <c r="G6" s="34"/>
    </row>
    <row r="7" spans="1:7" ht="18.75">
      <c r="A7" s="125"/>
      <c r="B7" s="125" t="s">
        <v>160</v>
      </c>
      <c r="C7" s="34"/>
      <c r="D7" s="84"/>
      <c r="E7" s="50"/>
      <c r="F7" s="34"/>
      <c r="G7" s="34"/>
    </row>
    <row r="8" spans="1:7" ht="18.75">
      <c r="A8" s="125"/>
      <c r="B8" s="125" t="s">
        <v>252</v>
      </c>
      <c r="C8" s="122"/>
      <c r="D8" s="122"/>
      <c r="E8" s="50"/>
      <c r="F8" s="34">
        <v>58</v>
      </c>
      <c r="G8" s="34"/>
    </row>
    <row r="9" spans="1:7" ht="18.75">
      <c r="A9" s="125"/>
      <c r="B9" s="125" t="s">
        <v>256</v>
      </c>
      <c r="C9" s="122"/>
      <c r="D9" s="84"/>
      <c r="E9" s="50"/>
      <c r="F9" s="34">
        <v>15</v>
      </c>
      <c r="G9" s="34"/>
    </row>
    <row r="10" spans="1:7" ht="18.75">
      <c r="A10" s="125"/>
      <c r="B10" s="125" t="s">
        <v>235</v>
      </c>
      <c r="C10" s="122"/>
      <c r="D10" s="122"/>
      <c r="E10" s="50"/>
      <c r="F10" s="34"/>
      <c r="G10" s="34"/>
    </row>
    <row r="11" spans="1:7" ht="18.75">
      <c r="A11" s="125"/>
      <c r="B11" s="125" t="s">
        <v>236</v>
      </c>
      <c r="C11" s="122"/>
      <c r="D11" s="122"/>
      <c r="E11" s="50"/>
      <c r="F11" s="34">
        <v>20</v>
      </c>
      <c r="G11" s="34"/>
    </row>
    <row r="12" spans="1:7" ht="18.75">
      <c r="A12" s="125"/>
      <c r="B12" s="125" t="s">
        <v>237</v>
      </c>
      <c r="C12" s="122">
        <f>SUM(C8:C11)</f>
        <v>0</v>
      </c>
      <c r="D12" s="122">
        <f>SUM(D9:D11)</f>
        <v>0</v>
      </c>
      <c r="E12" s="50"/>
      <c r="F12" s="34"/>
      <c r="G12" s="34"/>
    </row>
    <row r="13" spans="1:7" ht="18.75">
      <c r="A13" s="125"/>
      <c r="B13" s="125"/>
      <c r="C13" s="34"/>
      <c r="D13" s="34"/>
      <c r="E13" s="50"/>
      <c r="F13" s="34"/>
      <c r="G13" s="34"/>
    </row>
    <row r="14" spans="1:7" ht="18.75">
      <c r="A14" s="125"/>
      <c r="B14" s="125"/>
      <c r="C14" s="34"/>
      <c r="D14" s="34"/>
      <c r="E14" s="50"/>
      <c r="F14" s="34"/>
      <c r="G14" s="34"/>
    </row>
    <row r="15" spans="1:7" ht="18.75">
      <c r="A15" s="34">
        <v>511112</v>
      </c>
      <c r="B15" s="34" t="s">
        <v>118</v>
      </c>
      <c r="C15" s="34">
        <v>1471</v>
      </c>
      <c r="D15" s="34">
        <v>1471</v>
      </c>
      <c r="E15" s="50">
        <f>'[3]GEVSZ'!$P$11/1000-360</f>
        <v>1610.9</v>
      </c>
      <c r="F15" s="34"/>
      <c r="G15" s="34">
        <v>1504</v>
      </c>
    </row>
    <row r="16" spans="1:8" ht="18.75">
      <c r="A16" s="34"/>
      <c r="B16" s="34" t="s">
        <v>257</v>
      </c>
      <c r="C16" s="34">
        <v>360</v>
      </c>
      <c r="D16" s="34">
        <v>360</v>
      </c>
      <c r="E16" s="50">
        <v>360</v>
      </c>
      <c r="F16" s="34"/>
      <c r="G16" s="34">
        <v>360</v>
      </c>
      <c r="H16" s="21" t="s">
        <v>300</v>
      </c>
    </row>
    <row r="17" spans="1:7" ht="18.75">
      <c r="A17" s="34">
        <v>52211</v>
      </c>
      <c r="B17" s="34" t="s">
        <v>68</v>
      </c>
      <c r="C17" s="34">
        <v>184</v>
      </c>
      <c r="D17" s="34">
        <v>184</v>
      </c>
      <c r="E17" s="50">
        <v>200</v>
      </c>
      <c r="F17" s="34"/>
      <c r="G17" s="34">
        <v>200</v>
      </c>
    </row>
    <row r="18" spans="1:7" ht="18.75">
      <c r="A18" s="34"/>
      <c r="B18" s="41" t="s">
        <v>800</v>
      </c>
      <c r="C18" s="34"/>
      <c r="D18" s="34"/>
      <c r="E18" s="50"/>
      <c r="F18" s="34"/>
      <c r="G18" s="34">
        <v>240</v>
      </c>
    </row>
    <row r="19" spans="1:7" ht="18.75">
      <c r="A19" s="34"/>
      <c r="B19" s="41" t="s">
        <v>224</v>
      </c>
      <c r="C19" s="34"/>
      <c r="D19" s="34"/>
      <c r="E19" s="50">
        <v>45</v>
      </c>
      <c r="F19" s="34"/>
      <c r="G19" s="34">
        <v>29</v>
      </c>
    </row>
    <row r="20" spans="1:7" ht="18.75">
      <c r="A20" s="34">
        <v>513192</v>
      </c>
      <c r="B20" s="41" t="s">
        <v>839</v>
      </c>
      <c r="C20" s="34">
        <v>10</v>
      </c>
      <c r="D20" s="34">
        <v>5</v>
      </c>
      <c r="E20" s="50"/>
      <c r="F20" s="34"/>
      <c r="G20" s="34">
        <v>176</v>
      </c>
    </row>
    <row r="21" spans="1:7" ht="18.75">
      <c r="A21" s="125">
        <v>51414</v>
      </c>
      <c r="B21" s="125" t="s">
        <v>185</v>
      </c>
      <c r="C21" s="34">
        <v>120</v>
      </c>
      <c r="D21" s="34">
        <v>120</v>
      </c>
      <c r="E21" s="50">
        <v>60</v>
      </c>
      <c r="F21" s="34"/>
      <c r="G21" s="34">
        <v>150</v>
      </c>
    </row>
    <row r="22" spans="1:7" ht="18.75">
      <c r="A22" s="125">
        <v>51</v>
      </c>
      <c r="B22" s="125" t="s">
        <v>69</v>
      </c>
      <c r="C22" s="44">
        <f>SUM(C15:C21)</f>
        <v>2145</v>
      </c>
      <c r="D22" s="44">
        <f>SUM(D15:D21)</f>
        <v>2140</v>
      </c>
      <c r="E22" s="50">
        <f>SUM(E15:E21)</f>
        <v>2275.9</v>
      </c>
      <c r="F22" s="50">
        <f>SUM(F15:F21)</f>
        <v>0</v>
      </c>
      <c r="G22" s="50">
        <f>SUM(G15:G21)</f>
        <v>2659</v>
      </c>
    </row>
    <row r="23" spans="1:7" ht="18.75">
      <c r="A23" s="34"/>
      <c r="B23" s="34"/>
      <c r="C23" s="34"/>
      <c r="D23" s="34"/>
      <c r="E23" s="50"/>
      <c r="F23" s="34"/>
      <c r="G23" s="34"/>
    </row>
    <row r="24" spans="1:8" ht="18.75">
      <c r="A24" s="34">
        <v>5331</v>
      </c>
      <c r="B24" s="34" t="s">
        <v>301</v>
      </c>
      <c r="C24" s="34"/>
      <c r="D24" s="122">
        <f>(D22-D21)*27%</f>
        <v>545.4000000000001</v>
      </c>
      <c r="E24" s="50">
        <f>(E22-E21)*27%</f>
        <v>598.2930000000001</v>
      </c>
      <c r="F24" s="34"/>
      <c r="G24" s="122">
        <f>H24*27%</f>
        <v>677.4300000000001</v>
      </c>
      <c r="H24" s="108">
        <f>G22-G21</f>
        <v>2509</v>
      </c>
    </row>
    <row r="25" spans="1:7" ht="18.75">
      <c r="A25" s="34">
        <v>5341</v>
      </c>
      <c r="B25" s="34" t="s">
        <v>582</v>
      </c>
      <c r="C25" s="34"/>
      <c r="D25" s="34"/>
      <c r="E25" s="50">
        <f>E21*16.7%</f>
        <v>10.02</v>
      </c>
      <c r="F25" s="34"/>
      <c r="G25" s="34">
        <v>25</v>
      </c>
    </row>
    <row r="26" spans="1:7" ht="18.75">
      <c r="A26" s="34"/>
      <c r="B26" s="41" t="s">
        <v>666</v>
      </c>
      <c r="C26" s="34"/>
      <c r="D26" s="34"/>
      <c r="E26" s="50"/>
      <c r="F26" s="34"/>
      <c r="G26" s="34">
        <v>29</v>
      </c>
    </row>
    <row r="27" spans="1:7" ht="18.75">
      <c r="A27" s="125">
        <v>53</v>
      </c>
      <c r="B27" s="125" t="s">
        <v>70</v>
      </c>
      <c r="C27" s="44">
        <f>SUM(C24:C25)</f>
        <v>0</v>
      </c>
      <c r="D27" s="44">
        <f>SUM(D24:D25)</f>
        <v>545.4000000000001</v>
      </c>
      <c r="E27" s="50">
        <f>SUM(E24:E25)</f>
        <v>608.3130000000001</v>
      </c>
      <c r="F27" s="50">
        <f>SUM(F24:F25)</f>
        <v>0</v>
      </c>
      <c r="G27" s="50">
        <f>SUM(G24:G26)</f>
        <v>731.4300000000001</v>
      </c>
    </row>
    <row r="28" spans="1:7" ht="18.75">
      <c r="A28" s="125"/>
      <c r="B28" s="125"/>
      <c r="C28" s="34"/>
      <c r="D28" s="34"/>
      <c r="E28" s="50"/>
      <c r="F28" s="34"/>
      <c r="G28" s="34"/>
    </row>
    <row r="29" spans="1:7" ht="18.75">
      <c r="A29" s="125"/>
      <c r="B29" s="125"/>
      <c r="C29" s="34"/>
      <c r="D29" s="34"/>
      <c r="E29" s="50"/>
      <c r="F29" s="34"/>
      <c r="G29" s="34"/>
    </row>
    <row r="30" spans="1:7" ht="18.75">
      <c r="A30" s="34">
        <v>38115</v>
      </c>
      <c r="B30" s="34" t="s">
        <v>120</v>
      </c>
      <c r="C30" s="34">
        <v>668</v>
      </c>
      <c r="D30" s="34">
        <v>2400</v>
      </c>
      <c r="E30" s="50">
        <v>2400</v>
      </c>
      <c r="F30" s="34">
        <v>2400</v>
      </c>
      <c r="G30" s="34">
        <v>2400</v>
      </c>
    </row>
    <row r="31" spans="1:7" ht="18.75">
      <c r="A31" s="34"/>
      <c r="B31" s="34"/>
      <c r="C31" s="34"/>
      <c r="D31" s="34"/>
      <c r="E31" s="50"/>
      <c r="F31" s="34"/>
      <c r="G31" s="34"/>
    </row>
    <row r="32" spans="1:7" ht="18.75">
      <c r="A32" s="25">
        <v>5431</v>
      </c>
      <c r="B32" s="25" t="s">
        <v>79</v>
      </c>
      <c r="C32" s="34">
        <v>40</v>
      </c>
      <c r="D32" s="34">
        <v>50</v>
      </c>
      <c r="E32" s="50">
        <v>65</v>
      </c>
      <c r="F32" s="34">
        <v>172</v>
      </c>
      <c r="G32" s="34">
        <v>175</v>
      </c>
    </row>
    <row r="33" spans="1:7" ht="18.75">
      <c r="A33" s="25">
        <v>54711</v>
      </c>
      <c r="B33" s="25" t="s">
        <v>80</v>
      </c>
      <c r="C33" s="34">
        <v>100</v>
      </c>
      <c r="D33" s="34">
        <v>100</v>
      </c>
      <c r="E33" s="50">
        <v>100</v>
      </c>
      <c r="F33" s="34"/>
      <c r="G33" s="34"/>
    </row>
    <row r="34" spans="1:7" ht="18.75">
      <c r="A34" s="25">
        <v>5481</v>
      </c>
      <c r="B34" s="25" t="s">
        <v>81</v>
      </c>
      <c r="C34" s="34">
        <v>20</v>
      </c>
      <c r="D34" s="34">
        <v>20</v>
      </c>
      <c r="E34" s="50">
        <v>20</v>
      </c>
      <c r="F34" s="34">
        <v>20</v>
      </c>
      <c r="G34" s="34">
        <v>20</v>
      </c>
    </row>
    <row r="35" spans="1:7" ht="18.75">
      <c r="A35" s="25">
        <v>54913</v>
      </c>
      <c r="B35" s="25" t="s">
        <v>91</v>
      </c>
      <c r="C35" s="34">
        <v>100</v>
      </c>
      <c r="D35" s="34">
        <v>100</v>
      </c>
      <c r="E35" s="50">
        <v>20</v>
      </c>
      <c r="F35" s="34"/>
      <c r="G35" s="34">
        <v>20</v>
      </c>
    </row>
    <row r="36" spans="1:7" ht="18.75">
      <c r="A36" s="25">
        <v>54</v>
      </c>
      <c r="B36" s="25" t="s">
        <v>7</v>
      </c>
      <c r="C36" s="34">
        <f>SUM(C32:C35)</f>
        <v>260</v>
      </c>
      <c r="D36" s="34">
        <f>SUM(D32:D35)</f>
        <v>270</v>
      </c>
      <c r="E36" s="50">
        <f>SUM(E32:E35)</f>
        <v>205</v>
      </c>
      <c r="F36" s="50">
        <f>SUM(F32:F35)</f>
        <v>192</v>
      </c>
      <c r="G36" s="50">
        <f>SUM(G32:G35)</f>
        <v>215</v>
      </c>
    </row>
    <row r="37" spans="1:7" ht="18.75">
      <c r="A37" s="25"/>
      <c r="B37" s="25"/>
      <c r="C37" s="34"/>
      <c r="D37" s="34"/>
      <c r="E37" s="50"/>
      <c r="F37" s="34"/>
      <c r="G37" s="34"/>
    </row>
    <row r="38" spans="1:7" ht="18.75">
      <c r="A38" s="25">
        <v>55111</v>
      </c>
      <c r="B38" s="25" t="s">
        <v>82</v>
      </c>
      <c r="C38" s="34">
        <v>200</v>
      </c>
      <c r="D38" s="34">
        <v>300</v>
      </c>
      <c r="E38" s="50">
        <v>200</v>
      </c>
      <c r="F38" s="34">
        <v>224</v>
      </c>
      <c r="G38" s="34">
        <v>240</v>
      </c>
    </row>
    <row r="39" spans="1:7" ht="18.75">
      <c r="A39" s="25">
        <v>55119</v>
      </c>
      <c r="B39" s="25" t="s">
        <v>34</v>
      </c>
      <c r="C39" s="34"/>
      <c r="D39" s="34"/>
      <c r="E39" s="50">
        <v>70</v>
      </c>
      <c r="F39" s="34"/>
      <c r="G39" s="34"/>
    </row>
    <row r="40" spans="1:7" ht="18.75">
      <c r="A40" s="25">
        <v>55212</v>
      </c>
      <c r="B40" s="25" t="s">
        <v>622</v>
      </c>
      <c r="C40" s="34"/>
      <c r="D40" s="34"/>
      <c r="E40" s="50">
        <v>1627</v>
      </c>
      <c r="F40" s="34"/>
      <c r="G40" s="34"/>
    </row>
    <row r="41" spans="1:7" ht="18.75">
      <c r="A41" s="25">
        <v>55214</v>
      </c>
      <c r="B41" s="25" t="s">
        <v>10</v>
      </c>
      <c r="C41" s="34">
        <v>300</v>
      </c>
      <c r="D41" s="34">
        <v>300</v>
      </c>
      <c r="E41" s="50">
        <v>320</v>
      </c>
      <c r="F41" s="34">
        <v>225</v>
      </c>
      <c r="G41" s="34">
        <v>290</v>
      </c>
    </row>
    <row r="42" spans="1:7" ht="18.75">
      <c r="A42" s="25">
        <v>55215</v>
      </c>
      <c r="B42" s="25" t="s">
        <v>11</v>
      </c>
      <c r="C42" s="34">
        <v>250</v>
      </c>
      <c r="D42" s="34">
        <v>250</v>
      </c>
      <c r="E42" s="50">
        <v>110</v>
      </c>
      <c r="F42" s="34">
        <v>80</v>
      </c>
      <c r="G42" s="34">
        <v>90</v>
      </c>
    </row>
    <row r="43" spans="1:7" ht="18.75">
      <c r="A43" s="25">
        <v>55217</v>
      </c>
      <c r="B43" s="25" t="s">
        <v>84</v>
      </c>
      <c r="C43" s="34">
        <v>100</v>
      </c>
      <c r="D43" s="34">
        <v>50</v>
      </c>
      <c r="E43" s="50">
        <v>55</v>
      </c>
      <c r="F43" s="34">
        <v>46</v>
      </c>
      <c r="G43" s="34">
        <v>55</v>
      </c>
    </row>
    <row r="44" spans="1:8" ht="18.75">
      <c r="A44" s="25">
        <v>552181</v>
      </c>
      <c r="B44" s="25" t="s">
        <v>26</v>
      </c>
      <c r="C44" s="44">
        <v>50</v>
      </c>
      <c r="D44" s="44">
        <v>50</v>
      </c>
      <c r="E44" s="50">
        <v>50</v>
      </c>
      <c r="F44" s="34">
        <v>10</v>
      </c>
      <c r="G44" s="34">
        <v>180</v>
      </c>
      <c r="H44" t="s">
        <v>803</v>
      </c>
    </row>
    <row r="45" spans="1:7" ht="18.75">
      <c r="A45" s="25">
        <v>552182</v>
      </c>
      <c r="B45" s="25" t="s">
        <v>86</v>
      </c>
      <c r="C45" s="34">
        <v>30</v>
      </c>
      <c r="D45" s="34">
        <v>30</v>
      </c>
      <c r="E45" s="50">
        <v>50</v>
      </c>
      <c r="F45" s="34">
        <v>10</v>
      </c>
      <c r="G45" s="34">
        <v>20</v>
      </c>
    </row>
    <row r="46" spans="1:7" ht="18.75">
      <c r="A46" s="25">
        <v>55219</v>
      </c>
      <c r="B46" s="25" t="s">
        <v>85</v>
      </c>
      <c r="C46" s="34">
        <v>20</v>
      </c>
      <c r="D46" s="34">
        <v>20</v>
      </c>
      <c r="E46" s="50">
        <v>100</v>
      </c>
      <c r="F46" s="34">
        <f>4</f>
        <v>4</v>
      </c>
      <c r="G46" s="34">
        <v>10</v>
      </c>
    </row>
    <row r="47" spans="1:8" ht="18.75">
      <c r="A47" s="25">
        <v>5531</v>
      </c>
      <c r="B47" s="126" t="s">
        <v>238</v>
      </c>
      <c r="C47" s="34">
        <v>250</v>
      </c>
      <c r="D47" s="34">
        <v>250</v>
      </c>
      <c r="E47" s="50">
        <v>100</v>
      </c>
      <c r="F47" s="34">
        <v>209</v>
      </c>
      <c r="G47" s="34">
        <v>210</v>
      </c>
      <c r="H47" t="s">
        <v>802</v>
      </c>
    </row>
    <row r="48" spans="1:7" ht="18.75">
      <c r="A48" s="25">
        <v>55</v>
      </c>
      <c r="B48" s="126" t="s">
        <v>16</v>
      </c>
      <c r="C48" s="44">
        <f>SUM(C38:C47)</f>
        <v>1200</v>
      </c>
      <c r="D48" s="44">
        <f>SUM(D38:D47)</f>
        <v>1250</v>
      </c>
      <c r="E48" s="50">
        <f>SUM(E38:E47)</f>
        <v>2682</v>
      </c>
      <c r="F48" s="50">
        <f>SUM(F38:F47)</f>
        <v>808</v>
      </c>
      <c r="G48" s="50">
        <f>SUM(G38:G47)</f>
        <v>1095</v>
      </c>
    </row>
    <row r="49" spans="1:7" ht="18.75">
      <c r="A49" s="25"/>
      <c r="B49" s="126"/>
      <c r="C49" s="34"/>
      <c r="D49" s="34"/>
      <c r="E49" s="50"/>
      <c r="F49" s="34"/>
      <c r="G49" s="34"/>
    </row>
    <row r="50" spans="1:8" ht="18.75">
      <c r="A50" s="25">
        <v>56111</v>
      </c>
      <c r="B50" s="126" t="s">
        <v>60</v>
      </c>
      <c r="C50" s="122">
        <f>(C48-C47+C36)*27%</f>
        <v>326.70000000000005</v>
      </c>
      <c r="D50" s="122">
        <f>(D48+D36)*27%</f>
        <v>410.40000000000003</v>
      </c>
      <c r="E50" s="50">
        <f>(E48+E36)*27%</f>
        <v>779.49</v>
      </c>
      <c r="F50" s="34">
        <v>252</v>
      </c>
      <c r="G50" s="122">
        <f>H50*27%</f>
        <v>353.70000000000005</v>
      </c>
      <c r="H50" s="108">
        <f>G48+G36</f>
        <v>1310</v>
      </c>
    </row>
    <row r="51" spans="1:7" ht="18.75">
      <c r="A51" s="25">
        <v>56211</v>
      </c>
      <c r="B51" s="126" t="s">
        <v>18</v>
      </c>
      <c r="C51" s="34">
        <v>60</v>
      </c>
      <c r="D51" s="34">
        <v>60</v>
      </c>
      <c r="E51" s="50">
        <v>60</v>
      </c>
      <c r="F51" s="34"/>
      <c r="G51" s="34">
        <v>60</v>
      </c>
    </row>
    <row r="52" spans="1:7" ht="18.75">
      <c r="A52" s="25">
        <v>56213</v>
      </c>
      <c r="B52" s="126" t="s">
        <v>19</v>
      </c>
      <c r="C52" s="34"/>
      <c r="D52" s="34"/>
      <c r="E52" s="50"/>
      <c r="F52" s="34"/>
      <c r="G52" s="34"/>
    </row>
    <row r="53" spans="1:7" ht="18.75">
      <c r="A53" s="25">
        <v>56</v>
      </c>
      <c r="B53" s="126" t="s">
        <v>20</v>
      </c>
      <c r="C53" s="122">
        <f>SUM(C50:C52)</f>
        <v>386.70000000000005</v>
      </c>
      <c r="D53" s="122">
        <f>SUM(D50:D52)</f>
        <v>470.40000000000003</v>
      </c>
      <c r="E53" s="50">
        <f>SUM(E50:E52)</f>
        <v>839.49</v>
      </c>
      <c r="F53" s="50">
        <f>SUM(F50:F52)</f>
        <v>252</v>
      </c>
      <c r="G53" s="50">
        <f>SUM(G50:G52)</f>
        <v>413.70000000000005</v>
      </c>
    </row>
    <row r="54" spans="1:7" ht="18.75">
      <c r="A54" s="25"/>
      <c r="B54" s="126"/>
      <c r="C54" s="34"/>
      <c r="D54" s="34"/>
      <c r="E54" s="50"/>
      <c r="F54" s="34"/>
      <c r="G54" s="34"/>
    </row>
    <row r="55" spans="1:7" ht="18.75">
      <c r="A55" s="25">
        <v>572192</v>
      </c>
      <c r="B55" s="126" t="s">
        <v>22</v>
      </c>
      <c r="C55" s="34">
        <v>25</v>
      </c>
      <c r="D55" s="34">
        <v>12</v>
      </c>
      <c r="E55" s="50">
        <v>12</v>
      </c>
      <c r="F55" s="34"/>
      <c r="G55" s="34"/>
    </row>
    <row r="56" spans="1:7" ht="18.75">
      <c r="A56" s="25">
        <v>57211</v>
      </c>
      <c r="B56" s="126" t="s">
        <v>218</v>
      </c>
      <c r="C56" s="122">
        <f>C21*0.18</f>
        <v>21.599999999999998</v>
      </c>
      <c r="D56" s="122">
        <v>22</v>
      </c>
      <c r="E56" s="50">
        <f>E21*19.04%</f>
        <v>11.424</v>
      </c>
      <c r="F56" s="34"/>
      <c r="G56" s="34"/>
    </row>
    <row r="57" spans="1:7" ht="18.75">
      <c r="A57" s="25">
        <v>57</v>
      </c>
      <c r="B57" s="126" t="s">
        <v>83</v>
      </c>
      <c r="C57" s="122">
        <f>SUM(C55:C56)</f>
        <v>46.599999999999994</v>
      </c>
      <c r="D57" s="122">
        <f>SUM(D55:D56)</f>
        <v>34</v>
      </c>
      <c r="E57" s="50">
        <f>SUM(E55:E56)</f>
        <v>23.424</v>
      </c>
      <c r="F57" s="50">
        <f>SUM(F55:F56)</f>
        <v>0</v>
      </c>
      <c r="G57" s="50">
        <f>SUM(G55:G56)</f>
        <v>0</v>
      </c>
    </row>
    <row r="58" spans="1:7" ht="18.75">
      <c r="A58" s="25"/>
      <c r="B58" s="126"/>
      <c r="C58" s="34"/>
      <c r="D58" s="34"/>
      <c r="E58" s="50"/>
      <c r="F58" s="34"/>
      <c r="G58" s="34"/>
    </row>
    <row r="59" spans="1:7" ht="18.75">
      <c r="A59" s="25"/>
      <c r="B59" s="126" t="s">
        <v>29</v>
      </c>
      <c r="C59" s="44">
        <f>SUM(C57+C53+C48+C36)</f>
        <v>1893.3000000000002</v>
      </c>
      <c r="D59" s="44">
        <f>SUM(D57+D53+D48+D36)</f>
        <v>2024.4</v>
      </c>
      <c r="E59" s="43">
        <f>SUM(E57+E53+E48+E36)</f>
        <v>3749.9139999999998</v>
      </c>
      <c r="F59" s="43">
        <f>SUM(F57+F53+F48+F36)</f>
        <v>1252</v>
      </c>
      <c r="G59" s="43">
        <f>SUM(G57+G53+G48+G36)</f>
        <v>1723.7</v>
      </c>
    </row>
    <row r="60" spans="1:7" ht="18.75">
      <c r="A60" s="25"/>
      <c r="B60" s="126"/>
      <c r="C60" s="34"/>
      <c r="D60" s="34"/>
      <c r="E60" s="50"/>
      <c r="F60" s="34"/>
      <c r="G60" s="34"/>
    </row>
    <row r="61" spans="1:7" ht="19.5" thickBot="1">
      <c r="A61" s="136"/>
      <c r="B61" s="136" t="s">
        <v>0</v>
      </c>
      <c r="C61" s="44">
        <f>SUM(C59+C27+C22+C12+C30)</f>
        <v>4706.3</v>
      </c>
      <c r="D61" s="44">
        <f>SUM(D59+D27+D22+D12+D30)</f>
        <v>7109.8</v>
      </c>
      <c r="E61" s="43">
        <f>SUM(E59+E27+E22+E12+E30)</f>
        <v>9034.127</v>
      </c>
      <c r="F61" s="43">
        <f>SUM(F59+F27+F22+F12+F30)</f>
        <v>3652</v>
      </c>
      <c r="G61" s="43">
        <f>SUM(G59+G27+G22+G12+G30)</f>
        <v>7514.13</v>
      </c>
    </row>
    <row r="62" ht="19.5" thickTop="1"/>
  </sheetData>
  <sheetProtection/>
  <printOptions/>
  <pageMargins left="0.7" right="0.7" top="0.75" bottom="0.75" header="0.3" footer="0.3"/>
  <pageSetup horizontalDpi="300" verticalDpi="3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2:G47"/>
  <sheetViews>
    <sheetView view="pageBreakPreview" zoomScale="60" zoomScalePageLayoutView="0" workbookViewId="0" topLeftCell="A1">
      <selection activeCell="F11" sqref="F11"/>
    </sheetView>
  </sheetViews>
  <sheetFormatPr defaultColWidth="8.66015625" defaultRowHeight="18"/>
  <cols>
    <col min="1" max="1" width="9" style="21" bestFit="1" customWidth="1"/>
    <col min="2" max="2" width="34" style="21" customWidth="1"/>
    <col min="3" max="4" width="7.75" style="21" customWidth="1"/>
    <col min="5" max="5" width="11.33203125" style="21" customWidth="1"/>
    <col min="6" max="16384" width="8.91015625" style="21" customWidth="1"/>
  </cols>
  <sheetData>
    <row r="2" ht="19.5" thickBot="1">
      <c r="C2" s="23"/>
    </row>
    <row r="3" spans="1:3" ht="18.75">
      <c r="A3" s="21">
        <v>862102</v>
      </c>
      <c r="B3" s="128" t="s">
        <v>212</v>
      </c>
      <c r="C3" s="23"/>
    </row>
    <row r="4" spans="1:7" ht="18.75">
      <c r="A4" s="47"/>
      <c r="B4" s="47"/>
      <c r="C4" s="84" t="s">
        <v>266</v>
      </c>
      <c r="D4" s="350" t="s">
        <v>285</v>
      </c>
      <c r="E4" s="138">
        <v>41695</v>
      </c>
      <c r="F4" s="41" t="s">
        <v>663</v>
      </c>
      <c r="G4" s="41" t="s">
        <v>653</v>
      </c>
    </row>
    <row r="5" spans="1:7" ht="18.75">
      <c r="A5" s="35"/>
      <c r="B5" s="35"/>
      <c r="C5" s="34"/>
      <c r="D5" s="129"/>
      <c r="E5" s="36"/>
      <c r="F5" s="34"/>
      <c r="G5" s="34"/>
    </row>
    <row r="6" spans="1:7" ht="18.75">
      <c r="A6" s="47"/>
      <c r="B6" s="88"/>
      <c r="C6" s="34"/>
      <c r="D6" s="129"/>
      <c r="E6" s="36"/>
      <c r="F6" s="34"/>
      <c r="G6" s="34"/>
    </row>
    <row r="7" spans="1:7" ht="18.75">
      <c r="A7" s="47">
        <v>5531</v>
      </c>
      <c r="B7" s="88" t="s">
        <v>211</v>
      </c>
      <c r="C7" s="34">
        <v>700</v>
      </c>
      <c r="D7" s="129">
        <v>700</v>
      </c>
      <c r="E7" s="36">
        <v>700</v>
      </c>
      <c r="F7" s="34">
        <v>647</v>
      </c>
      <c r="G7" s="34">
        <v>700</v>
      </c>
    </row>
    <row r="8" spans="1:7" ht="18.75">
      <c r="A8" s="47"/>
      <c r="B8" s="88" t="s">
        <v>617</v>
      </c>
      <c r="C8" s="34"/>
      <c r="D8" s="129"/>
      <c r="E8" s="36">
        <v>500</v>
      </c>
      <c r="F8" s="34">
        <v>500</v>
      </c>
      <c r="G8" s="34">
        <v>500</v>
      </c>
    </row>
    <row r="9" spans="1:7" ht="18.75">
      <c r="A9" s="47" t="s">
        <v>74</v>
      </c>
      <c r="B9" s="47" t="s">
        <v>65</v>
      </c>
      <c r="C9" s="48">
        <f>SUM(C6:C7)</f>
        <v>700</v>
      </c>
      <c r="D9" s="351">
        <f>SUM(D6:D7)</f>
        <v>700</v>
      </c>
      <c r="E9" s="37">
        <f>SUM(E7:E8)</f>
        <v>1200</v>
      </c>
      <c r="F9" s="37">
        <f>SUM(F7:F8)</f>
        <v>1147</v>
      </c>
      <c r="G9" s="37">
        <f>SUM(G7:G8)</f>
        <v>1200</v>
      </c>
    </row>
    <row r="10" spans="1:7" ht="18.75">
      <c r="A10" s="47"/>
      <c r="B10" s="47"/>
      <c r="C10" s="34"/>
      <c r="D10" s="129"/>
      <c r="E10" s="36"/>
      <c r="F10" s="34"/>
      <c r="G10" s="34"/>
    </row>
    <row r="11" spans="1:7" ht="18.75">
      <c r="A11" s="47"/>
      <c r="B11" s="35"/>
      <c r="C11" s="34"/>
      <c r="D11" s="129"/>
      <c r="E11" s="36"/>
      <c r="F11" s="34"/>
      <c r="G11" s="34"/>
    </row>
    <row r="12" spans="1:7" ht="18.75">
      <c r="A12" s="47"/>
      <c r="B12" s="47" t="s">
        <v>75</v>
      </c>
      <c r="C12" s="48">
        <f>SUM(C9)</f>
        <v>700</v>
      </c>
      <c r="D12" s="48">
        <f>SUM(D9)</f>
        <v>700</v>
      </c>
      <c r="E12" s="37">
        <f>SUM(E9)</f>
        <v>1200</v>
      </c>
      <c r="F12" s="37">
        <f>SUM(F9)</f>
        <v>1147</v>
      </c>
      <c r="G12" s="37">
        <f>SUM(G9)</f>
        <v>1200</v>
      </c>
    </row>
    <row r="13" spans="1:3" ht="18.75">
      <c r="A13" s="87"/>
      <c r="B13" s="87"/>
      <c r="C13" s="23"/>
    </row>
    <row r="22" ht="18.75">
      <c r="B22" s="90"/>
    </row>
    <row r="23" ht="18.75">
      <c r="B23" s="90"/>
    </row>
    <row r="32" ht="18.75">
      <c r="B32" s="92"/>
    </row>
    <row r="35" ht="18.75">
      <c r="B35" s="92"/>
    </row>
    <row r="40" ht="18.75">
      <c r="B40" s="92"/>
    </row>
    <row r="42" ht="18.75">
      <c r="B42" s="110"/>
    </row>
    <row r="47" ht="18.75">
      <c r="B47" s="92"/>
    </row>
  </sheetData>
  <sheetProtection/>
  <printOptions/>
  <pageMargins left="0.7" right="0.7" top="0.75" bottom="0.75" header="0.3" footer="0.3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3:H47"/>
  <sheetViews>
    <sheetView view="pageBreakPreview" zoomScale="60" zoomScalePageLayoutView="0" workbookViewId="0" topLeftCell="A1">
      <selection activeCell="F18" sqref="F18"/>
    </sheetView>
  </sheetViews>
  <sheetFormatPr defaultColWidth="8.66015625" defaultRowHeight="18"/>
  <cols>
    <col min="1" max="1" width="9.08203125" style="11" bestFit="1" customWidth="1"/>
    <col min="2" max="2" width="33" style="11" customWidth="1"/>
    <col min="3" max="3" width="6.08203125" style="11" customWidth="1"/>
    <col min="4" max="4" width="8.58203125" style="11" customWidth="1"/>
    <col min="5" max="5" width="11.91015625" style="11" customWidth="1"/>
    <col min="6" max="16384" width="8.91015625" style="11" customWidth="1"/>
  </cols>
  <sheetData>
    <row r="3" spans="1:2" ht="16.5" thickBot="1">
      <c r="A3" s="12">
        <v>862231</v>
      </c>
      <c r="B3" s="10" t="s">
        <v>140</v>
      </c>
    </row>
    <row r="4" spans="1:7" ht="31.5" thickTop="1">
      <c r="A4" s="13"/>
      <c r="B4" s="14"/>
      <c r="C4" s="134" t="s">
        <v>266</v>
      </c>
      <c r="D4" s="46" t="s">
        <v>285</v>
      </c>
      <c r="E4" s="352">
        <v>41666</v>
      </c>
      <c r="F4" s="25" t="s">
        <v>652</v>
      </c>
      <c r="G4" s="25" t="s">
        <v>653</v>
      </c>
    </row>
    <row r="5" spans="1:7" ht="15.75">
      <c r="A5" s="25">
        <v>55</v>
      </c>
      <c r="B5" s="126" t="s">
        <v>72</v>
      </c>
      <c r="C5" s="25"/>
      <c r="D5" s="25"/>
      <c r="E5" s="28"/>
      <c r="F5" s="25"/>
      <c r="G5" s="25"/>
    </row>
    <row r="6" spans="1:8" ht="21" customHeight="1">
      <c r="A6" s="25">
        <v>5531</v>
      </c>
      <c r="B6" s="344" t="s">
        <v>298</v>
      </c>
      <c r="C6" s="25">
        <v>119</v>
      </c>
      <c r="D6" s="25">
        <v>300</v>
      </c>
      <c r="E6" s="28">
        <v>160</v>
      </c>
      <c r="F6" s="25">
        <v>280</v>
      </c>
      <c r="G6" s="25">
        <v>300</v>
      </c>
      <c r="H6" s="11" t="s">
        <v>846</v>
      </c>
    </row>
    <row r="7" spans="1:7" ht="26.25" customHeight="1">
      <c r="A7" s="25">
        <v>5531</v>
      </c>
      <c r="B7" s="344" t="s">
        <v>297</v>
      </c>
      <c r="C7" s="25">
        <v>36</v>
      </c>
      <c r="D7" s="25">
        <v>50</v>
      </c>
      <c r="E7" s="28"/>
      <c r="F7" s="25"/>
      <c r="G7" s="25"/>
    </row>
    <row r="8" spans="1:7" ht="25.5" customHeight="1">
      <c r="A8" s="25">
        <v>5531</v>
      </c>
      <c r="B8" s="344" t="s">
        <v>73</v>
      </c>
      <c r="C8" s="25">
        <v>100</v>
      </c>
      <c r="D8" s="25"/>
      <c r="E8" s="28"/>
      <c r="F8" s="25"/>
      <c r="G8" s="25"/>
    </row>
    <row r="9" spans="1:7" ht="25.5" customHeight="1">
      <c r="A9" s="25">
        <v>5531</v>
      </c>
      <c r="B9" s="344" t="s">
        <v>303</v>
      </c>
      <c r="C9" s="25"/>
      <c r="D9" s="25"/>
      <c r="E9" s="28"/>
      <c r="F9" s="25"/>
      <c r="G9" s="25"/>
    </row>
    <row r="10" spans="1:7" ht="15.75">
      <c r="A10" s="28" t="s">
        <v>74</v>
      </c>
      <c r="B10" s="127" t="s">
        <v>65</v>
      </c>
      <c r="C10" s="30">
        <f>SUM(C6:C8)</f>
        <v>255</v>
      </c>
      <c r="D10" s="30">
        <f>SUM(D6:D9)</f>
        <v>350</v>
      </c>
      <c r="E10" s="29">
        <f>SUM(E6:E8)</f>
        <v>160</v>
      </c>
      <c r="F10" s="29">
        <f>SUM(F6:F8)</f>
        <v>280</v>
      </c>
      <c r="G10" s="29">
        <f>SUM(G6:G8)</f>
        <v>300</v>
      </c>
    </row>
    <row r="11" spans="1:7" ht="15.75">
      <c r="A11" s="28"/>
      <c r="B11" s="127"/>
      <c r="C11" s="25"/>
      <c r="D11" s="25"/>
      <c r="E11" s="28"/>
      <c r="F11" s="25"/>
      <c r="G11" s="25"/>
    </row>
    <row r="12" spans="1:7" ht="15.75">
      <c r="A12" s="28"/>
      <c r="B12" s="127" t="s">
        <v>75</v>
      </c>
      <c r="C12" s="30">
        <f>SUM(C10)</f>
        <v>255</v>
      </c>
      <c r="D12" s="30">
        <f>SUM(D10)</f>
        <v>350</v>
      </c>
      <c r="E12" s="29">
        <f>SUM(E10)</f>
        <v>160</v>
      </c>
      <c r="F12" s="29">
        <f>SUM(F10)</f>
        <v>280</v>
      </c>
      <c r="G12" s="29">
        <f>SUM(G10)</f>
        <v>300</v>
      </c>
    </row>
    <row r="13" spans="1:2" ht="15">
      <c r="A13" s="13"/>
      <c r="B13" s="13"/>
    </row>
    <row r="22" ht="15">
      <c r="B22" s="130"/>
    </row>
    <row r="23" ht="15">
      <c r="B23" s="130"/>
    </row>
    <row r="32" ht="15.75">
      <c r="B32" s="12"/>
    </row>
    <row r="35" ht="15.75">
      <c r="B35" s="12"/>
    </row>
    <row r="40" ht="15.75">
      <c r="B40" s="12"/>
    </row>
    <row r="42" ht="15">
      <c r="B42" s="116"/>
    </row>
    <row r="47" ht="15.75">
      <c r="B47" s="12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G46"/>
  <sheetViews>
    <sheetView view="pageBreakPreview" zoomScale="60" zoomScalePageLayoutView="0" workbookViewId="0" topLeftCell="A1">
      <selection activeCell="G8" sqref="G8"/>
    </sheetView>
  </sheetViews>
  <sheetFormatPr defaultColWidth="8.66015625" defaultRowHeight="18"/>
  <cols>
    <col min="1" max="1" width="9.08203125" style="21" bestFit="1" customWidth="1"/>
    <col min="2" max="2" width="34" style="21" customWidth="1"/>
    <col min="3" max="3" width="10.33203125" style="21" bestFit="1" customWidth="1"/>
    <col min="4" max="4" width="7.75" style="21" customWidth="1"/>
    <col min="5" max="5" width="11.33203125" style="21" customWidth="1"/>
    <col min="6" max="16384" width="8.91015625" style="21" customWidth="1"/>
  </cols>
  <sheetData>
    <row r="2" ht="19.5" thickBot="1">
      <c r="C2" s="23"/>
    </row>
    <row r="3" spans="1:3" ht="18.75">
      <c r="A3" s="21">
        <v>862301</v>
      </c>
      <c r="B3" s="128" t="s">
        <v>210</v>
      </c>
      <c r="C3" s="23"/>
    </row>
    <row r="4" spans="1:7" ht="18.75">
      <c r="A4" s="47"/>
      <c r="B4" s="47"/>
      <c r="C4" s="84" t="s">
        <v>266</v>
      </c>
      <c r="D4" s="336" t="s">
        <v>285</v>
      </c>
      <c r="E4" s="84">
        <v>41666</v>
      </c>
      <c r="F4" s="41" t="s">
        <v>663</v>
      </c>
      <c r="G4" s="41" t="s">
        <v>653</v>
      </c>
    </row>
    <row r="5" spans="1:7" ht="18.75">
      <c r="A5" s="35"/>
      <c r="B5" s="35"/>
      <c r="C5" s="34"/>
      <c r="D5" s="34"/>
      <c r="E5" s="34"/>
      <c r="F5" s="34"/>
      <c r="G5" s="34"/>
    </row>
    <row r="6" spans="1:7" ht="18.75">
      <c r="A6" s="47">
        <v>5531</v>
      </c>
      <c r="B6" s="88" t="s">
        <v>211</v>
      </c>
      <c r="C6" s="34">
        <v>1105</v>
      </c>
      <c r="D6" s="36">
        <v>1200</v>
      </c>
      <c r="E6" s="34">
        <v>1200</v>
      </c>
      <c r="F6" s="34"/>
      <c r="G6" s="34">
        <v>1200</v>
      </c>
    </row>
    <row r="7" spans="1:7" ht="18.75">
      <c r="A7" s="47"/>
      <c r="B7" s="88"/>
      <c r="C7" s="34"/>
      <c r="D7" s="36"/>
      <c r="E7" s="34"/>
      <c r="F7" s="34"/>
      <c r="G7" s="34"/>
    </row>
    <row r="8" spans="1:7" ht="18.75">
      <c r="A8" s="47" t="s">
        <v>74</v>
      </c>
      <c r="B8" s="47" t="s">
        <v>65</v>
      </c>
      <c r="C8" s="48">
        <f>SUM(C6:C7)</f>
        <v>1105</v>
      </c>
      <c r="D8" s="37">
        <f>SUM(D6:D7)</f>
        <v>1200</v>
      </c>
      <c r="E8" s="37">
        <f>SUM(E6:E7)</f>
        <v>1200</v>
      </c>
      <c r="F8" s="37">
        <f>SUM(F6:F7)</f>
        <v>0</v>
      </c>
      <c r="G8" s="37">
        <f>SUM(G6:G7)</f>
        <v>1200</v>
      </c>
    </row>
    <row r="9" spans="1:7" ht="18.75">
      <c r="A9" s="47"/>
      <c r="B9" s="47"/>
      <c r="C9" s="34"/>
      <c r="D9" s="34"/>
      <c r="E9" s="34"/>
      <c r="F9" s="34"/>
      <c r="G9" s="34"/>
    </row>
    <row r="10" spans="1:7" ht="18.75">
      <c r="A10" s="131"/>
      <c r="B10" s="132"/>
      <c r="C10" s="133"/>
      <c r="D10" s="133"/>
      <c r="E10" s="34"/>
      <c r="F10" s="34"/>
      <c r="G10" s="34"/>
    </row>
    <row r="11" spans="1:7" ht="18.75">
      <c r="A11" s="47"/>
      <c r="B11" s="47" t="s">
        <v>75</v>
      </c>
      <c r="C11" s="48">
        <f>SUM(C8)</f>
        <v>1105</v>
      </c>
      <c r="D11" s="37">
        <f>SUM(D8)</f>
        <v>1200</v>
      </c>
      <c r="E11" s="37">
        <f>SUM(E8)</f>
        <v>1200</v>
      </c>
      <c r="F11" s="37">
        <f>SUM(F8)</f>
        <v>0</v>
      </c>
      <c r="G11" s="37">
        <f>SUM(G8)</f>
        <v>1200</v>
      </c>
    </row>
    <row r="12" spans="1:3" ht="18.75">
      <c r="A12" s="87"/>
      <c r="B12" s="87"/>
      <c r="C12" s="23"/>
    </row>
    <row r="21" ht="18.75">
      <c r="B21" s="90"/>
    </row>
    <row r="22" ht="18.75">
      <c r="B22" s="90"/>
    </row>
    <row r="31" ht="18.75">
      <c r="B31" s="92"/>
    </row>
    <row r="34" ht="18.75">
      <c r="B34" s="92"/>
    </row>
    <row r="39" ht="18.75">
      <c r="B39" s="92"/>
    </row>
    <row r="41" ht="18.75">
      <c r="B41" s="110"/>
    </row>
    <row r="46" ht="18.75">
      <c r="B46" s="92"/>
    </row>
  </sheetData>
  <sheetProtection/>
  <printOptions/>
  <pageMargins left="0.7" right="0.7" top="0.75" bottom="0.75" header="0.3" footer="0.3"/>
  <pageSetup horizontalDpi="300" verticalDpi="3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tabSelected="1" view="pageBreakPreview" zoomScale="60" zoomScalePageLayoutView="0" workbookViewId="0" topLeftCell="A25">
      <selection activeCell="H27" sqref="H27"/>
    </sheetView>
  </sheetViews>
  <sheetFormatPr defaultColWidth="8.66015625" defaultRowHeight="18"/>
  <cols>
    <col min="1" max="1" width="9" style="11" bestFit="1" customWidth="1"/>
    <col min="2" max="2" width="40.58203125" style="11" customWidth="1"/>
    <col min="3" max="3" width="7.58203125" style="11" customWidth="1"/>
    <col min="4" max="4" width="8.08203125" style="12" customWidth="1"/>
    <col min="5" max="5" width="7.91015625" style="11" customWidth="1"/>
    <col min="6" max="7" width="8.91015625" style="11" customWidth="1"/>
    <col min="8" max="8" width="28" style="11" customWidth="1"/>
    <col min="9" max="16384" width="8.91015625" style="11" customWidth="1"/>
  </cols>
  <sheetData>
    <row r="3" spans="1:2" ht="15.75">
      <c r="A3" s="12" t="s">
        <v>198</v>
      </c>
      <c r="B3" s="12" t="s">
        <v>197</v>
      </c>
    </row>
    <row r="4" spans="1:7" ht="30.75">
      <c r="A4" s="25"/>
      <c r="B4" s="25"/>
      <c r="C4" s="134" t="s">
        <v>266</v>
      </c>
      <c r="D4" s="353" t="s">
        <v>285</v>
      </c>
      <c r="E4" s="352" t="s">
        <v>651</v>
      </c>
      <c r="F4" s="25" t="s">
        <v>663</v>
      </c>
      <c r="G4" s="25" t="s">
        <v>653</v>
      </c>
    </row>
    <row r="5" spans="1:7" ht="15.75">
      <c r="A5" s="25"/>
      <c r="B5" s="25"/>
      <c r="C5" s="134"/>
      <c r="D5" s="354"/>
      <c r="E5" s="352"/>
      <c r="F5" s="25"/>
      <c r="G5" s="25"/>
    </row>
    <row r="6" spans="1:8" ht="15.75">
      <c r="A6" s="25">
        <v>13152</v>
      </c>
      <c r="B6" s="25" t="s">
        <v>274</v>
      </c>
      <c r="C6" s="26">
        <v>114</v>
      </c>
      <c r="D6" s="436">
        <v>158</v>
      </c>
      <c r="E6" s="27"/>
      <c r="F6" s="25"/>
      <c r="G6" s="25">
        <v>150</v>
      </c>
      <c r="H6" s="11" t="s">
        <v>807</v>
      </c>
    </row>
    <row r="7" spans="1:7" ht="15.75">
      <c r="A7" s="25"/>
      <c r="B7" s="25" t="s">
        <v>275</v>
      </c>
      <c r="C7" s="26">
        <v>31</v>
      </c>
      <c r="D7" s="436">
        <f>D6*27%-1</f>
        <v>41.660000000000004</v>
      </c>
      <c r="E7" s="27"/>
      <c r="F7" s="25"/>
      <c r="G7" s="25">
        <v>41</v>
      </c>
    </row>
    <row r="8" spans="1:7" ht="15.75">
      <c r="A8" s="25"/>
      <c r="B8" s="25" t="s">
        <v>276</v>
      </c>
      <c r="C8" s="26">
        <f>SUM(C6:C7)</f>
        <v>145</v>
      </c>
      <c r="D8" s="26">
        <f>SUM(D6:D7)</f>
        <v>199.66</v>
      </c>
      <c r="E8" s="27">
        <f>SUM(E6:E7)</f>
        <v>0</v>
      </c>
      <c r="F8" s="25"/>
      <c r="G8" s="25">
        <f>SUM(G6:G7)</f>
        <v>191</v>
      </c>
    </row>
    <row r="9" spans="1:7" ht="15.75">
      <c r="A9" s="25"/>
      <c r="B9" s="25"/>
      <c r="C9" s="26"/>
      <c r="D9" s="26"/>
      <c r="E9" s="27"/>
      <c r="F9" s="25"/>
      <c r="G9" s="25"/>
    </row>
    <row r="10" spans="1:7" ht="15.75">
      <c r="A10" s="25">
        <v>511112</v>
      </c>
      <c r="B10" s="25" t="s">
        <v>67</v>
      </c>
      <c r="C10" s="26">
        <v>2266</v>
      </c>
      <c r="D10" s="26"/>
      <c r="E10" s="27">
        <f>'[3]GEVSZ'!$P$17/1000-151</f>
        <v>1912.2800000000002</v>
      </c>
      <c r="F10" s="25"/>
      <c r="G10" s="25">
        <v>1464</v>
      </c>
    </row>
    <row r="11" spans="1:7" ht="15.75">
      <c r="A11" s="25"/>
      <c r="B11" s="25" t="s">
        <v>304</v>
      </c>
      <c r="C11" s="26"/>
      <c r="D11" s="26">
        <v>1764</v>
      </c>
      <c r="E11" s="27"/>
      <c r="F11" s="25"/>
      <c r="G11" s="25"/>
    </row>
    <row r="12" spans="1:7" ht="15.75">
      <c r="A12" s="25">
        <v>511142</v>
      </c>
      <c r="B12" s="25" t="s">
        <v>76</v>
      </c>
      <c r="C12" s="26">
        <v>165</v>
      </c>
      <c r="D12" s="26">
        <v>162</v>
      </c>
      <c r="E12" s="27">
        <v>151</v>
      </c>
      <c r="F12" s="25"/>
      <c r="G12" s="25">
        <v>186</v>
      </c>
    </row>
    <row r="13" spans="1:7" ht="15.75">
      <c r="A13" s="25">
        <v>513192</v>
      </c>
      <c r="B13" s="25" t="s">
        <v>800</v>
      </c>
      <c r="C13" s="26">
        <v>5</v>
      </c>
      <c r="D13" s="26">
        <v>5</v>
      </c>
      <c r="E13" s="27"/>
      <c r="F13" s="25"/>
      <c r="G13" s="25">
        <v>186</v>
      </c>
    </row>
    <row r="14" spans="1:7" ht="15.75">
      <c r="A14" s="25"/>
      <c r="B14" s="25" t="s">
        <v>258</v>
      </c>
      <c r="C14" s="26">
        <v>10</v>
      </c>
      <c r="D14" s="26">
        <v>10</v>
      </c>
      <c r="E14" s="27">
        <v>10</v>
      </c>
      <c r="F14" s="25"/>
      <c r="G14" s="25">
        <v>10</v>
      </c>
    </row>
    <row r="15" spans="1:7" ht="15.75">
      <c r="A15" s="25"/>
      <c r="B15" s="25" t="s">
        <v>224</v>
      </c>
      <c r="C15" s="26"/>
      <c r="D15" s="26"/>
      <c r="E15" s="27"/>
      <c r="F15" s="25"/>
      <c r="G15" s="25">
        <v>29</v>
      </c>
    </row>
    <row r="16" spans="1:7" ht="15.75">
      <c r="A16" s="25">
        <v>513122</v>
      </c>
      <c r="B16" s="25" t="s">
        <v>48</v>
      </c>
      <c r="C16" s="26"/>
      <c r="D16" s="26"/>
      <c r="E16" s="27">
        <v>482</v>
      </c>
      <c r="F16" s="25"/>
      <c r="G16" s="25"/>
    </row>
    <row r="17" spans="1:7" ht="15.75">
      <c r="A17" s="25">
        <v>5131321</v>
      </c>
      <c r="B17" s="25" t="s">
        <v>30</v>
      </c>
      <c r="C17" s="26">
        <v>5</v>
      </c>
      <c r="D17" s="26">
        <v>5</v>
      </c>
      <c r="E17" s="27"/>
      <c r="F17" s="25"/>
      <c r="G17" s="25"/>
    </row>
    <row r="18" spans="1:7" ht="15.75">
      <c r="A18" s="25">
        <v>514132</v>
      </c>
      <c r="B18" s="25" t="s">
        <v>1</v>
      </c>
      <c r="C18" s="26">
        <v>120</v>
      </c>
      <c r="D18" s="26">
        <v>120</v>
      </c>
      <c r="E18" s="27">
        <v>160</v>
      </c>
      <c r="F18" s="25">
        <v>140</v>
      </c>
      <c r="G18" s="25">
        <v>160</v>
      </c>
    </row>
    <row r="19" spans="1:7" ht="15.75">
      <c r="A19" s="25">
        <v>514142</v>
      </c>
      <c r="B19" s="25" t="s">
        <v>186</v>
      </c>
      <c r="C19" s="26">
        <v>120</v>
      </c>
      <c r="D19" s="26">
        <v>120</v>
      </c>
      <c r="E19" s="27">
        <v>60</v>
      </c>
      <c r="F19" s="25"/>
      <c r="G19" s="25">
        <v>150</v>
      </c>
    </row>
    <row r="20" spans="1:7" ht="15.75">
      <c r="A20" s="25"/>
      <c r="B20" s="25" t="s">
        <v>839</v>
      </c>
      <c r="C20" s="26"/>
      <c r="D20" s="26"/>
      <c r="E20" s="27"/>
      <c r="F20" s="25"/>
      <c r="G20" s="25">
        <v>153</v>
      </c>
    </row>
    <row r="21" spans="1:7" ht="15.75">
      <c r="A21" s="28">
        <v>51</v>
      </c>
      <c r="B21" s="25" t="s">
        <v>77</v>
      </c>
      <c r="C21" s="26">
        <f>SUM(C10:C20)</f>
        <v>2691</v>
      </c>
      <c r="D21" s="26">
        <f>SUM(D10:D20)</f>
        <v>2186</v>
      </c>
      <c r="E21" s="27">
        <f>SUM(E10:E20)</f>
        <v>2775.28</v>
      </c>
      <c r="F21" s="27">
        <f>SUM(F10:F20)</f>
        <v>140</v>
      </c>
      <c r="G21" s="27">
        <f>SUM(G10:G20)</f>
        <v>2338</v>
      </c>
    </row>
    <row r="22" spans="1:7" ht="15.75">
      <c r="A22" s="25"/>
      <c r="B22" s="25"/>
      <c r="C22" s="26"/>
      <c r="D22" s="26"/>
      <c r="E22" s="27"/>
      <c r="F22" s="25"/>
      <c r="G22" s="25"/>
    </row>
    <row r="23" spans="1:7" ht="15.75">
      <c r="A23" s="25">
        <v>52211</v>
      </c>
      <c r="B23" s="25" t="s">
        <v>131</v>
      </c>
      <c r="C23" s="26">
        <v>253</v>
      </c>
      <c r="D23" s="26"/>
      <c r="E23" s="27">
        <v>250</v>
      </c>
      <c r="F23" s="25"/>
      <c r="G23" s="25">
        <v>122</v>
      </c>
    </row>
    <row r="24" spans="1:7" s="12" customFormat="1" ht="15.75">
      <c r="A24" s="28"/>
      <c r="B24" s="28" t="s">
        <v>153</v>
      </c>
      <c r="C24" s="27">
        <f>SUM(C21:C23)</f>
        <v>2944</v>
      </c>
      <c r="D24" s="27">
        <f>SUM(D21:D23)</f>
        <v>2186</v>
      </c>
      <c r="E24" s="27">
        <f>SUM(E21:E23)</f>
        <v>3025.28</v>
      </c>
      <c r="F24" s="27">
        <f>SUM(F21:F23)</f>
        <v>140</v>
      </c>
      <c r="G24" s="27">
        <f>SUM(G21:G23)</f>
        <v>2460</v>
      </c>
    </row>
    <row r="25" spans="1:7" ht="15.75">
      <c r="A25" s="25"/>
      <c r="B25" s="26">
        <f>(C10+C12+C13+C15+C16+C20+C23)</f>
        <v>2689</v>
      </c>
      <c r="C25" s="26"/>
      <c r="D25" s="26"/>
      <c r="E25" s="27"/>
      <c r="F25" s="25"/>
      <c r="G25" s="25"/>
    </row>
    <row r="26" spans="1:8" ht="15.75">
      <c r="A26" s="25">
        <v>53115</v>
      </c>
      <c r="B26" s="25" t="s">
        <v>305</v>
      </c>
      <c r="C26" s="26"/>
      <c r="D26" s="26">
        <f>E26*27%</f>
        <v>197.21491200000006</v>
      </c>
      <c r="E26" s="27">
        <f>(E21-E19-E14)*27%</f>
        <v>730.4256000000001</v>
      </c>
      <c r="F26" s="25"/>
      <c r="G26" s="26">
        <f>H26*27%+1</f>
        <v>578.8000000000001</v>
      </c>
      <c r="H26" s="555">
        <f>G24-G19-G18-G14</f>
        <v>2140</v>
      </c>
    </row>
    <row r="27" spans="1:7" ht="15.75">
      <c r="A27" s="25">
        <v>5331</v>
      </c>
      <c r="B27" s="25" t="s">
        <v>223</v>
      </c>
      <c r="C27" s="26"/>
      <c r="D27" s="26">
        <v>45</v>
      </c>
      <c r="E27" s="27">
        <f>E19*16.7%</f>
        <v>10.02</v>
      </c>
      <c r="F27" s="25"/>
      <c r="G27" s="25">
        <v>25</v>
      </c>
    </row>
    <row r="28" spans="1:7" ht="15.75">
      <c r="A28" s="25">
        <v>5341</v>
      </c>
      <c r="B28" s="25" t="s">
        <v>667</v>
      </c>
      <c r="C28" s="26">
        <v>10</v>
      </c>
      <c r="D28" s="515"/>
      <c r="E28" s="516"/>
      <c r="F28" s="25"/>
      <c r="G28" s="25">
        <v>29</v>
      </c>
    </row>
    <row r="29" spans="1:7" s="12" customFormat="1" ht="15.75">
      <c r="A29" s="28">
        <v>53</v>
      </c>
      <c r="B29" s="28" t="s">
        <v>78</v>
      </c>
      <c r="C29" s="27">
        <f>SUM(C26:C28)</f>
        <v>10</v>
      </c>
      <c r="D29" s="516">
        <v>566</v>
      </c>
      <c r="E29" s="516">
        <f>SUM(E26:E28)</f>
        <v>740.4456000000001</v>
      </c>
      <c r="F29" s="27">
        <f>SUM(F26:F28)</f>
        <v>0</v>
      </c>
      <c r="G29" s="27">
        <f>SUM(G26:G28)</f>
        <v>632.8000000000001</v>
      </c>
    </row>
    <row r="30" spans="1:7" ht="15.75">
      <c r="A30" s="25"/>
      <c r="B30" s="25"/>
      <c r="C30" s="26"/>
      <c r="D30" s="515"/>
      <c r="E30" s="516"/>
      <c r="F30" s="25"/>
      <c r="G30" s="25"/>
    </row>
    <row r="31" spans="1:7" ht="15.75">
      <c r="A31" s="25">
        <v>5431</v>
      </c>
      <c r="B31" s="25" t="s">
        <v>79</v>
      </c>
      <c r="C31" s="26">
        <v>10</v>
      </c>
      <c r="D31" s="26">
        <v>20</v>
      </c>
      <c r="E31" s="27">
        <v>40</v>
      </c>
      <c r="F31" s="25">
        <v>15</v>
      </c>
      <c r="G31" s="25">
        <v>20</v>
      </c>
    </row>
    <row r="32" spans="1:8" ht="15.75">
      <c r="A32" s="25">
        <v>54711</v>
      </c>
      <c r="B32" s="25" t="s">
        <v>80</v>
      </c>
      <c r="C32" s="26">
        <v>30</v>
      </c>
      <c r="D32" s="26">
        <v>30</v>
      </c>
      <c r="E32" s="27">
        <v>30</v>
      </c>
      <c r="F32" s="25">
        <v>22</v>
      </c>
      <c r="G32" s="25">
        <v>50</v>
      </c>
      <c r="H32" s="11" t="s">
        <v>808</v>
      </c>
    </row>
    <row r="33" spans="1:7" ht="15.75">
      <c r="A33" s="25">
        <v>5481</v>
      </c>
      <c r="B33" s="25" t="s">
        <v>81</v>
      </c>
      <c r="C33" s="26">
        <v>20</v>
      </c>
      <c r="D33" s="26">
        <v>20</v>
      </c>
      <c r="E33" s="27">
        <v>20</v>
      </c>
      <c r="F33" s="25"/>
      <c r="G33" s="25">
        <v>20</v>
      </c>
    </row>
    <row r="34" spans="1:7" ht="15.75">
      <c r="A34" s="25">
        <v>54913</v>
      </c>
      <c r="B34" s="25" t="s">
        <v>91</v>
      </c>
      <c r="C34" s="26">
        <v>10</v>
      </c>
      <c r="D34" s="26">
        <v>20</v>
      </c>
      <c r="E34" s="27">
        <v>50</v>
      </c>
      <c r="F34" s="25"/>
      <c r="G34" s="25"/>
    </row>
    <row r="35" spans="1:7" ht="15.75">
      <c r="A35" s="28">
        <v>54</v>
      </c>
      <c r="B35" s="25" t="s">
        <v>7</v>
      </c>
      <c r="C35" s="26">
        <f>SUM(C31:C34)</f>
        <v>70</v>
      </c>
      <c r="D35" s="26">
        <f>SUM(D31:D34)</f>
        <v>90</v>
      </c>
      <c r="E35" s="27">
        <f>SUM(E31:E34)</f>
        <v>140</v>
      </c>
      <c r="F35" s="27">
        <f>SUM(F31:F34)</f>
        <v>37</v>
      </c>
      <c r="G35" s="27">
        <f>SUM(G31:G34)</f>
        <v>90</v>
      </c>
    </row>
    <row r="36" spans="1:7" ht="15.75">
      <c r="A36" s="25"/>
      <c r="B36" s="25"/>
      <c r="C36" s="26"/>
      <c r="D36" s="26"/>
      <c r="E36" s="27"/>
      <c r="F36" s="25"/>
      <c r="G36" s="25"/>
    </row>
    <row r="37" spans="1:7" ht="15.75">
      <c r="A37" s="25">
        <v>55111</v>
      </c>
      <c r="B37" s="25" t="s">
        <v>82</v>
      </c>
      <c r="C37" s="26">
        <v>90</v>
      </c>
      <c r="D37" s="26">
        <v>60</v>
      </c>
      <c r="E37" s="27">
        <v>80</v>
      </c>
      <c r="F37" s="25">
        <v>55</v>
      </c>
      <c r="G37" s="25">
        <v>55</v>
      </c>
    </row>
    <row r="38" spans="1:7" ht="15.75">
      <c r="A38" s="25"/>
      <c r="B38" s="25" t="s">
        <v>804</v>
      </c>
      <c r="C38" s="26"/>
      <c r="D38" s="26"/>
      <c r="E38" s="27"/>
      <c r="F38" s="25">
        <v>41</v>
      </c>
      <c r="G38" s="25">
        <v>50</v>
      </c>
    </row>
    <row r="39" spans="1:7" ht="15.75">
      <c r="A39" s="25">
        <v>55119</v>
      </c>
      <c r="B39" s="25" t="s">
        <v>620</v>
      </c>
      <c r="C39" s="26">
        <v>72</v>
      </c>
      <c r="D39" s="26">
        <v>72</v>
      </c>
      <c r="E39" s="27">
        <f>50+107</f>
        <v>157</v>
      </c>
      <c r="F39" s="25"/>
      <c r="G39" s="25"/>
    </row>
    <row r="40" spans="1:8" ht="15.75">
      <c r="A40" s="25">
        <v>55214</v>
      </c>
      <c r="B40" s="25" t="s">
        <v>10</v>
      </c>
      <c r="C40" s="26">
        <v>200</v>
      </c>
      <c r="D40" s="26">
        <v>300</v>
      </c>
      <c r="E40" s="27">
        <v>300</v>
      </c>
      <c r="F40" s="11">
        <v>153</v>
      </c>
      <c r="G40" s="25">
        <v>200</v>
      </c>
      <c r="H40" s="25" t="s">
        <v>806</v>
      </c>
    </row>
    <row r="41" spans="1:7" ht="15.75">
      <c r="A41" s="25">
        <v>55215</v>
      </c>
      <c r="B41" s="25" t="s">
        <v>11</v>
      </c>
      <c r="C41" s="26">
        <v>40</v>
      </c>
      <c r="D41" s="26">
        <v>30</v>
      </c>
      <c r="E41" s="27">
        <v>30</v>
      </c>
      <c r="F41" s="25">
        <v>38</v>
      </c>
      <c r="G41" s="25">
        <v>40</v>
      </c>
    </row>
    <row r="42" spans="1:7" ht="15.75">
      <c r="A42" s="25">
        <v>55217</v>
      </c>
      <c r="B42" s="25" t="s">
        <v>84</v>
      </c>
      <c r="C42" s="26">
        <v>20</v>
      </c>
      <c r="D42" s="26">
        <v>30</v>
      </c>
      <c r="E42" s="27">
        <v>60</v>
      </c>
      <c r="F42" s="25">
        <v>21</v>
      </c>
      <c r="G42" s="25">
        <v>30</v>
      </c>
    </row>
    <row r="43" spans="1:8" ht="59.25" customHeight="1">
      <c r="A43" s="25">
        <v>552181</v>
      </c>
      <c r="B43" s="25" t="s">
        <v>26</v>
      </c>
      <c r="C43" s="26">
        <v>20</v>
      </c>
      <c r="D43" s="26">
        <v>20</v>
      </c>
      <c r="E43" s="27">
        <v>20</v>
      </c>
      <c r="F43" s="25">
        <v>7</v>
      </c>
      <c r="G43" s="25">
        <v>220</v>
      </c>
      <c r="H43" s="116" t="s">
        <v>809</v>
      </c>
    </row>
    <row r="44" spans="1:7" ht="15.75">
      <c r="A44" s="25">
        <v>552182</v>
      </c>
      <c r="B44" s="25" t="s">
        <v>86</v>
      </c>
      <c r="C44" s="26">
        <v>20</v>
      </c>
      <c r="D44" s="26">
        <v>20</v>
      </c>
      <c r="E44" s="27">
        <v>20</v>
      </c>
      <c r="F44" s="25">
        <v>10</v>
      </c>
      <c r="G44" s="25">
        <v>10</v>
      </c>
    </row>
    <row r="45" spans="1:8" ht="30.75">
      <c r="A45" s="25">
        <v>55219</v>
      </c>
      <c r="B45" s="25" t="s">
        <v>85</v>
      </c>
      <c r="C45" s="26">
        <v>18</v>
      </c>
      <c r="D45" s="26">
        <v>20</v>
      </c>
      <c r="E45" s="27">
        <v>20</v>
      </c>
      <c r="F45" s="25">
        <v>86</v>
      </c>
      <c r="G45" s="25">
        <v>115</v>
      </c>
      <c r="H45" s="116" t="s">
        <v>805</v>
      </c>
    </row>
    <row r="46" spans="1:7" ht="15.75">
      <c r="A46" s="25">
        <v>5531</v>
      </c>
      <c r="B46" s="25" t="s">
        <v>452</v>
      </c>
      <c r="C46" s="26"/>
      <c r="D46" s="26"/>
      <c r="E46" s="27">
        <v>30</v>
      </c>
      <c r="F46" s="25"/>
      <c r="G46" s="25"/>
    </row>
    <row r="47" spans="1:7" ht="15.75">
      <c r="A47" s="28">
        <v>55</v>
      </c>
      <c r="B47" s="25" t="s">
        <v>16</v>
      </c>
      <c r="C47" s="26">
        <f>SUM(C37:C45)</f>
        <v>480</v>
      </c>
      <c r="D47" s="26">
        <f>SUM(D37:D45)</f>
        <v>552</v>
      </c>
      <c r="E47" s="27">
        <f>SUM(E37:E46)</f>
        <v>717</v>
      </c>
      <c r="F47" s="27">
        <f>SUM(F37:F46)</f>
        <v>411</v>
      </c>
      <c r="G47" s="27">
        <f>SUM(G37:G46)</f>
        <v>720</v>
      </c>
    </row>
    <row r="48" spans="1:7" ht="15.75">
      <c r="A48" s="25"/>
      <c r="B48" s="25"/>
      <c r="C48" s="26"/>
      <c r="D48" s="26"/>
      <c r="E48" s="27"/>
      <c r="F48" s="25"/>
      <c r="G48" s="25"/>
    </row>
    <row r="49" spans="1:8" ht="15.75">
      <c r="A49" s="25">
        <v>56111</v>
      </c>
      <c r="B49" s="25" t="s">
        <v>60</v>
      </c>
      <c r="C49" s="26">
        <v>149</v>
      </c>
      <c r="D49" s="26">
        <f>(D35+D47+D52)*0.27</f>
        <v>173.88000000000002</v>
      </c>
      <c r="E49" s="27">
        <f>(E47+E35+E52)*27%</f>
        <v>232.74</v>
      </c>
      <c r="F49" s="25">
        <v>149</v>
      </c>
      <c r="G49" s="26">
        <f>H49*27%</f>
        <v>220.05</v>
      </c>
      <c r="H49" s="517">
        <f>G47+G52+G35</f>
        <v>815</v>
      </c>
    </row>
    <row r="50" spans="1:7" ht="15.75">
      <c r="A50" s="25">
        <v>56211</v>
      </c>
      <c r="B50" s="25" t="s">
        <v>18</v>
      </c>
      <c r="C50" s="26">
        <v>50</v>
      </c>
      <c r="D50" s="26">
        <v>30</v>
      </c>
      <c r="E50" s="27">
        <v>30</v>
      </c>
      <c r="F50" s="25"/>
      <c r="G50" s="25"/>
    </row>
    <row r="51" spans="1:7" ht="15.75">
      <c r="A51" s="25"/>
      <c r="B51" s="25"/>
      <c r="C51" s="26"/>
      <c r="D51" s="26"/>
      <c r="E51" s="27"/>
      <c r="F51" s="25"/>
      <c r="G51" s="25"/>
    </row>
    <row r="52" spans="1:7" ht="15.75">
      <c r="A52" s="25">
        <v>56213</v>
      </c>
      <c r="B52" s="25" t="s">
        <v>19</v>
      </c>
      <c r="C52" s="26">
        <v>2</v>
      </c>
      <c r="D52" s="26">
        <v>2</v>
      </c>
      <c r="E52" s="27">
        <v>5</v>
      </c>
      <c r="F52" s="25"/>
      <c r="G52" s="25">
        <v>5</v>
      </c>
    </row>
    <row r="53" spans="1:7" s="12" customFormat="1" ht="15.75">
      <c r="A53" s="28">
        <v>56</v>
      </c>
      <c r="B53" s="28" t="s">
        <v>20</v>
      </c>
      <c r="C53" s="27">
        <f>SUM(C49:C52)</f>
        <v>201</v>
      </c>
      <c r="D53" s="27">
        <f>SUM(D49:D52)</f>
        <v>205.88000000000002</v>
      </c>
      <c r="E53" s="27">
        <f>SUM(E49:E52)</f>
        <v>267.74</v>
      </c>
      <c r="F53" s="27">
        <f>SUM(F49:F52)</f>
        <v>149</v>
      </c>
      <c r="G53" s="27">
        <f>SUM(G49:G52)</f>
        <v>225.05</v>
      </c>
    </row>
    <row r="54" spans="1:7" ht="15.75">
      <c r="A54" s="25"/>
      <c r="B54" s="25"/>
      <c r="C54" s="26"/>
      <c r="D54" s="26"/>
      <c r="E54" s="27"/>
      <c r="F54" s="25"/>
      <c r="G54" s="25"/>
    </row>
    <row r="55" spans="1:7" ht="15.75">
      <c r="A55" s="25">
        <v>572192</v>
      </c>
      <c r="B55" s="25" t="s">
        <v>22</v>
      </c>
      <c r="C55" s="26">
        <v>30</v>
      </c>
      <c r="D55" s="26">
        <v>30</v>
      </c>
      <c r="E55" s="27">
        <v>30</v>
      </c>
      <c r="F55" s="25">
        <v>15</v>
      </c>
      <c r="G55" s="25">
        <v>15</v>
      </c>
    </row>
    <row r="56" spans="1:7" ht="15.75">
      <c r="A56" s="25">
        <v>57211</v>
      </c>
      <c r="B56" s="25" t="s">
        <v>218</v>
      </c>
      <c r="C56" s="26">
        <v>23</v>
      </c>
      <c r="D56" s="26">
        <v>23</v>
      </c>
      <c r="E56" s="27">
        <f>E19*19.04%</f>
        <v>11.424</v>
      </c>
      <c r="F56" s="25"/>
      <c r="G56" s="25"/>
    </row>
    <row r="57" spans="1:7" ht="15.75">
      <c r="A57" s="25">
        <v>57</v>
      </c>
      <c r="B57" s="25" t="s">
        <v>83</v>
      </c>
      <c r="C57" s="26">
        <f>SUM(C55:C56)</f>
        <v>53</v>
      </c>
      <c r="D57" s="26">
        <f>SUM(D55:D56)</f>
        <v>53</v>
      </c>
      <c r="E57" s="27">
        <f>SUM(E55:E56)</f>
        <v>41.424</v>
      </c>
      <c r="F57" s="27">
        <f>SUM(F55:F56)</f>
        <v>15</v>
      </c>
      <c r="G57" s="27">
        <f>SUM(G55:G56)</f>
        <v>15</v>
      </c>
    </row>
    <row r="58" spans="1:7" ht="15.75">
      <c r="A58" s="25"/>
      <c r="B58" s="25"/>
      <c r="C58" s="26"/>
      <c r="D58" s="26"/>
      <c r="E58" s="27"/>
      <c r="F58" s="25"/>
      <c r="G58" s="25"/>
    </row>
    <row r="59" spans="1:7" ht="15.75">
      <c r="A59" s="28"/>
      <c r="B59" s="25" t="s">
        <v>29</v>
      </c>
      <c r="C59" s="26">
        <f>SUM(C57,C53,C47,C35)</f>
        <v>804</v>
      </c>
      <c r="D59" s="26">
        <f>SUM(D57,D53,D47,D35)</f>
        <v>900.88</v>
      </c>
      <c r="E59" s="27">
        <f>SUM(E57,E53,E47,E35)</f>
        <v>1166.164</v>
      </c>
      <c r="F59" s="27">
        <f>SUM(F57,F53,F47,F35)</f>
        <v>612</v>
      </c>
      <c r="G59" s="27">
        <f>SUM(G57,G53,G47,G35)</f>
        <v>1050.05</v>
      </c>
    </row>
    <row r="60" spans="1:7" ht="15.75">
      <c r="A60" s="28"/>
      <c r="B60" s="25"/>
      <c r="C60" s="26"/>
      <c r="D60" s="26"/>
      <c r="E60" s="27"/>
      <c r="F60" s="25"/>
      <c r="G60" s="25"/>
    </row>
    <row r="61" spans="1:7" ht="16.5" thickBot="1">
      <c r="A61" s="10"/>
      <c r="B61" s="136" t="s">
        <v>0</v>
      </c>
      <c r="C61" s="355">
        <f>SUM(C59,C29,C24,C8)</f>
        <v>3903</v>
      </c>
      <c r="D61" s="355">
        <f>SUM(D59,D29,D24,D8)</f>
        <v>3852.54</v>
      </c>
      <c r="E61" s="27">
        <f>SUM(E59,E29,E24,E8)</f>
        <v>4931.8896</v>
      </c>
      <c r="F61" s="27">
        <f>SUM(F59,F29,F24,F8)</f>
        <v>752</v>
      </c>
      <c r="G61" s="27">
        <f>SUM(G59,G29,G24,G8)</f>
        <v>4333.85</v>
      </c>
    </row>
    <row r="62" ht="16.5" thickTop="1"/>
  </sheetData>
  <sheetProtection/>
  <printOptions/>
  <pageMargins left="0.7" right="0.7" top="0.75" bottom="0.75" header="0.3" footer="0.3"/>
  <pageSetup horizontalDpi="300" verticalDpi="30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2:F41"/>
  <sheetViews>
    <sheetView view="pageBreakPreview" zoomScale="60" zoomScalePageLayoutView="0" workbookViewId="0" topLeftCell="A1">
      <selection activeCell="F28" sqref="F28"/>
    </sheetView>
  </sheetViews>
  <sheetFormatPr defaultColWidth="8.66015625" defaultRowHeight="18"/>
  <cols>
    <col min="1" max="1" width="8.91015625" style="205" customWidth="1"/>
    <col min="2" max="2" width="34.25" style="205" bestFit="1" customWidth="1"/>
    <col min="3" max="3" width="10.25" style="205" customWidth="1"/>
    <col min="4" max="4" width="10.33203125" style="205" customWidth="1"/>
    <col min="5" max="16384" width="8.91015625" style="205" customWidth="1"/>
  </cols>
  <sheetData>
    <row r="2" spans="1:6" ht="15">
      <c r="A2" s="243">
        <v>889921</v>
      </c>
      <c r="B2" s="243" t="s">
        <v>282</v>
      </c>
      <c r="C2" s="245" t="s">
        <v>266</v>
      </c>
      <c r="D2" s="432" t="s">
        <v>651</v>
      </c>
      <c r="E2" s="238" t="s">
        <v>743</v>
      </c>
      <c r="F2" s="238" t="s">
        <v>653</v>
      </c>
    </row>
    <row r="3" spans="1:6" ht="15">
      <c r="A3" s="243"/>
      <c r="B3" s="243"/>
      <c r="C3" s="243"/>
      <c r="D3" s="238"/>
      <c r="E3" s="238"/>
      <c r="F3" s="238"/>
    </row>
    <row r="4" spans="1:6" ht="15">
      <c r="A4" s="238"/>
      <c r="B4" s="238"/>
      <c r="C4" s="238"/>
      <c r="D4" s="238"/>
      <c r="E4" s="238"/>
      <c r="F4" s="238"/>
    </row>
    <row r="5" spans="1:6" ht="15">
      <c r="A5" s="238">
        <v>5412</v>
      </c>
      <c r="B5" s="238" t="s">
        <v>498</v>
      </c>
      <c r="C5" s="238">
        <v>1339</v>
      </c>
      <c r="D5" s="238"/>
      <c r="E5" s="238"/>
      <c r="F5" s="238"/>
    </row>
    <row r="6" spans="1:6" ht="15">
      <c r="A6" s="240">
        <v>54</v>
      </c>
      <c r="B6" s="240" t="s">
        <v>363</v>
      </c>
      <c r="C6" s="240"/>
      <c r="D6" s="238">
        <v>1250</v>
      </c>
      <c r="E6" s="238"/>
      <c r="F6" s="241">
        <f>(C33+C38)/1000</f>
        <v>980.4</v>
      </c>
    </row>
    <row r="7" spans="1:6" ht="15">
      <c r="A7" s="240"/>
      <c r="B7" s="240"/>
      <c r="C7" s="240"/>
      <c r="D7" s="238"/>
      <c r="E7" s="238"/>
      <c r="F7" s="241"/>
    </row>
    <row r="8" spans="1:6" ht="15">
      <c r="A8" s="244">
        <v>56121</v>
      </c>
      <c r="B8" s="244" t="s">
        <v>362</v>
      </c>
      <c r="C8" s="244">
        <v>362</v>
      </c>
      <c r="D8" s="238"/>
      <c r="E8" s="238"/>
      <c r="F8" s="241"/>
    </row>
    <row r="9" spans="1:6" ht="15">
      <c r="A9" s="240">
        <v>56</v>
      </c>
      <c r="B9" s="240" t="s">
        <v>361</v>
      </c>
      <c r="C9" s="240"/>
      <c r="D9" s="238">
        <v>337</v>
      </c>
      <c r="E9" s="238"/>
      <c r="F9" s="241">
        <f>F6*27%</f>
        <v>264.708</v>
      </c>
    </row>
    <row r="10" spans="1:6" ht="15">
      <c r="A10" s="240"/>
      <c r="B10" s="240"/>
      <c r="C10" s="240"/>
      <c r="D10" s="238"/>
      <c r="E10" s="238"/>
      <c r="F10" s="238"/>
    </row>
    <row r="11" spans="1:6" ht="15">
      <c r="A11" s="243"/>
      <c r="B11" s="243" t="s">
        <v>0</v>
      </c>
      <c r="C11" s="243">
        <f>SUM(C5:C10)</f>
        <v>1701</v>
      </c>
      <c r="D11" s="242">
        <f>D6+D9</f>
        <v>1587</v>
      </c>
      <c r="E11" s="242">
        <f>E6+E9</f>
        <v>0</v>
      </c>
      <c r="F11" s="242">
        <f>F6+F9</f>
        <v>1245.108</v>
      </c>
    </row>
    <row r="12" spans="1:6" ht="15">
      <c r="A12" s="238"/>
      <c r="B12" s="238"/>
      <c r="C12" s="238"/>
      <c r="D12" s="238"/>
      <c r="E12" s="238"/>
      <c r="F12" s="238"/>
    </row>
    <row r="13" spans="1:6" ht="15">
      <c r="A13" s="238"/>
      <c r="B13" s="238"/>
      <c r="C13" s="238"/>
      <c r="D13" s="238"/>
      <c r="E13" s="238"/>
      <c r="F13" s="238"/>
    </row>
    <row r="14" spans="1:6" ht="15">
      <c r="A14" s="238">
        <v>91121</v>
      </c>
      <c r="B14" s="238" t="s">
        <v>360</v>
      </c>
      <c r="C14" s="238">
        <v>2328</v>
      </c>
      <c r="D14" s="238">
        <v>1429</v>
      </c>
      <c r="E14" s="238"/>
      <c r="F14" s="241">
        <f>(C22+C27)/1000</f>
        <v>1563.12</v>
      </c>
    </row>
    <row r="15" spans="1:6" ht="15">
      <c r="A15" s="238"/>
      <c r="B15" s="238"/>
      <c r="C15" s="238"/>
      <c r="D15" s="238"/>
      <c r="E15" s="238"/>
      <c r="F15" s="241"/>
    </row>
    <row r="16" spans="1:6" ht="15">
      <c r="A16" s="238">
        <v>919231</v>
      </c>
      <c r="B16" s="238" t="s">
        <v>359</v>
      </c>
      <c r="C16" s="238">
        <v>628</v>
      </c>
      <c r="D16" s="238">
        <v>386</v>
      </c>
      <c r="E16" s="238"/>
      <c r="F16" s="241">
        <f>F14*27%</f>
        <v>422.0424</v>
      </c>
    </row>
    <row r="17" spans="1:6" ht="15">
      <c r="A17" s="238"/>
      <c r="B17" s="238"/>
      <c r="C17" s="238"/>
      <c r="D17" s="238"/>
      <c r="E17" s="238"/>
      <c r="F17" s="238"/>
    </row>
    <row r="18" spans="1:6" ht="15">
      <c r="A18" s="240">
        <v>91</v>
      </c>
      <c r="B18" s="240" t="s">
        <v>358</v>
      </c>
      <c r="C18" s="240">
        <f>SUM(C14:C17)</f>
        <v>2956</v>
      </c>
      <c r="D18" s="239">
        <f>SUM(D14:D17)</f>
        <v>1815</v>
      </c>
      <c r="E18" s="239">
        <f>SUM(E14:E17)</f>
        <v>0</v>
      </c>
      <c r="F18" s="239">
        <f>SUM(F14:F17)</f>
        <v>1985.1624</v>
      </c>
    </row>
    <row r="19" spans="1:6" ht="15">
      <c r="A19" s="238"/>
      <c r="B19" s="238"/>
      <c r="C19" s="238"/>
      <c r="D19" s="238"/>
      <c r="E19" s="238"/>
      <c r="F19" s="238"/>
    </row>
    <row r="20" spans="4:5" ht="18.75">
      <c r="D20"/>
      <c r="E20"/>
    </row>
    <row r="21" ht="15">
      <c r="B21" s="205" t="s">
        <v>735</v>
      </c>
    </row>
    <row r="22" spans="2:4" ht="15">
      <c r="B22" s="205" t="s">
        <v>736</v>
      </c>
      <c r="C22" s="205">
        <f>12*40*579</f>
        <v>277920</v>
      </c>
      <c r="D22" s="205" t="s">
        <v>397</v>
      </c>
    </row>
    <row r="23" spans="2:3" ht="15">
      <c r="B23" s="205" t="s">
        <v>236</v>
      </c>
      <c r="C23" s="205">
        <f>C22*0.27</f>
        <v>75038.40000000001</v>
      </c>
    </row>
    <row r="24" spans="2:3" ht="15">
      <c r="B24" s="207" t="s">
        <v>100</v>
      </c>
      <c r="C24" s="206">
        <f>C22*1.27</f>
        <v>352958.4</v>
      </c>
    </row>
    <row r="26" ht="15">
      <c r="B26" s="205" t="s">
        <v>737</v>
      </c>
    </row>
    <row r="27" spans="2:4" ht="15">
      <c r="B27" s="205" t="s">
        <v>738</v>
      </c>
      <c r="C27" s="205">
        <f>12*180*595</f>
        <v>1285200</v>
      </c>
      <c r="D27" s="205" t="s">
        <v>397</v>
      </c>
    </row>
    <row r="28" spans="2:3" ht="15">
      <c r="B28" s="205" t="s">
        <v>236</v>
      </c>
      <c r="C28" s="205">
        <f>C27*0.27</f>
        <v>347004</v>
      </c>
    </row>
    <row r="29" spans="2:3" ht="15">
      <c r="B29" s="207" t="s">
        <v>100</v>
      </c>
      <c r="C29" s="205">
        <f>C27*1.27</f>
        <v>1632204</v>
      </c>
    </row>
    <row r="30" spans="2:4" ht="18.75">
      <c r="B30"/>
      <c r="C30"/>
      <c r="D30"/>
    </row>
    <row r="31" spans="2:4" ht="18.75">
      <c r="B31"/>
      <c r="C31"/>
      <c r="D31"/>
    </row>
    <row r="32" ht="15">
      <c r="B32" s="205" t="s">
        <v>739</v>
      </c>
    </row>
    <row r="33" spans="2:4" ht="15">
      <c r="B33" s="205" t="s">
        <v>740</v>
      </c>
      <c r="C33" s="205">
        <f>12*40*355</f>
        <v>170400</v>
      </c>
      <c r="D33" s="205" t="s">
        <v>397</v>
      </c>
    </row>
    <row r="34" spans="2:3" ht="15">
      <c r="B34" s="205" t="s">
        <v>236</v>
      </c>
      <c r="C34" s="206">
        <f>C33*0.27</f>
        <v>46008</v>
      </c>
    </row>
    <row r="35" spans="2:3" ht="15">
      <c r="B35" s="207" t="s">
        <v>100</v>
      </c>
      <c r="C35" s="206">
        <f>C33*1.27</f>
        <v>216408</v>
      </c>
    </row>
    <row r="36" spans="2:4" ht="18.75">
      <c r="B36"/>
      <c r="C36"/>
      <c r="D36"/>
    </row>
    <row r="37" ht="15">
      <c r="B37" s="205" t="s">
        <v>741</v>
      </c>
    </row>
    <row r="38" spans="2:4" ht="15">
      <c r="B38" s="205" t="s">
        <v>742</v>
      </c>
      <c r="C38" s="205">
        <f>12*180*375</f>
        <v>810000</v>
      </c>
      <c r="D38" s="205" t="s">
        <v>397</v>
      </c>
    </row>
    <row r="39" spans="2:3" ht="15">
      <c r="B39" s="205" t="s">
        <v>236</v>
      </c>
      <c r="C39" s="206">
        <f>C38*0.27</f>
        <v>218700</v>
      </c>
    </row>
    <row r="40" spans="2:3" ht="15">
      <c r="B40" s="207" t="s">
        <v>100</v>
      </c>
      <c r="C40" s="206">
        <f>C38*1.27</f>
        <v>1028700</v>
      </c>
    </row>
    <row r="41" spans="2:3" ht="18.75">
      <c r="B41"/>
      <c r="C41"/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view="pageBreakPreview" zoomScale="60" zoomScalePageLayoutView="0" workbookViewId="0" topLeftCell="A1">
      <selection activeCell="H9" sqref="H9"/>
    </sheetView>
  </sheetViews>
  <sheetFormatPr defaultColWidth="8.66015625" defaultRowHeight="18"/>
  <cols>
    <col min="1" max="1" width="8.91015625" style="21" customWidth="1"/>
    <col min="2" max="2" width="45.58203125" style="21" customWidth="1"/>
    <col min="3" max="3" width="6.75" style="21" customWidth="1"/>
    <col min="4" max="4" width="8" style="3" customWidth="1"/>
    <col min="5" max="5" width="8.33203125" style="21" customWidth="1"/>
    <col min="6" max="16384" width="8.91015625" style="21" customWidth="1"/>
  </cols>
  <sheetData>
    <row r="2" spans="1:4" ht="19.5" thickBot="1">
      <c r="A2" s="3">
        <v>889924</v>
      </c>
      <c r="B2" s="140" t="s">
        <v>208</v>
      </c>
      <c r="C2" s="23"/>
      <c r="D2" s="9"/>
    </row>
    <row r="3" spans="1:7" ht="36.75" customHeight="1">
      <c r="A3" s="23"/>
      <c r="B3" s="9"/>
      <c r="C3" s="124" t="s">
        <v>269</v>
      </c>
      <c r="D3" s="138" t="s">
        <v>285</v>
      </c>
      <c r="E3" s="335" t="s">
        <v>651</v>
      </c>
      <c r="F3" s="41" t="s">
        <v>663</v>
      </c>
      <c r="G3" s="41" t="s">
        <v>653</v>
      </c>
    </row>
    <row r="4" spans="1:7" ht="18.75">
      <c r="A4" s="34"/>
      <c r="B4" s="34"/>
      <c r="C4" s="141"/>
      <c r="D4" s="142"/>
      <c r="E4" s="34"/>
      <c r="F4" s="34"/>
      <c r="G4" s="34"/>
    </row>
    <row r="5" spans="1:7" ht="18.75">
      <c r="A5" s="591">
        <v>5531</v>
      </c>
      <c r="B5" s="592" t="s">
        <v>152</v>
      </c>
      <c r="C5" s="593">
        <v>834</v>
      </c>
      <c r="D5" s="594">
        <v>834</v>
      </c>
      <c r="E5" s="34"/>
      <c r="F5" s="34"/>
      <c r="G5" s="34"/>
    </row>
    <row r="6" spans="1:8" ht="36.75" customHeight="1">
      <c r="A6" s="591"/>
      <c r="B6" s="592"/>
      <c r="C6" s="593"/>
      <c r="D6" s="595"/>
      <c r="E6" s="34">
        <v>834</v>
      </c>
      <c r="F6" s="34">
        <v>558</v>
      </c>
      <c r="G6" s="34">
        <v>800</v>
      </c>
      <c r="H6" t="s">
        <v>810</v>
      </c>
    </row>
    <row r="7" spans="1:7" ht="18.75">
      <c r="A7" s="36">
        <v>55</v>
      </c>
      <c r="B7" s="36" t="s">
        <v>95</v>
      </c>
      <c r="C7" s="44">
        <f>SUM(C4:C6)</f>
        <v>834</v>
      </c>
      <c r="D7" s="43">
        <f>SUM(D4:D6)</f>
        <v>834</v>
      </c>
      <c r="E7" s="43">
        <f>SUM(E4:E6)</f>
        <v>834</v>
      </c>
      <c r="F7" s="43">
        <f>SUM(F4:F6)</f>
        <v>558</v>
      </c>
      <c r="G7" s="43">
        <f>SUM(G4:G6)</f>
        <v>800</v>
      </c>
    </row>
    <row r="8" spans="1:7" ht="18.75">
      <c r="A8" s="36"/>
      <c r="B8" s="36"/>
      <c r="C8" s="34"/>
      <c r="D8" s="36"/>
      <c r="E8" s="34"/>
      <c r="F8" s="34"/>
      <c r="G8" s="34"/>
    </row>
    <row r="9" spans="1:7" ht="18.75">
      <c r="A9" s="36"/>
      <c r="B9" s="36" t="s">
        <v>29</v>
      </c>
      <c r="C9" s="44">
        <f>SUM(C7,)</f>
        <v>834</v>
      </c>
      <c r="D9" s="44">
        <f>SUM(D7,)</f>
        <v>834</v>
      </c>
      <c r="E9" s="44">
        <f>SUM(E7,)</f>
        <v>834</v>
      </c>
      <c r="F9" s="44">
        <f>SUM(F7,)</f>
        <v>558</v>
      </c>
      <c r="G9" s="44">
        <f>SUM(G7,)</f>
        <v>800</v>
      </c>
    </row>
    <row r="10" spans="1:7" ht="18.75">
      <c r="A10" s="36"/>
      <c r="B10" s="36"/>
      <c r="C10" s="34"/>
      <c r="D10" s="36"/>
      <c r="E10" s="34"/>
      <c r="F10" s="34"/>
      <c r="G10" s="34"/>
    </row>
    <row r="11" spans="1:7" ht="18.75">
      <c r="A11" s="36"/>
      <c r="B11" s="36" t="s">
        <v>99</v>
      </c>
      <c r="C11" s="44">
        <f>SUM(C9,)</f>
        <v>834</v>
      </c>
      <c r="D11" s="44">
        <f>SUM(D9,)</f>
        <v>834</v>
      </c>
      <c r="E11" s="44">
        <f>SUM(E9,)</f>
        <v>834</v>
      </c>
      <c r="F11" s="44">
        <f>SUM(F9,)</f>
        <v>558</v>
      </c>
      <c r="G11" s="44">
        <f>SUM(G9,)</f>
        <v>800</v>
      </c>
    </row>
    <row r="12" spans="1:7" ht="18.75">
      <c r="A12" s="34"/>
      <c r="B12" s="34"/>
      <c r="C12" s="34"/>
      <c r="D12" s="36"/>
      <c r="E12" s="34"/>
      <c r="F12" s="34"/>
      <c r="G12" s="34"/>
    </row>
    <row r="13" spans="1:7" ht="18.75">
      <c r="A13" s="36"/>
      <c r="B13" s="36" t="s">
        <v>0</v>
      </c>
      <c r="C13" s="44">
        <f>SUM(C11)</f>
        <v>834</v>
      </c>
      <c r="D13" s="43">
        <f>SUM(D11)</f>
        <v>834</v>
      </c>
      <c r="E13" s="43">
        <f>SUM(E11)</f>
        <v>834</v>
      </c>
      <c r="F13" s="43">
        <f>SUM(F11)</f>
        <v>558</v>
      </c>
      <c r="G13" s="43">
        <f>SUM(G11)</f>
        <v>800</v>
      </c>
    </row>
    <row r="14" ht="18.75">
      <c r="D14" s="4"/>
    </row>
    <row r="21" spans="1:2" ht="18.75">
      <c r="A21" s="3"/>
      <c r="B21" s="3"/>
    </row>
    <row r="26" spans="1:2" ht="18.75">
      <c r="A26" s="3"/>
      <c r="B26" s="3"/>
    </row>
    <row r="32" spans="1:2" ht="18.75">
      <c r="A32" s="3"/>
      <c r="B32" s="3"/>
    </row>
    <row r="38" spans="1:2" ht="18.75">
      <c r="A38" s="3"/>
      <c r="B38" s="3"/>
    </row>
    <row r="42" spans="1:2" ht="18.75">
      <c r="A42" s="3"/>
      <c r="B42" s="3"/>
    </row>
    <row r="45" spans="1:2" ht="18.75">
      <c r="A45" s="3"/>
      <c r="B45" s="3"/>
    </row>
    <row r="46" spans="1:2" ht="18.75">
      <c r="A46" s="3"/>
      <c r="B46" s="3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2:J80"/>
  <sheetViews>
    <sheetView view="pageBreakPreview" zoomScale="6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8" sqref="H28:M31"/>
    </sheetView>
  </sheetViews>
  <sheetFormatPr defaultColWidth="8.66015625" defaultRowHeight="18"/>
  <cols>
    <col min="1" max="1" width="8.91015625" style="21" customWidth="1"/>
    <col min="2" max="2" width="45.58203125" style="21" customWidth="1"/>
    <col min="3" max="3" width="6.75" style="21" customWidth="1"/>
    <col min="4" max="4" width="8.25" style="21" customWidth="1"/>
    <col min="5" max="5" width="8.66015625" style="21" customWidth="1"/>
    <col min="6" max="16384" width="8.91015625" style="21" customWidth="1"/>
  </cols>
  <sheetData>
    <row r="2" spans="1:5" ht="18.75">
      <c r="A2" s="3">
        <v>889928</v>
      </c>
      <c r="B2" s="9" t="s">
        <v>209</v>
      </c>
      <c r="C2" s="23"/>
      <c r="D2" s="23"/>
      <c r="E2" s="52"/>
    </row>
    <row r="3" spans="1:7" ht="34.5" customHeight="1">
      <c r="A3" s="34"/>
      <c r="B3" s="36"/>
      <c r="C3" s="124" t="s">
        <v>290</v>
      </c>
      <c r="D3" s="335" t="s">
        <v>285</v>
      </c>
      <c r="E3" s="335" t="s">
        <v>651</v>
      </c>
      <c r="F3" s="41" t="s">
        <v>652</v>
      </c>
      <c r="G3" s="41" t="s">
        <v>653</v>
      </c>
    </row>
    <row r="4" spans="1:7" ht="24" customHeight="1">
      <c r="A4" s="34">
        <v>1325</v>
      </c>
      <c r="B4" s="36" t="s">
        <v>251</v>
      </c>
      <c r="C4" s="50">
        <v>3945</v>
      </c>
      <c r="D4" s="122"/>
      <c r="E4" s="50"/>
      <c r="F4" s="34"/>
      <c r="G4" s="34"/>
    </row>
    <row r="5" spans="1:7" ht="21" customHeight="1">
      <c r="A5" s="34"/>
      <c r="B5" s="36" t="s">
        <v>262</v>
      </c>
      <c r="C5" s="50">
        <v>1017</v>
      </c>
      <c r="D5" s="122"/>
      <c r="E5" s="50"/>
      <c r="F5" s="34"/>
      <c r="G5" s="34"/>
    </row>
    <row r="6" spans="1:7" ht="34.5" customHeight="1">
      <c r="A6" s="34"/>
      <c r="B6" s="36" t="s">
        <v>263</v>
      </c>
      <c r="C6" s="50">
        <f>SUM(C4:C5)</f>
        <v>4962</v>
      </c>
      <c r="D6" s="143">
        <f>SUM(D4:D5)</f>
        <v>0</v>
      </c>
      <c r="E6" s="50"/>
      <c r="F6" s="34"/>
      <c r="G6" s="34"/>
    </row>
    <row r="7" spans="1:7" ht="34.5" customHeight="1">
      <c r="A7" s="34"/>
      <c r="B7" s="36"/>
      <c r="C7" s="138"/>
      <c r="D7" s="84"/>
      <c r="E7" s="138"/>
      <c r="F7" s="34"/>
      <c r="G7" s="34"/>
    </row>
    <row r="8" spans="1:7" ht="18.75">
      <c r="A8" s="34">
        <v>511112</v>
      </c>
      <c r="B8" s="34" t="s">
        <v>67</v>
      </c>
      <c r="C8" s="36">
        <v>1287</v>
      </c>
      <c r="D8" s="34">
        <v>1368</v>
      </c>
      <c r="E8" s="36">
        <f>'[3]GEVSZ'!$P$13/1000</f>
        <v>1412</v>
      </c>
      <c r="F8" s="34"/>
      <c r="G8" s="34">
        <v>1464</v>
      </c>
    </row>
    <row r="9" spans="1:7" ht="18.75">
      <c r="A9" s="34"/>
      <c r="B9" s="34" t="s">
        <v>219</v>
      </c>
      <c r="C9" s="36"/>
      <c r="D9" s="34"/>
      <c r="E9" s="36">
        <v>15</v>
      </c>
      <c r="F9" s="34"/>
      <c r="G9" s="34">
        <v>29</v>
      </c>
    </row>
    <row r="10" spans="1:7" ht="18.75">
      <c r="A10" s="34">
        <v>511112</v>
      </c>
      <c r="B10" s="41" t="s">
        <v>800</v>
      </c>
      <c r="C10" s="36">
        <v>180</v>
      </c>
      <c r="D10" s="34">
        <v>180</v>
      </c>
      <c r="E10" s="36"/>
      <c r="F10" s="34"/>
      <c r="G10" s="34">
        <v>131</v>
      </c>
    </row>
    <row r="11" spans="1:7" ht="18.75">
      <c r="A11" s="34">
        <v>513192</v>
      </c>
      <c r="B11" s="34" t="s">
        <v>150</v>
      </c>
      <c r="C11" s="36">
        <v>10</v>
      </c>
      <c r="D11" s="34">
        <v>10</v>
      </c>
      <c r="E11" s="36"/>
      <c r="F11" s="34"/>
      <c r="G11" s="34"/>
    </row>
    <row r="12" spans="1:7" ht="18.75">
      <c r="A12" s="34"/>
      <c r="B12" s="41" t="s">
        <v>843</v>
      </c>
      <c r="C12" s="36">
        <v>150</v>
      </c>
      <c r="D12" s="34"/>
      <c r="E12" s="36"/>
      <c r="F12" s="34"/>
      <c r="G12" s="34">
        <v>133</v>
      </c>
    </row>
    <row r="13" spans="1:7" ht="18.75">
      <c r="A13" s="34">
        <v>512132</v>
      </c>
      <c r="B13" s="34" t="s">
        <v>132</v>
      </c>
      <c r="C13" s="36">
        <v>100</v>
      </c>
      <c r="D13" s="34">
        <v>100</v>
      </c>
      <c r="E13" s="36">
        <v>100</v>
      </c>
      <c r="F13" s="34"/>
      <c r="G13" s="34">
        <v>100</v>
      </c>
    </row>
    <row r="14" spans="1:7" ht="18.75">
      <c r="A14" s="34">
        <v>514142</v>
      </c>
      <c r="B14" s="41" t="s">
        <v>679</v>
      </c>
      <c r="C14" s="36">
        <v>120</v>
      </c>
      <c r="D14" s="34">
        <v>120</v>
      </c>
      <c r="E14" s="36">
        <v>120</v>
      </c>
      <c r="F14" s="34"/>
      <c r="G14" s="34">
        <v>150</v>
      </c>
    </row>
    <row r="15" spans="1:7" ht="18.75">
      <c r="A15" s="34"/>
      <c r="B15" s="34"/>
      <c r="C15" s="36"/>
      <c r="D15" s="34"/>
      <c r="E15" s="36"/>
      <c r="F15" s="34"/>
      <c r="G15" s="34"/>
    </row>
    <row r="16" spans="1:10" ht="18.75">
      <c r="A16" s="36">
        <v>51</v>
      </c>
      <c r="B16" s="36" t="s">
        <v>92</v>
      </c>
      <c r="C16" s="43">
        <f>SUM(C8:C15)</f>
        <v>1847</v>
      </c>
      <c r="D16" s="44">
        <f>SUM(D8:D15)</f>
        <v>1778</v>
      </c>
      <c r="E16" s="43">
        <f>SUM(E8:E15)</f>
        <v>1647</v>
      </c>
      <c r="F16" s="43">
        <f>SUM(F8:F15)</f>
        <v>0</v>
      </c>
      <c r="G16" s="43">
        <f>SUM(G8:G15)</f>
        <v>2007</v>
      </c>
      <c r="J16" s="21">
        <f>D8+D10+D11+D13</f>
        <v>1658</v>
      </c>
    </row>
    <row r="17" spans="1:7" ht="18.75">
      <c r="A17" s="34"/>
      <c r="B17" s="34"/>
      <c r="C17" s="36"/>
      <c r="D17" s="34"/>
      <c r="E17" s="36"/>
      <c r="F17" s="34"/>
      <c r="G17" s="34"/>
    </row>
    <row r="18" spans="1:8" ht="18.75">
      <c r="A18" s="34">
        <v>531125</v>
      </c>
      <c r="B18" s="34" t="s">
        <v>305</v>
      </c>
      <c r="C18" s="50"/>
      <c r="D18" s="122">
        <f>J16*27%</f>
        <v>447.66</v>
      </c>
      <c r="E18" s="50">
        <f>(E16-E14)*27%</f>
        <v>412.29</v>
      </c>
      <c r="F18" s="34"/>
      <c r="G18" s="122">
        <f>H18*27%+1</f>
        <v>502.39000000000004</v>
      </c>
      <c r="H18" s="20">
        <f>G16-G14</f>
        <v>1857</v>
      </c>
    </row>
    <row r="19" spans="1:7" ht="18.75">
      <c r="A19" s="34">
        <v>5331</v>
      </c>
      <c r="B19" s="34" t="s">
        <v>4</v>
      </c>
      <c r="C19" s="50"/>
      <c r="D19" s="122"/>
      <c r="E19" s="50">
        <f>E14*16.7%</f>
        <v>20.04</v>
      </c>
      <c r="F19" s="34"/>
      <c r="G19" s="34">
        <v>25</v>
      </c>
    </row>
    <row r="20" spans="1:7" ht="18.75">
      <c r="A20" s="34">
        <v>5341</v>
      </c>
      <c r="B20" s="41" t="s">
        <v>668</v>
      </c>
      <c r="C20" s="50"/>
      <c r="D20" s="122"/>
      <c r="E20" s="50"/>
      <c r="F20" s="34"/>
      <c r="G20" s="34">
        <v>29</v>
      </c>
    </row>
    <row r="21" spans="1:7" ht="18.75">
      <c r="A21" s="36">
        <v>53</v>
      </c>
      <c r="B21" s="36" t="s">
        <v>70</v>
      </c>
      <c r="C21" s="43">
        <v>460</v>
      </c>
      <c r="D21" s="44">
        <f>SUM(D18:D20)</f>
        <v>447.66</v>
      </c>
      <c r="E21" s="43">
        <f>SUM(E18:E20)</f>
        <v>432.33000000000004</v>
      </c>
      <c r="F21" s="43">
        <f>SUM(F18:F20)</f>
        <v>0</v>
      </c>
      <c r="G21" s="43">
        <f>SUM(G18:G20)</f>
        <v>556.3900000000001</v>
      </c>
    </row>
    <row r="22" spans="1:7" ht="18.75">
      <c r="A22" s="34"/>
      <c r="B22" s="34"/>
      <c r="C22" s="36"/>
      <c r="D22" s="34"/>
      <c r="E22" s="36"/>
      <c r="F22" s="34"/>
      <c r="G22" s="34"/>
    </row>
    <row r="23" spans="1:7" ht="18.75">
      <c r="A23" s="34">
        <v>5431</v>
      </c>
      <c r="B23" s="34" t="s">
        <v>133</v>
      </c>
      <c r="C23" s="36">
        <v>5</v>
      </c>
      <c r="D23" s="34">
        <v>5</v>
      </c>
      <c r="E23" s="36">
        <v>5</v>
      </c>
      <c r="F23" s="34">
        <v>3</v>
      </c>
      <c r="G23" s="34">
        <v>5</v>
      </c>
    </row>
    <row r="24" spans="1:7" ht="18.75">
      <c r="A24" s="34">
        <v>5461</v>
      </c>
      <c r="B24" s="34" t="s">
        <v>89</v>
      </c>
      <c r="C24" s="36">
        <v>750</v>
      </c>
      <c r="D24" s="34">
        <v>650</v>
      </c>
      <c r="E24" s="36">
        <v>700</v>
      </c>
      <c r="F24" s="34">
        <v>786</v>
      </c>
      <c r="G24" s="34">
        <v>800</v>
      </c>
    </row>
    <row r="25" spans="1:8" ht="18.75">
      <c r="A25" s="34">
        <v>54711</v>
      </c>
      <c r="B25" s="34" t="s">
        <v>204</v>
      </c>
      <c r="C25" s="36">
        <v>117</v>
      </c>
      <c r="D25" s="34">
        <v>30</v>
      </c>
      <c r="E25" s="36">
        <v>30</v>
      </c>
      <c r="F25" s="34">
        <v>24</v>
      </c>
      <c r="G25" s="34">
        <v>80</v>
      </c>
      <c r="H25" t="s">
        <v>811</v>
      </c>
    </row>
    <row r="26" spans="1:7" ht="18.75">
      <c r="A26" s="34">
        <v>5481</v>
      </c>
      <c r="B26" s="34" t="s">
        <v>128</v>
      </c>
      <c r="C26" s="36">
        <v>40</v>
      </c>
      <c r="D26" s="34">
        <v>40</v>
      </c>
      <c r="E26" s="36">
        <v>40</v>
      </c>
      <c r="F26" s="34">
        <v>40</v>
      </c>
      <c r="G26" s="34">
        <v>40</v>
      </c>
    </row>
    <row r="27" spans="1:7" ht="18.75">
      <c r="A27" s="34">
        <v>54913</v>
      </c>
      <c r="B27" s="34" t="s">
        <v>98</v>
      </c>
      <c r="C27" s="36">
        <v>5</v>
      </c>
      <c r="D27" s="34">
        <v>10</v>
      </c>
      <c r="E27" s="36">
        <v>10</v>
      </c>
      <c r="F27" s="34"/>
      <c r="G27" s="34"/>
    </row>
    <row r="28" spans="1:7" ht="18.75">
      <c r="A28" s="36">
        <v>54</v>
      </c>
      <c r="B28" s="36" t="s">
        <v>93</v>
      </c>
      <c r="C28" s="43">
        <f>SUM(C23:C27)</f>
        <v>917</v>
      </c>
      <c r="D28" s="44">
        <f>SUM(D23:D27)</f>
        <v>735</v>
      </c>
      <c r="E28" s="43">
        <f>SUM(E23:E27)</f>
        <v>785</v>
      </c>
      <c r="F28" s="43">
        <f>SUM(F23:F27)</f>
        <v>853</v>
      </c>
      <c r="G28" s="43">
        <f>SUM(G23:G27)</f>
        <v>925</v>
      </c>
    </row>
    <row r="29" spans="1:7" ht="18.75">
      <c r="A29" s="34"/>
      <c r="B29" s="34"/>
      <c r="C29" s="36"/>
      <c r="D29" s="34"/>
      <c r="E29" s="36"/>
      <c r="F29" s="34"/>
      <c r="G29" s="34"/>
    </row>
    <row r="30" spans="1:7" ht="18.75">
      <c r="A30" s="34">
        <v>55111</v>
      </c>
      <c r="B30" s="34" t="s">
        <v>96</v>
      </c>
      <c r="C30" s="36">
        <v>60</v>
      </c>
      <c r="D30" s="34">
        <v>60</v>
      </c>
      <c r="E30" s="36">
        <v>100</v>
      </c>
      <c r="F30" s="34">
        <v>85</v>
      </c>
      <c r="G30" s="34">
        <v>85</v>
      </c>
    </row>
    <row r="31" spans="1:7" ht="18.75">
      <c r="A31" s="34">
        <v>552183</v>
      </c>
      <c r="B31" s="34" t="s">
        <v>94</v>
      </c>
      <c r="C31" s="36">
        <v>100</v>
      </c>
      <c r="D31" s="34">
        <v>100</v>
      </c>
      <c r="E31" s="36">
        <v>210</v>
      </c>
      <c r="F31" s="34">
        <v>204</v>
      </c>
      <c r="G31" s="34">
        <v>210</v>
      </c>
    </row>
    <row r="32" spans="1:7" ht="18.75">
      <c r="A32" s="34">
        <v>55213</v>
      </c>
      <c r="B32" s="34" t="s">
        <v>184</v>
      </c>
      <c r="C32" s="36">
        <v>100</v>
      </c>
      <c r="D32" s="34"/>
      <c r="E32" s="36"/>
      <c r="F32" s="34"/>
      <c r="G32" s="34"/>
    </row>
    <row r="33" spans="1:7" ht="18.75">
      <c r="A33" s="36">
        <v>55</v>
      </c>
      <c r="B33" s="36" t="s">
        <v>95</v>
      </c>
      <c r="C33" s="43">
        <f>SUM(C30:C32)</f>
        <v>260</v>
      </c>
      <c r="D33" s="44">
        <f>SUM(D30:D32)</f>
        <v>160</v>
      </c>
      <c r="E33" s="43">
        <f>SUM(E30:E32)</f>
        <v>310</v>
      </c>
      <c r="F33" s="43">
        <f>SUM(F30:F32)</f>
        <v>289</v>
      </c>
      <c r="G33" s="43">
        <f>SUM(G30:G32)</f>
        <v>295</v>
      </c>
    </row>
    <row r="34" spans="1:7" ht="18.75">
      <c r="A34" s="36"/>
      <c r="B34" s="36"/>
      <c r="C34" s="36"/>
      <c r="D34" s="34"/>
      <c r="E34" s="36"/>
      <c r="F34" s="34"/>
      <c r="G34" s="34"/>
    </row>
    <row r="35" spans="1:8" ht="18.75">
      <c r="A35" s="34">
        <v>56111</v>
      </c>
      <c r="B35" s="34" t="s">
        <v>60</v>
      </c>
      <c r="C35" s="122">
        <f>(C28+C30+C31+C32)*0.27</f>
        <v>317.79</v>
      </c>
      <c r="D35" s="122">
        <f>(D28+D30+D31+D32)*0.27</f>
        <v>241.65</v>
      </c>
      <c r="E35" s="122">
        <f>(E28+E30+E31+E32)*0.27</f>
        <v>295.65000000000003</v>
      </c>
      <c r="F35" s="34">
        <v>308</v>
      </c>
      <c r="G35" s="122">
        <f>H35*27%+1</f>
        <v>330.40000000000003</v>
      </c>
      <c r="H35" s="20">
        <f>G33+G28</f>
        <v>1220</v>
      </c>
    </row>
    <row r="36" spans="1:7" ht="18.75">
      <c r="A36" s="34">
        <v>56211</v>
      </c>
      <c r="B36" s="34" t="s">
        <v>18</v>
      </c>
      <c r="C36" s="36">
        <v>10</v>
      </c>
      <c r="D36" s="34">
        <v>31</v>
      </c>
      <c r="E36" s="36">
        <v>20</v>
      </c>
      <c r="F36" s="34"/>
      <c r="G36" s="34"/>
    </row>
    <row r="37" spans="1:7" ht="18.75">
      <c r="A37" s="36">
        <v>56</v>
      </c>
      <c r="B37" s="36" t="s">
        <v>20</v>
      </c>
      <c r="C37" s="43">
        <f>SUM(C35:C36)</f>
        <v>327.79</v>
      </c>
      <c r="D37" s="44">
        <f>SUM(D35:D36)</f>
        <v>272.65</v>
      </c>
      <c r="E37" s="43">
        <f>SUM(E35:E36)</f>
        <v>315.65000000000003</v>
      </c>
      <c r="F37" s="43">
        <f>SUM(F35:F36)</f>
        <v>308</v>
      </c>
      <c r="G37" s="43">
        <f>SUM(G35:G36)</f>
        <v>330.40000000000003</v>
      </c>
    </row>
    <row r="38" spans="1:7" ht="18.75">
      <c r="A38" s="34"/>
      <c r="B38" s="34"/>
      <c r="C38" s="36"/>
      <c r="D38" s="34"/>
      <c r="E38" s="36"/>
      <c r="F38" s="34"/>
      <c r="G38" s="34"/>
    </row>
    <row r="39" spans="1:7" ht="18.75">
      <c r="A39" s="34">
        <v>572192</v>
      </c>
      <c r="B39" s="34" t="s">
        <v>97</v>
      </c>
      <c r="C39" s="36">
        <v>300</v>
      </c>
      <c r="D39" s="34">
        <v>250</v>
      </c>
      <c r="E39" s="36">
        <f>77+93</f>
        <v>170</v>
      </c>
      <c r="F39" s="34">
        <v>87</v>
      </c>
      <c r="G39" s="34">
        <v>100</v>
      </c>
    </row>
    <row r="40" spans="1:7" ht="18.75">
      <c r="A40" s="34">
        <v>57211</v>
      </c>
      <c r="B40" s="34" t="s">
        <v>217</v>
      </c>
      <c r="C40" s="36">
        <v>23</v>
      </c>
      <c r="D40" s="34">
        <v>23</v>
      </c>
      <c r="E40" s="50">
        <f>E14*19.04%</f>
        <v>22.848</v>
      </c>
      <c r="F40" s="34"/>
      <c r="G40" s="34"/>
    </row>
    <row r="41" spans="1:7" ht="18.75">
      <c r="A41" s="36">
        <v>57</v>
      </c>
      <c r="B41" s="36" t="s">
        <v>83</v>
      </c>
      <c r="C41" s="43">
        <f>SUM(C39:C40)</f>
        <v>323</v>
      </c>
      <c r="D41" s="44">
        <f>SUM(D39:D40)</f>
        <v>273</v>
      </c>
      <c r="E41" s="43">
        <f>SUM(E39:E40)</f>
        <v>192.848</v>
      </c>
      <c r="F41" s="43">
        <f>SUM(F39:F40)</f>
        <v>87</v>
      </c>
      <c r="G41" s="43">
        <f>SUM(G39:G40)</f>
        <v>100</v>
      </c>
    </row>
    <row r="42" spans="1:7" ht="18.75">
      <c r="A42" s="36"/>
      <c r="B42" s="36"/>
      <c r="C42" s="36"/>
      <c r="D42" s="34"/>
      <c r="E42" s="36"/>
      <c r="F42" s="34"/>
      <c r="G42" s="34"/>
    </row>
    <row r="43" spans="1:7" ht="18.75">
      <c r="A43" s="36"/>
      <c r="B43" s="36" t="s">
        <v>29</v>
      </c>
      <c r="C43" s="43">
        <f>SUM(C41,C37,C33,C28)</f>
        <v>1827.79</v>
      </c>
      <c r="D43" s="44">
        <f>SUM(D41,D37,D33,D28)</f>
        <v>1440.65</v>
      </c>
      <c r="E43" s="43">
        <f>SUM(E41,E37,E33,E28)</f>
        <v>1603.498</v>
      </c>
      <c r="F43" s="43">
        <f>SUM(F41,F37,F33,F28)</f>
        <v>1537</v>
      </c>
      <c r="G43" s="43">
        <f>SUM(G41,G37,G33,G28)</f>
        <v>1650.4</v>
      </c>
    </row>
    <row r="44" spans="1:7" ht="18.75">
      <c r="A44" s="36"/>
      <c r="B44" s="36"/>
      <c r="C44" s="36"/>
      <c r="D44" s="34"/>
      <c r="E44" s="36"/>
      <c r="F44" s="34"/>
      <c r="G44" s="34"/>
    </row>
    <row r="45" spans="1:7" ht="18.75">
      <c r="A45" s="36"/>
      <c r="B45" s="36" t="s">
        <v>99</v>
      </c>
      <c r="C45" s="43">
        <f>SUM(C43,C21,C16)</f>
        <v>4134.79</v>
      </c>
      <c r="D45" s="44">
        <f>SUM(D43,D21,D16)</f>
        <v>3666.3100000000004</v>
      </c>
      <c r="E45" s="43">
        <f>SUM(E43,E21,E16)</f>
        <v>3682.828</v>
      </c>
      <c r="F45" s="43">
        <f>SUM(F43,F21,F16)</f>
        <v>1537</v>
      </c>
      <c r="G45" s="43">
        <f>SUM(G43,G21,G16)</f>
        <v>4213.79</v>
      </c>
    </row>
    <row r="46" spans="1:7" ht="18.75">
      <c r="A46" s="34"/>
      <c r="B46" s="34"/>
      <c r="C46" s="36"/>
      <c r="D46" s="34"/>
      <c r="E46" s="36"/>
      <c r="F46" s="34"/>
      <c r="G46" s="34"/>
    </row>
    <row r="47" spans="1:7" ht="18.75">
      <c r="A47" s="36"/>
      <c r="B47" s="36" t="s">
        <v>0</v>
      </c>
      <c r="C47" s="43">
        <f>SUM(C45+C6)</f>
        <v>9096.79</v>
      </c>
      <c r="D47" s="44">
        <f>SUM(D45+D6)</f>
        <v>3666.3100000000004</v>
      </c>
      <c r="E47" s="43">
        <f>SUM(E45+E6)</f>
        <v>3682.828</v>
      </c>
      <c r="F47" s="43">
        <f>SUM(F45+F6)</f>
        <v>1537</v>
      </c>
      <c r="G47" s="43">
        <f>SUM(G45+G6)</f>
        <v>4213.79</v>
      </c>
    </row>
    <row r="48" ht="18.75">
      <c r="D48" s="20"/>
    </row>
    <row r="55" spans="1:2" ht="18.75">
      <c r="A55" s="3"/>
      <c r="B55" s="3"/>
    </row>
    <row r="60" spans="1:2" ht="18.75">
      <c r="A60" s="3"/>
      <c r="B60" s="3"/>
    </row>
    <row r="66" spans="1:2" ht="18.75">
      <c r="A66" s="3"/>
      <c r="B66" s="3"/>
    </row>
    <row r="72" spans="1:2" ht="18.75">
      <c r="A72" s="3"/>
      <c r="B72" s="3"/>
    </row>
    <row r="76" spans="1:2" ht="18.75">
      <c r="A76" s="3"/>
      <c r="B76" s="3"/>
    </row>
    <row r="79" spans="1:2" ht="18.75">
      <c r="A79" s="3"/>
      <c r="B79" s="3"/>
    </row>
    <row r="80" spans="1:2" ht="18.75">
      <c r="A80" s="3"/>
      <c r="B80" s="3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2:H24"/>
  <sheetViews>
    <sheetView view="pageBreakPreview" zoomScale="60" zoomScalePageLayoutView="0" workbookViewId="0" topLeftCell="A1">
      <selection activeCell="G12" sqref="G12:H12"/>
    </sheetView>
  </sheetViews>
  <sheetFormatPr defaultColWidth="8.66015625" defaultRowHeight="18"/>
  <cols>
    <col min="1" max="1" width="8.91015625" style="11" customWidth="1"/>
    <col min="2" max="2" width="39.08203125" style="11" customWidth="1"/>
    <col min="3" max="3" width="10.25" style="11" customWidth="1"/>
    <col min="4" max="4" width="6.25" style="18" customWidth="1"/>
    <col min="5" max="16384" width="8.91015625" style="11" customWidth="1"/>
  </cols>
  <sheetData>
    <row r="2" spans="1:7" ht="31.5" customHeight="1">
      <c r="A2" s="25">
        <v>890301</v>
      </c>
      <c r="B2" s="28" t="s">
        <v>213</v>
      </c>
      <c r="C2" s="433" t="s">
        <v>266</v>
      </c>
      <c r="D2" s="434" t="s">
        <v>285</v>
      </c>
      <c r="E2" s="411" t="s">
        <v>651</v>
      </c>
      <c r="F2" s="25" t="s">
        <v>663</v>
      </c>
      <c r="G2" s="25" t="s">
        <v>653</v>
      </c>
    </row>
    <row r="3" spans="1:7" ht="15">
      <c r="A3" s="25"/>
      <c r="B3" s="25"/>
      <c r="C3" s="25"/>
      <c r="D3" s="30"/>
      <c r="E3" s="25"/>
      <c r="F3" s="25"/>
      <c r="G3" s="25"/>
    </row>
    <row r="4" spans="1:8" ht="15">
      <c r="A4" s="197">
        <v>38115</v>
      </c>
      <c r="B4" s="176" t="s">
        <v>108</v>
      </c>
      <c r="C4" s="100">
        <v>460</v>
      </c>
      <c r="D4" s="100">
        <v>460</v>
      </c>
      <c r="E4" s="176">
        <v>1037</v>
      </c>
      <c r="F4" s="25">
        <v>1012</v>
      </c>
      <c r="G4" s="25">
        <v>750</v>
      </c>
      <c r="H4" s="30">
        <f>támogatás!D25</f>
        <v>1020</v>
      </c>
    </row>
    <row r="5" spans="1:8" s="12" customFormat="1" ht="15.75">
      <c r="A5" s="197"/>
      <c r="B5" s="197" t="s">
        <v>146</v>
      </c>
      <c r="C5" s="176">
        <f aca="true" t="shared" si="0" ref="C5:H5">SUM(C3:C4)</f>
        <v>460</v>
      </c>
      <c r="D5" s="100">
        <f t="shared" si="0"/>
        <v>460</v>
      </c>
      <c r="E5" s="100">
        <f t="shared" si="0"/>
        <v>1037</v>
      </c>
      <c r="F5" s="100">
        <f t="shared" si="0"/>
        <v>1012</v>
      </c>
      <c r="G5" s="100">
        <f t="shared" si="0"/>
        <v>750</v>
      </c>
      <c r="H5" s="100">
        <f t="shared" si="0"/>
        <v>1020</v>
      </c>
    </row>
    <row r="6" spans="1:7" s="12" customFormat="1" ht="15.75">
      <c r="A6" s="197"/>
      <c r="B6" s="197"/>
      <c r="C6" s="176"/>
      <c r="D6" s="100"/>
      <c r="E6" s="197"/>
      <c r="F6" s="28"/>
      <c r="G6" s="28"/>
    </row>
    <row r="7" spans="1:7" s="12" customFormat="1" ht="15.75">
      <c r="A7" s="197"/>
      <c r="B7" s="197"/>
      <c r="C7" s="176"/>
      <c r="D7" s="100"/>
      <c r="E7" s="197"/>
      <c r="F7" s="28"/>
      <c r="G7" s="28"/>
    </row>
    <row r="8" spans="1:8" ht="15">
      <c r="A8" s="197"/>
      <c r="B8" s="197" t="s">
        <v>29</v>
      </c>
      <c r="C8" s="100">
        <f aca="true" t="shared" si="1" ref="C8:H8">SUM(C5)</f>
        <v>460</v>
      </c>
      <c r="D8" s="100">
        <f t="shared" si="1"/>
        <v>460</v>
      </c>
      <c r="E8" s="100">
        <f t="shared" si="1"/>
        <v>1037</v>
      </c>
      <c r="F8" s="100">
        <f t="shared" si="1"/>
        <v>1012</v>
      </c>
      <c r="G8" s="100">
        <f t="shared" si="1"/>
        <v>750</v>
      </c>
      <c r="H8" s="100">
        <f t="shared" si="1"/>
        <v>1020</v>
      </c>
    </row>
    <row r="9" spans="1:7" ht="15">
      <c r="A9" s="197"/>
      <c r="B9" s="197"/>
      <c r="C9" s="176"/>
      <c r="D9" s="100"/>
      <c r="E9" s="176"/>
      <c r="F9" s="25"/>
      <c r="G9" s="25"/>
    </row>
    <row r="10" spans="1:8" ht="15">
      <c r="A10" s="197"/>
      <c r="B10" s="197" t="s">
        <v>112</v>
      </c>
      <c r="C10" s="100">
        <f aca="true" t="shared" si="2" ref="C10:H10">SUM(C8,)</f>
        <v>460</v>
      </c>
      <c r="D10" s="100">
        <f t="shared" si="2"/>
        <v>460</v>
      </c>
      <c r="E10" s="100">
        <f t="shared" si="2"/>
        <v>1037</v>
      </c>
      <c r="F10" s="100">
        <f t="shared" si="2"/>
        <v>1012</v>
      </c>
      <c r="G10" s="100">
        <f t="shared" si="2"/>
        <v>750</v>
      </c>
      <c r="H10" s="100">
        <f t="shared" si="2"/>
        <v>1020</v>
      </c>
    </row>
    <row r="11" spans="1:7" ht="15">
      <c r="A11" s="176"/>
      <c r="B11" s="176"/>
      <c r="C11" s="176"/>
      <c r="D11" s="100"/>
      <c r="E11" s="176"/>
      <c r="F11" s="25"/>
      <c r="G11" s="25"/>
    </row>
    <row r="12" spans="1:8" s="12" customFormat="1" ht="15.75">
      <c r="A12" s="197"/>
      <c r="B12" s="197" t="s">
        <v>109</v>
      </c>
      <c r="C12" s="100">
        <f aca="true" t="shared" si="3" ref="C12:H12">SUM(C10)</f>
        <v>460</v>
      </c>
      <c r="D12" s="100">
        <f t="shared" si="3"/>
        <v>460</v>
      </c>
      <c r="E12" s="100">
        <f t="shared" si="3"/>
        <v>1037</v>
      </c>
      <c r="F12" s="100">
        <f t="shared" si="3"/>
        <v>1012</v>
      </c>
      <c r="G12" s="100">
        <f t="shared" si="3"/>
        <v>750</v>
      </c>
      <c r="H12" s="100">
        <f t="shared" si="3"/>
        <v>1020</v>
      </c>
    </row>
    <row r="22" ht="15.75">
      <c r="C22" s="12"/>
    </row>
    <row r="24" spans="1:2" ht="15.75">
      <c r="A24" s="12"/>
      <c r="B24" s="12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29"/>
  <sheetViews>
    <sheetView view="pageBreakPreview" zoomScale="60" zoomScalePageLayoutView="0" workbookViewId="0" topLeftCell="A1">
      <selection activeCell="G11" sqref="G11"/>
    </sheetView>
  </sheetViews>
  <sheetFormatPr defaultColWidth="8.66015625" defaultRowHeight="18"/>
  <cols>
    <col min="1" max="1" width="8.91015625" style="412" customWidth="1"/>
    <col min="2" max="2" width="38.25" style="412" bestFit="1" customWidth="1"/>
    <col min="3" max="3" width="9" style="412" bestFit="1" customWidth="1"/>
    <col min="4" max="4" width="9" style="412" customWidth="1"/>
    <col min="5" max="16384" width="8.91015625" style="412" customWidth="1"/>
  </cols>
  <sheetData>
    <row r="2" spans="3:7" ht="12.75">
      <c r="C2" s="413"/>
      <c r="D2" s="413"/>
      <c r="E2" s="413"/>
      <c r="F2" s="413"/>
      <c r="G2" s="413"/>
    </row>
    <row r="3" spans="1:7" ht="12.75">
      <c r="A3" s="415">
        <v>370000</v>
      </c>
      <c r="B3" s="415" t="s">
        <v>565</v>
      </c>
      <c r="C3" s="413" t="s">
        <v>266</v>
      </c>
      <c r="D3" s="413" t="s">
        <v>285</v>
      </c>
      <c r="E3" s="416">
        <v>41695</v>
      </c>
      <c r="F3" s="413" t="s">
        <v>654</v>
      </c>
      <c r="G3" s="413" t="s">
        <v>653</v>
      </c>
    </row>
    <row r="4" spans="1:7" ht="30.75" customHeight="1" thickBot="1">
      <c r="A4" s="417"/>
      <c r="B4" s="418"/>
      <c r="C4" s="413"/>
      <c r="D4" s="413"/>
      <c r="E4" s="413"/>
      <c r="F4" s="413"/>
      <c r="G4" s="413"/>
    </row>
    <row r="5" spans="1:7" ht="13.5" thickTop="1">
      <c r="A5" s="413"/>
      <c r="B5" s="419" t="s">
        <v>111</v>
      </c>
      <c r="C5" s="414"/>
      <c r="D5" s="414"/>
      <c r="E5" s="413"/>
      <c r="F5" s="413"/>
      <c r="G5" s="413"/>
    </row>
    <row r="6" spans="1:7" ht="12.75">
      <c r="A6" s="413"/>
      <c r="B6" s="419"/>
      <c r="C6" s="414"/>
      <c r="D6" s="414"/>
      <c r="E6" s="413"/>
      <c r="F6" s="413"/>
      <c r="G6" s="413"/>
    </row>
    <row r="7" spans="1:7" ht="12.75">
      <c r="A7" s="413"/>
      <c r="B7" s="420"/>
      <c r="C7" s="414"/>
      <c r="D7" s="414"/>
      <c r="E7" s="413"/>
      <c r="F7" s="413"/>
      <c r="G7" s="413"/>
    </row>
    <row r="8" spans="1:7" ht="12.75">
      <c r="A8" s="413"/>
      <c r="B8" s="421"/>
      <c r="C8" s="414"/>
      <c r="D8" s="414"/>
      <c r="E8" s="413"/>
      <c r="F8" s="413"/>
      <c r="G8" s="413"/>
    </row>
    <row r="9" spans="1:7" ht="12.75">
      <c r="A9" s="413">
        <v>5531</v>
      </c>
      <c r="B9" s="421" t="s">
        <v>566</v>
      </c>
      <c r="C9" s="414">
        <v>5626</v>
      </c>
      <c r="D9" s="414">
        <v>5626</v>
      </c>
      <c r="E9" s="413">
        <v>5626</v>
      </c>
      <c r="F9" s="413">
        <v>8439</v>
      </c>
      <c r="G9" s="413">
        <v>5676</v>
      </c>
    </row>
    <row r="10" spans="1:7" ht="12.75">
      <c r="A10" s="413">
        <v>572191</v>
      </c>
      <c r="B10" s="421" t="s">
        <v>567</v>
      </c>
      <c r="C10" s="414">
        <v>25</v>
      </c>
      <c r="D10" s="414">
        <v>25</v>
      </c>
      <c r="E10" s="413">
        <v>2</v>
      </c>
      <c r="F10" s="413"/>
      <c r="G10" s="413">
        <v>2</v>
      </c>
    </row>
    <row r="11" spans="1:7" ht="12.75">
      <c r="A11" s="414"/>
      <c r="B11" s="419" t="s">
        <v>29</v>
      </c>
      <c r="C11" s="422">
        <f>SUM(C9:C10)</f>
        <v>5651</v>
      </c>
      <c r="D11" s="422">
        <f>SUM(D9:D10)</f>
        <v>5651</v>
      </c>
      <c r="E11" s="422">
        <f>SUM(E9:E10)</f>
        <v>5628</v>
      </c>
      <c r="F11" s="422">
        <f>SUM(F9:F10)</f>
        <v>8439</v>
      </c>
      <c r="G11" s="422">
        <f>SUM(G9:G10)</f>
        <v>5678</v>
      </c>
    </row>
    <row r="12" spans="1:7" ht="12.75">
      <c r="A12" s="413"/>
      <c r="B12" s="420"/>
      <c r="C12" s="414"/>
      <c r="D12" s="414"/>
      <c r="E12" s="413"/>
      <c r="F12" s="413"/>
      <c r="G12" s="413"/>
    </row>
    <row r="13" spans="1:7" ht="13.5" thickBot="1">
      <c r="A13" s="423"/>
      <c r="B13" s="423" t="s">
        <v>0</v>
      </c>
      <c r="C13" s="422">
        <f>SUM(C11)</f>
        <v>5651</v>
      </c>
      <c r="D13" s="422">
        <f>SUM(D11)</f>
        <v>5651</v>
      </c>
      <c r="E13" s="422">
        <f>SUM(E11)</f>
        <v>5628</v>
      </c>
      <c r="F13" s="422">
        <f>SUM(F11)</f>
        <v>8439</v>
      </c>
      <c r="G13" s="422">
        <f>SUM(G11)</f>
        <v>5678</v>
      </c>
    </row>
    <row r="14" ht="13.5" thickTop="1"/>
    <row r="18" spans="1:2" ht="12.75">
      <c r="A18" s="424"/>
      <c r="B18" s="424"/>
    </row>
    <row r="20" ht="39.75" customHeight="1">
      <c r="B20" s="425"/>
    </row>
    <row r="22" spans="1:2" ht="12.75">
      <c r="A22" s="415"/>
      <c r="B22" s="415"/>
    </row>
    <row r="27" spans="1:2" ht="12.75">
      <c r="A27" s="415"/>
      <c r="B27" s="415"/>
    </row>
    <row r="28" spans="1:2" ht="12.75">
      <c r="A28" s="415"/>
      <c r="B28" s="415"/>
    </row>
    <row r="29" spans="1:2" ht="12.75">
      <c r="A29" s="424"/>
      <c r="B29" s="424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D25"/>
  <sheetViews>
    <sheetView zoomScalePageLayoutView="0" workbookViewId="0" topLeftCell="A13">
      <selection activeCell="C25" sqref="C25:D25"/>
    </sheetView>
  </sheetViews>
  <sheetFormatPr defaultColWidth="8.66015625" defaultRowHeight="18"/>
  <cols>
    <col min="1" max="1" width="42.08203125" style="231" bestFit="1" customWidth="1"/>
    <col min="2" max="2" width="2.58203125" style="231" customWidth="1"/>
    <col min="3" max="3" width="8.75" style="231" customWidth="1"/>
    <col min="4" max="4" width="10.08203125" style="231" bestFit="1" customWidth="1"/>
    <col min="5" max="5" width="20.08203125" style="231" bestFit="1" customWidth="1"/>
    <col min="6" max="16384" width="8.91015625" style="231" customWidth="1"/>
  </cols>
  <sheetData>
    <row r="5" spans="1:2" ht="15.75">
      <c r="A5" s="229" t="s">
        <v>669</v>
      </c>
      <c r="B5" s="230"/>
    </row>
    <row r="6" spans="1:2" ht="15.75">
      <c r="A6" s="229"/>
      <c r="B6" s="230"/>
    </row>
    <row r="7" spans="1:2" ht="15.75">
      <c r="A7" s="229"/>
      <c r="B7" s="230"/>
    </row>
    <row r="8" spans="1:2" ht="15">
      <c r="A8" s="232"/>
      <c r="B8" s="232"/>
    </row>
    <row r="9" ht="21" customHeight="1">
      <c r="A9" s="596" t="s">
        <v>162</v>
      </c>
    </row>
    <row r="10" spans="1:4" ht="25.5" customHeight="1">
      <c r="A10" s="597"/>
      <c r="B10" s="30"/>
      <c r="C10" s="120">
        <v>2015</v>
      </c>
      <c r="D10" s="30" t="s">
        <v>851</v>
      </c>
    </row>
    <row r="11" ht="12" customHeight="1" thickBot="1">
      <c r="D11" s="30"/>
    </row>
    <row r="12" spans="1:4" ht="24.75" customHeight="1" thickBot="1" thickTop="1">
      <c r="A12" s="120" t="s">
        <v>163</v>
      </c>
      <c r="B12" s="233"/>
      <c r="C12" s="557"/>
      <c r="D12" s="30"/>
    </row>
    <row r="13" spans="1:4" ht="24.75" customHeight="1" thickBot="1" thickTop="1">
      <c r="A13" s="120" t="s">
        <v>164</v>
      </c>
      <c r="B13" s="233"/>
      <c r="C13" s="557">
        <v>50</v>
      </c>
      <c r="D13" s="30">
        <v>80</v>
      </c>
    </row>
    <row r="14" spans="1:4" ht="24.75" customHeight="1" thickBot="1" thickTop="1">
      <c r="A14" s="120" t="s">
        <v>165</v>
      </c>
      <c r="B14" s="233"/>
      <c r="C14" s="557">
        <v>50</v>
      </c>
      <c r="D14" s="30">
        <v>100</v>
      </c>
    </row>
    <row r="15" spans="1:4" ht="24.75" customHeight="1" thickBot="1" thickTop="1">
      <c r="A15" s="120" t="s">
        <v>166</v>
      </c>
      <c r="B15" s="233"/>
      <c r="C15" s="557">
        <v>50</v>
      </c>
      <c r="D15" s="30">
        <v>80</v>
      </c>
    </row>
    <row r="16" spans="1:4" ht="24.75" customHeight="1" thickBot="1" thickTop="1">
      <c r="A16" s="120" t="s">
        <v>167</v>
      </c>
      <c r="B16" s="233"/>
      <c r="C16" s="557">
        <v>50</v>
      </c>
      <c r="D16" s="30">
        <v>80</v>
      </c>
    </row>
    <row r="17" spans="1:4" ht="24.75" customHeight="1" thickBot="1" thickTop="1">
      <c r="A17" s="120" t="s">
        <v>852</v>
      </c>
      <c r="B17" s="233"/>
      <c r="C17" s="557"/>
      <c r="D17" s="30">
        <v>100</v>
      </c>
    </row>
    <row r="18" spans="1:4" ht="24.75" customHeight="1" thickBot="1" thickTop="1">
      <c r="A18" s="120" t="s">
        <v>812</v>
      </c>
      <c r="B18" s="233"/>
      <c r="C18" s="557">
        <v>300</v>
      </c>
      <c r="D18" s="30">
        <v>300</v>
      </c>
    </row>
    <row r="19" spans="1:4" ht="24.75" customHeight="1" thickBot="1" thickTop="1">
      <c r="A19" s="120" t="s">
        <v>744</v>
      </c>
      <c r="B19" s="233"/>
      <c r="C19" s="557">
        <v>50</v>
      </c>
      <c r="D19" s="30">
        <v>50</v>
      </c>
    </row>
    <row r="20" spans="1:4" ht="24.75" customHeight="1" thickBot="1" thickTop="1">
      <c r="A20" s="120" t="s">
        <v>194</v>
      </c>
      <c r="B20" s="233"/>
      <c r="C20" s="557">
        <v>80</v>
      </c>
      <c r="D20" s="30">
        <v>80</v>
      </c>
    </row>
    <row r="21" spans="1:4" ht="24.75" customHeight="1" thickBot="1" thickTop="1">
      <c r="A21" s="120" t="s">
        <v>670</v>
      </c>
      <c r="B21" s="233"/>
      <c r="C21" s="557"/>
      <c r="D21" s="30"/>
    </row>
    <row r="22" spans="1:4" ht="24.75" customHeight="1" thickBot="1" thickTop="1">
      <c r="A22" s="234" t="s">
        <v>180</v>
      </c>
      <c r="B22" s="233"/>
      <c r="C22" s="557">
        <v>50</v>
      </c>
      <c r="D22" s="30">
        <v>80</v>
      </c>
    </row>
    <row r="23" spans="1:4" ht="24.75" customHeight="1" thickBot="1" thickTop="1">
      <c r="A23" s="234" t="s">
        <v>573</v>
      </c>
      <c r="B23" s="233"/>
      <c r="C23" s="557">
        <v>20</v>
      </c>
      <c r="D23" s="30">
        <v>20</v>
      </c>
    </row>
    <row r="24" spans="1:4" ht="24.75" customHeight="1" thickBot="1" thickTop="1">
      <c r="A24" s="234" t="s">
        <v>183</v>
      </c>
      <c r="B24" s="233"/>
      <c r="C24" s="557">
        <v>50</v>
      </c>
      <c r="D24" s="30">
        <v>50</v>
      </c>
    </row>
    <row r="25" spans="1:4" s="237" customFormat="1" ht="24.75" customHeight="1" thickBot="1" thickTop="1">
      <c r="A25" s="235" t="s">
        <v>63</v>
      </c>
      <c r="B25" s="236"/>
      <c r="C25" s="236">
        <f>SUM(C12:C24)</f>
        <v>750</v>
      </c>
      <c r="D25" s="236">
        <f>SUM(D12:D24)</f>
        <v>1020</v>
      </c>
    </row>
    <row r="26" ht="24.75" customHeight="1" thickTop="1"/>
    <row r="27" ht="24.75" customHeight="1"/>
    <row r="28" ht="24.75" customHeight="1"/>
    <row r="29" ht="24.75" customHeight="1"/>
  </sheetData>
  <sheetProtection/>
  <mergeCells count="1">
    <mergeCell ref="A9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="60" zoomScalePageLayoutView="0" workbookViewId="0" topLeftCell="A1">
      <selection activeCell="K23" sqref="K23"/>
    </sheetView>
  </sheetViews>
  <sheetFormatPr defaultColWidth="8.66015625" defaultRowHeight="18"/>
  <cols>
    <col min="1" max="1" width="8.08203125" style="86" customWidth="1"/>
    <col min="2" max="2" width="23.25" style="86" customWidth="1"/>
    <col min="3" max="4" width="9" style="86" bestFit="1" customWidth="1"/>
    <col min="5" max="5" width="11.25" style="86" customWidth="1"/>
    <col min="6" max="7" width="8.91015625" style="86" customWidth="1"/>
    <col min="8" max="8" width="11.08203125" style="86" customWidth="1"/>
    <col min="9" max="9" width="9" style="86" bestFit="1" customWidth="1"/>
    <col min="10" max="16384" width="8.91015625" style="86" customWidth="1"/>
  </cols>
  <sheetData>
    <row r="1" spans="1:5" ht="15.75">
      <c r="A1" s="174"/>
      <c r="B1" s="30"/>
      <c r="C1" s="30"/>
      <c r="D1" s="30"/>
      <c r="E1" s="87"/>
    </row>
    <row r="2" spans="1:7" ht="15.75">
      <c r="A2" s="178">
        <v>890442</v>
      </c>
      <c r="B2" s="29" t="s">
        <v>268</v>
      </c>
      <c r="C2" s="29" t="s">
        <v>269</v>
      </c>
      <c r="D2" s="27" t="s">
        <v>286</v>
      </c>
      <c r="E2" s="546" t="s">
        <v>651</v>
      </c>
      <c r="F2" s="35" t="s">
        <v>663</v>
      </c>
      <c r="G2" s="35" t="s">
        <v>653</v>
      </c>
    </row>
    <row r="3" spans="1:7" ht="15.75">
      <c r="A3" s="174"/>
      <c r="B3" s="30"/>
      <c r="C3" s="30"/>
      <c r="D3" s="30"/>
      <c r="E3" s="547"/>
      <c r="F3" s="35"/>
      <c r="G3" s="35"/>
    </row>
    <row r="4" spans="1:10" ht="15.75">
      <c r="A4" s="174">
        <v>511116</v>
      </c>
      <c r="B4" s="30" t="s">
        <v>507</v>
      </c>
      <c r="C4" s="30">
        <v>4115</v>
      </c>
      <c r="D4" s="30">
        <f>6*12*56625/1000</f>
        <v>4077</v>
      </c>
      <c r="E4" s="457">
        <f>3*10*57975/1000</f>
        <v>1739.25</v>
      </c>
      <c r="F4" s="25"/>
      <c r="G4" s="35">
        <v>4356</v>
      </c>
      <c r="H4" s="86" t="s">
        <v>848</v>
      </c>
      <c r="I4" s="86">
        <f>5*79200*11</f>
        <v>4356000</v>
      </c>
      <c r="J4" s="86" t="s">
        <v>678</v>
      </c>
    </row>
    <row r="5" spans="1:7" ht="15.75">
      <c r="A5" s="174"/>
      <c r="B5" s="30"/>
      <c r="C5" s="30"/>
      <c r="D5" s="30"/>
      <c r="E5" s="547"/>
      <c r="F5" s="25"/>
      <c r="G5" s="35"/>
    </row>
    <row r="6" spans="1:7" ht="15.75">
      <c r="A6" s="174"/>
      <c r="B6" s="29" t="s">
        <v>153</v>
      </c>
      <c r="C6" s="29">
        <f>SUM(C4:C5)</f>
        <v>4115</v>
      </c>
      <c r="D6" s="29">
        <f>SUM(D4:D5)</f>
        <v>4077</v>
      </c>
      <c r="E6" s="342">
        <f>SUM(E4:E5)</f>
        <v>1739.25</v>
      </c>
      <c r="F6" s="342">
        <f>SUM(F4:F5)</f>
        <v>0</v>
      </c>
      <c r="G6" s="342">
        <f>SUM(G4:G5)</f>
        <v>4356</v>
      </c>
    </row>
    <row r="7" spans="1:7" ht="15.75">
      <c r="A7" s="174"/>
      <c r="B7" s="29"/>
      <c r="C7" s="29"/>
      <c r="D7" s="30"/>
      <c r="E7" s="547"/>
      <c r="F7" s="35"/>
      <c r="G7" s="35"/>
    </row>
    <row r="8" spans="1:7" ht="15.75">
      <c r="A8" s="174">
        <v>53115</v>
      </c>
      <c r="B8" s="30" t="s">
        <v>313</v>
      </c>
      <c r="C8" s="30">
        <f>289+257</f>
        <v>546</v>
      </c>
      <c r="D8" s="30">
        <f>D4*13.5%</f>
        <v>550.395</v>
      </c>
      <c r="E8" s="457">
        <f>E6*13.5%</f>
        <v>234.79875</v>
      </c>
      <c r="F8" s="35"/>
      <c r="G8" s="170">
        <f>G6*13.5%</f>
        <v>588.0600000000001</v>
      </c>
    </row>
    <row r="9" spans="1:7" ht="15.75">
      <c r="A9" s="174"/>
      <c r="B9" s="29" t="s">
        <v>506</v>
      </c>
      <c r="C9" s="29"/>
      <c r="D9" s="29">
        <f>SUM(D8:D8)</f>
        <v>550.395</v>
      </c>
      <c r="E9" s="342">
        <f>SUM(E8:E8)</f>
        <v>234.79875</v>
      </c>
      <c r="F9" s="342">
        <f>SUM(F8:F8)</f>
        <v>0</v>
      </c>
      <c r="G9" s="342">
        <f>SUM(G8:G8)</f>
        <v>588.0600000000001</v>
      </c>
    </row>
    <row r="10" spans="1:7" ht="15.75">
      <c r="A10" s="174"/>
      <c r="B10" s="30"/>
      <c r="C10" s="30"/>
      <c r="D10" s="30"/>
      <c r="E10" s="547"/>
      <c r="F10" s="35"/>
      <c r="G10" s="35"/>
    </row>
    <row r="11" spans="1:7" ht="15.75">
      <c r="A11" s="174">
        <v>54913</v>
      </c>
      <c r="B11" s="30" t="s">
        <v>32</v>
      </c>
      <c r="C11" s="30">
        <v>200</v>
      </c>
      <c r="D11" s="30">
        <v>50</v>
      </c>
      <c r="E11" s="547">
        <v>45</v>
      </c>
      <c r="F11" s="35"/>
      <c r="G11" s="35"/>
    </row>
    <row r="12" spans="1:7" ht="15.75">
      <c r="A12" s="174">
        <v>552181</v>
      </c>
      <c r="B12" s="30" t="s">
        <v>505</v>
      </c>
      <c r="C12" s="30"/>
      <c r="D12" s="30"/>
      <c r="E12" s="547"/>
      <c r="F12" s="35"/>
      <c r="G12" s="35"/>
    </row>
    <row r="13" spans="1:7" ht="15.75">
      <c r="A13" s="174"/>
      <c r="B13" s="29" t="s">
        <v>504</v>
      </c>
      <c r="C13" s="29">
        <f>SUM(C11:C12)</f>
        <v>200</v>
      </c>
      <c r="D13" s="29">
        <f>SUM(D11:D12)</f>
        <v>50</v>
      </c>
      <c r="E13" s="342">
        <f>SUM(E11:E12)</f>
        <v>45</v>
      </c>
      <c r="F13" s="342">
        <f>SUM(F11:F12)</f>
        <v>0</v>
      </c>
      <c r="G13" s="342">
        <f>SUM(G11:G12)</f>
        <v>0</v>
      </c>
    </row>
    <row r="14" spans="1:7" ht="15.75">
      <c r="A14" s="174"/>
      <c r="B14" s="30"/>
      <c r="C14" s="30"/>
      <c r="D14" s="30"/>
      <c r="E14" s="547"/>
      <c r="F14" s="35"/>
      <c r="G14" s="35"/>
    </row>
    <row r="15" spans="1:7" ht="15.75">
      <c r="A15" s="174">
        <v>55215</v>
      </c>
      <c r="B15" s="30" t="s">
        <v>503</v>
      </c>
      <c r="C15" s="30"/>
      <c r="D15" s="30"/>
      <c r="E15" s="547"/>
      <c r="F15" s="35"/>
      <c r="G15" s="35"/>
    </row>
    <row r="16" spans="1:7" ht="15.75">
      <c r="A16" s="174">
        <v>55217</v>
      </c>
      <c r="B16" s="30" t="s">
        <v>502</v>
      </c>
      <c r="C16" s="30"/>
      <c r="D16" s="30"/>
      <c r="E16" s="547"/>
      <c r="F16" s="35"/>
      <c r="G16" s="35"/>
    </row>
    <row r="17" spans="1:7" ht="15.75">
      <c r="A17" s="174"/>
      <c r="B17" s="29" t="s">
        <v>65</v>
      </c>
      <c r="C17" s="29"/>
      <c r="D17" s="29">
        <f>SUM(D15:D16)</f>
        <v>0</v>
      </c>
      <c r="E17" s="342">
        <f>SUM(E15:E16)</f>
        <v>0</v>
      </c>
      <c r="F17" s="35"/>
      <c r="G17" s="35"/>
    </row>
    <row r="18" spans="1:7" ht="15.75">
      <c r="A18" s="174"/>
      <c r="B18" s="30"/>
      <c r="C18" s="30"/>
      <c r="D18" s="30"/>
      <c r="E18" s="547"/>
      <c r="F18" s="35"/>
      <c r="G18" s="35"/>
    </row>
    <row r="19" spans="1:7" ht="15.75">
      <c r="A19" s="174">
        <v>56111</v>
      </c>
      <c r="B19" s="30" t="s">
        <v>501</v>
      </c>
      <c r="C19" s="30">
        <f>C13*27%</f>
        <v>54</v>
      </c>
      <c r="D19" s="30">
        <f>D13*27%</f>
        <v>13.5</v>
      </c>
      <c r="E19" s="547">
        <v>12</v>
      </c>
      <c r="F19" s="35"/>
      <c r="G19" s="35"/>
    </row>
    <row r="20" spans="1:7" ht="15.75">
      <c r="A20" s="174"/>
      <c r="B20" s="29" t="s">
        <v>500</v>
      </c>
      <c r="C20" s="29">
        <f>SUM(C19)</f>
        <v>54</v>
      </c>
      <c r="D20" s="29">
        <f>SUM(D19)</f>
        <v>13.5</v>
      </c>
      <c r="E20" s="342">
        <f>SUM(E19)</f>
        <v>12</v>
      </c>
      <c r="F20" s="342">
        <f>SUM(F19)</f>
        <v>0</v>
      </c>
      <c r="G20" s="342">
        <f>SUM(G19)</f>
        <v>0</v>
      </c>
    </row>
    <row r="21" spans="1:7" ht="15.75">
      <c r="A21" s="174"/>
      <c r="B21" s="30"/>
      <c r="C21" s="30"/>
      <c r="D21" s="30"/>
      <c r="E21" s="547"/>
      <c r="F21" s="35"/>
      <c r="G21" s="35"/>
    </row>
    <row r="22" spans="1:7" ht="15.75">
      <c r="A22" s="174"/>
      <c r="B22" s="29" t="s">
        <v>29</v>
      </c>
      <c r="C22" s="29">
        <f>SUM(C20,C17,C13)</f>
        <v>254</v>
      </c>
      <c r="D22" s="29">
        <f>SUM(D20,D17,D13)</f>
        <v>63.5</v>
      </c>
      <c r="E22" s="342">
        <f>SUM(E20,E17,E13)</f>
        <v>57</v>
      </c>
      <c r="F22" s="342">
        <f>SUM(F20,F17,F13)</f>
        <v>0</v>
      </c>
      <c r="G22" s="342">
        <f>SUM(G20,G17,G13)</f>
        <v>0</v>
      </c>
    </row>
    <row r="23" spans="1:7" ht="15.75">
      <c r="A23" s="174"/>
      <c r="B23" s="29"/>
      <c r="C23" s="29"/>
      <c r="D23" s="30"/>
      <c r="E23" s="547"/>
      <c r="F23" s="35"/>
      <c r="G23" s="35"/>
    </row>
    <row r="24" spans="1:7" ht="15.75">
      <c r="A24" s="174"/>
      <c r="B24" s="30"/>
      <c r="C24" s="30"/>
      <c r="D24" s="30"/>
      <c r="E24" s="547"/>
      <c r="F24" s="35"/>
      <c r="G24" s="35"/>
    </row>
    <row r="25" spans="1:7" ht="15.75">
      <c r="A25" s="174"/>
      <c r="B25" s="29" t="s">
        <v>0</v>
      </c>
      <c r="C25" s="29">
        <f>SUM(C6+C9+C22)</f>
        <v>4369</v>
      </c>
      <c r="D25" s="29">
        <f>SUM(D6+D9+D22)</f>
        <v>4690.895</v>
      </c>
      <c r="E25" s="342">
        <f>SUM(E6+E9+E22)</f>
        <v>2031.04875</v>
      </c>
      <c r="F25" s="342">
        <f>SUM(F6+F9+F22)</f>
        <v>0</v>
      </c>
      <c r="G25" s="342">
        <f>SUM(G6+G9+G22)</f>
        <v>4944.06</v>
      </c>
    </row>
    <row r="26" spans="1:7" ht="15.75">
      <c r="A26" s="174"/>
      <c r="B26" s="29"/>
      <c r="C26" s="29"/>
      <c r="D26" s="30"/>
      <c r="E26" s="547"/>
      <c r="F26" s="35"/>
      <c r="G26" s="35"/>
    </row>
    <row r="27" spans="1:7" ht="15.75">
      <c r="A27" s="174"/>
      <c r="B27" s="29"/>
      <c r="C27" s="29"/>
      <c r="D27" s="30"/>
      <c r="E27" s="547"/>
      <c r="F27" s="35"/>
      <c r="G27" s="35"/>
    </row>
    <row r="28" spans="1:9" ht="15.75">
      <c r="A28" s="174">
        <v>46414</v>
      </c>
      <c r="B28" s="29" t="s">
        <v>232</v>
      </c>
      <c r="C28" s="29">
        <v>3946</v>
      </c>
      <c r="D28" s="30">
        <f>D25*90%</f>
        <v>4221.8055</v>
      </c>
      <c r="E28" s="457">
        <f>E6*75%</f>
        <v>1304.4375</v>
      </c>
      <c r="F28" s="35"/>
      <c r="G28" s="35">
        <v>3955</v>
      </c>
      <c r="I28" s="86">
        <f>G25*80%</f>
        <v>3955.2480000000005</v>
      </c>
    </row>
    <row r="29" spans="1:7" ht="15.75">
      <c r="A29" s="174"/>
      <c r="B29" s="30"/>
      <c r="C29" s="30"/>
      <c r="D29" s="30"/>
      <c r="E29" s="547"/>
      <c r="F29" s="35"/>
      <c r="G29" s="35"/>
    </row>
    <row r="30" spans="1:7" ht="15.75">
      <c r="A30" s="174"/>
      <c r="B30" s="29" t="s">
        <v>499</v>
      </c>
      <c r="C30" s="29">
        <f>SUM(C28)</f>
        <v>3946</v>
      </c>
      <c r="D30" s="29">
        <f>SUM(D28)</f>
        <v>4221.8055</v>
      </c>
      <c r="E30" s="342">
        <f>SUM(E28)</f>
        <v>1304.4375</v>
      </c>
      <c r="F30" s="342">
        <f>SUM(F28)</f>
        <v>0</v>
      </c>
      <c r="G30" s="342">
        <f>SUM(G28)</f>
        <v>3955</v>
      </c>
    </row>
    <row r="31" spans="1:7" ht="15.75">
      <c r="A31" s="174"/>
      <c r="B31" s="30"/>
      <c r="C31" s="30"/>
      <c r="D31" s="30"/>
      <c r="F31" s="35"/>
      <c r="G31" s="35"/>
    </row>
    <row r="32" spans="1:7" ht="15.75">
      <c r="A32" s="174"/>
      <c r="B32" s="30"/>
      <c r="C32" s="30"/>
      <c r="D32" s="30"/>
      <c r="F32" s="35"/>
      <c r="G32" s="35"/>
    </row>
    <row r="33" spans="1:7" ht="15.75">
      <c r="A33" s="174"/>
      <c r="B33" s="30"/>
      <c r="C33" s="30"/>
      <c r="D33" s="30"/>
      <c r="F33" s="35"/>
      <c r="G33" s="35"/>
    </row>
  </sheetData>
  <sheetProtection/>
  <printOptions/>
  <pageMargins left="0.7" right="0.7" top="0.75" bottom="0.75" header="0.3" footer="0.3"/>
  <pageSetup horizontalDpi="300" verticalDpi="300" orientation="portrait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view="pageBreakPreview" zoomScale="60" zoomScalePageLayoutView="0" workbookViewId="0" topLeftCell="A1">
      <selection activeCell="H7" sqref="H7"/>
    </sheetView>
  </sheetViews>
  <sheetFormatPr defaultColWidth="8.66015625" defaultRowHeight="18"/>
  <cols>
    <col min="1" max="1" width="8.08203125" style="0" customWidth="1"/>
    <col min="2" max="2" width="23.25" style="0" customWidth="1"/>
    <col min="3" max="3" width="9" style="0" bestFit="1" customWidth="1"/>
    <col min="4" max="4" width="11.25" style="0" customWidth="1"/>
    <col min="7" max="7" width="9" style="0" bestFit="1" customWidth="1"/>
  </cols>
  <sheetData>
    <row r="1" spans="1:3" ht="18.75">
      <c r="A1" s="174"/>
      <c r="B1" s="30"/>
      <c r="C1" s="30"/>
    </row>
    <row r="2" spans="1:6" ht="18.75">
      <c r="A2" s="178">
        <v>890444</v>
      </c>
      <c r="B2" s="29" t="s">
        <v>590</v>
      </c>
      <c r="C2" s="247" t="s">
        <v>286</v>
      </c>
      <c r="D2" s="452">
        <v>41697</v>
      </c>
      <c r="E2" s="41" t="s">
        <v>663</v>
      </c>
      <c r="F2" s="41" t="s">
        <v>653</v>
      </c>
    </row>
    <row r="3" spans="1:6" ht="18.75">
      <c r="A3" s="174"/>
      <c r="B3" s="30"/>
      <c r="C3" s="100"/>
      <c r="D3" s="302"/>
      <c r="E3" s="41"/>
      <c r="F3" s="41"/>
    </row>
    <row r="4" spans="1:8" ht="18.75">
      <c r="A4" s="175">
        <v>511116</v>
      </c>
      <c r="B4" s="100" t="s">
        <v>507</v>
      </c>
      <c r="C4" s="100">
        <v>302</v>
      </c>
      <c r="D4" s="302">
        <v>1546</v>
      </c>
      <c r="E4" s="41"/>
      <c r="F4" s="41">
        <v>634</v>
      </c>
      <c r="G4">
        <f>2*79200*4</f>
        <v>633600</v>
      </c>
      <c r="H4" s="246" t="s">
        <v>677</v>
      </c>
    </row>
    <row r="5" spans="1:6" ht="18.75">
      <c r="A5" s="175"/>
      <c r="B5" s="100"/>
      <c r="C5" s="100"/>
      <c r="D5" s="302"/>
      <c r="E5" s="176"/>
      <c r="F5" s="41"/>
    </row>
    <row r="6" spans="1:6" ht="18.75">
      <c r="A6" s="175"/>
      <c r="B6" s="101" t="s">
        <v>153</v>
      </c>
      <c r="C6" s="101">
        <f>SUM(C4:C5)</f>
        <v>302</v>
      </c>
      <c r="D6" s="362">
        <f>SUM(D4:D5)</f>
        <v>1546</v>
      </c>
      <c r="E6" s="362">
        <f>SUM(E4:E5)</f>
        <v>0</v>
      </c>
      <c r="F6" s="362">
        <f>SUM(F4:F5)</f>
        <v>634</v>
      </c>
    </row>
    <row r="7" spans="1:6" ht="18.75">
      <c r="A7" s="175"/>
      <c r="B7" s="101"/>
      <c r="C7" s="100"/>
      <c r="D7" s="302"/>
      <c r="E7" s="41"/>
      <c r="F7" s="41"/>
    </row>
    <row r="8" spans="1:6" ht="18.75">
      <c r="A8" s="175">
        <v>53115</v>
      </c>
      <c r="B8" s="100" t="s">
        <v>313</v>
      </c>
      <c r="C8" s="100">
        <f>C4*13.5%</f>
        <v>40.77</v>
      </c>
      <c r="D8" s="475">
        <f>D6*13.5%</f>
        <v>208.71</v>
      </c>
      <c r="E8" s="41"/>
      <c r="F8" s="373">
        <f>F6*13.5%</f>
        <v>85.59</v>
      </c>
    </row>
    <row r="9" spans="1:6" ht="18.75">
      <c r="A9" s="175"/>
      <c r="B9" s="101" t="s">
        <v>506</v>
      </c>
      <c r="C9" s="101">
        <f>SUM(C8:C8)</f>
        <v>40.77</v>
      </c>
      <c r="D9" s="362">
        <f>SUM(D8:D8)</f>
        <v>208.71</v>
      </c>
      <c r="E9" s="362">
        <f>SUM(E8:E8)</f>
        <v>0</v>
      </c>
      <c r="F9" s="362">
        <f>SUM(F8:F8)</f>
        <v>85.59</v>
      </c>
    </row>
    <row r="10" spans="1:6" ht="18.75">
      <c r="A10" s="175"/>
      <c r="B10" s="100"/>
      <c r="C10" s="100"/>
      <c r="D10" s="302"/>
      <c r="E10" s="41"/>
      <c r="F10" s="41"/>
    </row>
    <row r="11" spans="1:6" ht="18.75">
      <c r="A11" s="175">
        <v>54913</v>
      </c>
      <c r="B11" s="100" t="s">
        <v>32</v>
      </c>
      <c r="C11" s="100"/>
      <c r="D11" s="302"/>
      <c r="E11" s="41"/>
      <c r="F11" s="41"/>
    </row>
    <row r="12" spans="1:6" ht="18.75">
      <c r="A12" s="175">
        <v>552181</v>
      </c>
      <c r="B12" s="100" t="s">
        <v>505</v>
      </c>
      <c r="C12" s="100"/>
      <c r="D12" s="302"/>
      <c r="E12" s="41"/>
      <c r="F12" s="41"/>
    </row>
    <row r="13" spans="1:6" ht="18.75">
      <c r="A13" s="175"/>
      <c r="B13" s="101" t="s">
        <v>504</v>
      </c>
      <c r="C13" s="101">
        <f>SUM(C11:C12)</f>
        <v>0</v>
      </c>
      <c r="D13" s="362">
        <f>SUM(D11:D12)</f>
        <v>0</v>
      </c>
      <c r="E13" s="41"/>
      <c r="F13" s="41"/>
    </row>
    <row r="14" spans="1:6" ht="18.75">
      <c r="A14" s="175"/>
      <c r="B14" s="100"/>
      <c r="C14" s="100"/>
      <c r="D14" s="302"/>
      <c r="E14" s="41"/>
      <c r="F14" s="41"/>
    </row>
    <row r="15" spans="1:6" ht="18.75">
      <c r="A15" s="175">
        <v>55215</v>
      </c>
      <c r="B15" s="100" t="s">
        <v>503</v>
      </c>
      <c r="C15" s="100"/>
      <c r="D15" s="302"/>
      <c r="E15" s="41"/>
      <c r="F15" s="41"/>
    </row>
    <row r="16" spans="1:6" ht="18.75">
      <c r="A16" s="175">
        <v>55217</v>
      </c>
      <c r="B16" s="100" t="s">
        <v>502</v>
      </c>
      <c r="C16" s="100"/>
      <c r="D16" s="302"/>
      <c r="E16" s="41"/>
      <c r="F16" s="41"/>
    </row>
    <row r="17" spans="1:6" ht="18.75">
      <c r="A17" s="175"/>
      <c r="B17" s="101" t="s">
        <v>65</v>
      </c>
      <c r="C17" s="101">
        <f>SUM(C15:C16)</f>
        <v>0</v>
      </c>
      <c r="D17" s="362">
        <f>SUM(D15:D16)</f>
        <v>0</v>
      </c>
      <c r="E17" s="41"/>
      <c r="F17" s="41"/>
    </row>
    <row r="18" spans="1:6" ht="18.75">
      <c r="A18" s="175"/>
      <c r="B18" s="100"/>
      <c r="C18" s="100"/>
      <c r="D18" s="302"/>
      <c r="E18" s="41"/>
      <c r="F18" s="41"/>
    </row>
    <row r="19" spans="1:6" ht="18.75">
      <c r="A19" s="175">
        <v>56111</v>
      </c>
      <c r="B19" s="100" t="s">
        <v>501</v>
      </c>
      <c r="C19" s="100">
        <f>C13*27%</f>
        <v>0</v>
      </c>
      <c r="D19" s="302"/>
      <c r="E19" s="41"/>
      <c r="F19" s="41"/>
    </row>
    <row r="20" spans="1:6" ht="18.75">
      <c r="A20" s="175"/>
      <c r="B20" s="101" t="s">
        <v>500</v>
      </c>
      <c r="C20" s="101">
        <f>SUM(C19)</f>
        <v>0</v>
      </c>
      <c r="D20" s="362">
        <f>SUM(D19)</f>
        <v>0</v>
      </c>
      <c r="E20" s="41"/>
      <c r="F20" s="41"/>
    </row>
    <row r="21" spans="1:6" ht="18.75">
      <c r="A21" s="175"/>
      <c r="B21" s="100"/>
      <c r="C21" s="100"/>
      <c r="D21" s="302"/>
      <c r="E21" s="41"/>
      <c r="F21" s="41"/>
    </row>
    <row r="22" spans="1:6" ht="18.75">
      <c r="A22" s="175"/>
      <c r="B22" s="101" t="s">
        <v>29</v>
      </c>
      <c r="C22" s="101">
        <f>SUM(C20,C17,C13)</f>
        <v>0</v>
      </c>
      <c r="D22" s="362">
        <f>SUM(D20,D17,D13)</f>
        <v>0</v>
      </c>
      <c r="E22" s="41"/>
      <c r="F22" s="41"/>
    </row>
    <row r="23" spans="1:6" ht="18.75">
      <c r="A23" s="175"/>
      <c r="B23" s="101"/>
      <c r="C23" s="100"/>
      <c r="D23" s="302"/>
      <c r="E23" s="41"/>
      <c r="F23" s="41"/>
    </row>
    <row r="24" spans="1:6" ht="18.75">
      <c r="A24" s="175"/>
      <c r="B24" s="100"/>
      <c r="C24" s="100"/>
      <c r="D24" s="302"/>
      <c r="E24" s="41"/>
      <c r="F24" s="41"/>
    </row>
    <row r="25" spans="1:6" ht="18.75">
      <c r="A25" s="175"/>
      <c r="B25" s="101" t="s">
        <v>0</v>
      </c>
      <c r="C25" s="101">
        <f>SUM(C6+C9+C22)</f>
        <v>342.77</v>
      </c>
      <c r="D25" s="362">
        <f>SUM(D6+D9+D22)</f>
        <v>1754.71</v>
      </c>
      <c r="E25" s="362">
        <f>SUM(E6+E9+E22)</f>
        <v>0</v>
      </c>
      <c r="F25" s="362">
        <f>SUM(F6+F9+F22)</f>
        <v>719.59</v>
      </c>
    </row>
    <row r="26" spans="1:6" ht="18.75">
      <c r="A26" s="175"/>
      <c r="B26" s="101"/>
      <c r="C26" s="100"/>
      <c r="D26" s="302"/>
      <c r="E26" s="41"/>
      <c r="F26" s="41"/>
    </row>
    <row r="27" spans="1:6" ht="18.75">
      <c r="A27" s="175"/>
      <c r="B27" s="101"/>
      <c r="C27" s="100"/>
      <c r="D27" s="302"/>
      <c r="E27" s="41"/>
      <c r="F27" s="41"/>
    </row>
    <row r="28" spans="1:6" ht="18.75">
      <c r="A28" s="175">
        <v>46414</v>
      </c>
      <c r="B28" s="101" t="s">
        <v>232</v>
      </c>
      <c r="C28" s="100">
        <f>C25*100%</f>
        <v>342.77</v>
      </c>
      <c r="D28" s="361">
        <f>D25*100%</f>
        <v>1754.71</v>
      </c>
      <c r="E28" s="41"/>
      <c r="F28" s="41">
        <v>720</v>
      </c>
    </row>
    <row r="29" spans="1:6" ht="18.75">
      <c r="A29" s="175"/>
      <c r="B29" s="100"/>
      <c r="C29" s="100"/>
      <c r="D29" s="302"/>
      <c r="E29" s="41"/>
      <c r="F29" s="41"/>
    </row>
    <row r="30" spans="1:6" ht="18.75">
      <c r="A30" s="175"/>
      <c r="B30" s="101" t="s">
        <v>499</v>
      </c>
      <c r="C30" s="101">
        <f>SUM(C28)</f>
        <v>342.77</v>
      </c>
      <c r="D30" s="362">
        <f>SUM(D28)</f>
        <v>1754.71</v>
      </c>
      <c r="E30" s="362">
        <f>SUM(E28)</f>
        <v>0</v>
      </c>
      <c r="F30" s="362">
        <f>SUM(F28)</f>
        <v>720</v>
      </c>
    </row>
    <row r="31" spans="1:6" ht="18.75">
      <c r="A31" s="175"/>
      <c r="B31" s="100"/>
      <c r="C31" s="100"/>
      <c r="E31" s="41"/>
      <c r="F31" s="41"/>
    </row>
    <row r="32" spans="1:6" ht="18.75">
      <c r="A32" s="175"/>
      <c r="B32" s="100"/>
      <c r="C32" s="100"/>
      <c r="E32" s="41"/>
      <c r="F32" s="41"/>
    </row>
    <row r="33" spans="1:6" ht="18.75">
      <c r="A33" s="175"/>
      <c r="B33" s="100"/>
      <c r="C33" s="100"/>
      <c r="E33" s="41"/>
      <c r="F33" s="41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view="pageBreakPreview" zoomScale="60" zoomScalePageLayoutView="0" workbookViewId="0" topLeftCell="B19">
      <selection activeCell="H52" sqref="H52"/>
    </sheetView>
  </sheetViews>
  <sheetFormatPr defaultColWidth="8.66015625" defaultRowHeight="18"/>
  <cols>
    <col min="1" max="1" width="9" style="11" bestFit="1" customWidth="1"/>
    <col min="2" max="2" width="42.08203125" style="11" customWidth="1"/>
    <col min="3" max="3" width="8.41015625" style="11" customWidth="1"/>
    <col min="4" max="4" width="9.41015625" style="11" customWidth="1"/>
    <col min="5" max="6" width="8.25" style="11" customWidth="1"/>
    <col min="7" max="16384" width="8.91015625" style="11" customWidth="1"/>
  </cols>
  <sheetData>
    <row r="1" spans="1:8" ht="27" thickBot="1">
      <c r="A1" s="139"/>
      <c r="B1" s="146" t="s">
        <v>207</v>
      </c>
      <c r="C1" s="13" t="s">
        <v>306</v>
      </c>
      <c r="D1" s="25" t="s">
        <v>285</v>
      </c>
      <c r="E1" s="46" t="s">
        <v>651</v>
      </c>
      <c r="F1" s="25" t="s">
        <v>663</v>
      </c>
      <c r="G1" s="25" t="s">
        <v>653</v>
      </c>
      <c r="H1" s="13" t="s">
        <v>850</v>
      </c>
    </row>
    <row r="2" spans="1:8" ht="15.75">
      <c r="A2" s="14"/>
      <c r="B2" s="147"/>
      <c r="C2" s="13"/>
      <c r="D2" s="25"/>
      <c r="E2" s="25"/>
      <c r="F2" s="25"/>
      <c r="G2" s="25"/>
      <c r="H2" s="13"/>
    </row>
    <row r="3" spans="1:8" ht="15.75">
      <c r="A3" s="28"/>
      <c r="B3" s="148" t="s">
        <v>160</v>
      </c>
      <c r="C3" s="126"/>
      <c r="D3" s="25"/>
      <c r="E3" s="25"/>
      <c r="F3" s="25"/>
      <c r="G3" s="25"/>
      <c r="H3" s="13"/>
    </row>
    <row r="4" spans="1:8" ht="15">
      <c r="A4" s="25">
        <v>1263</v>
      </c>
      <c r="B4" s="149" t="s">
        <v>227</v>
      </c>
      <c r="C4" s="126">
        <v>120</v>
      </c>
      <c r="D4" s="25"/>
      <c r="E4" s="25"/>
      <c r="F4" s="25"/>
      <c r="G4" s="25"/>
      <c r="H4" s="13"/>
    </row>
    <row r="5" spans="1:8" ht="15">
      <c r="A5" s="25">
        <v>1811</v>
      </c>
      <c r="B5" s="149" t="s">
        <v>236</v>
      </c>
      <c r="C5" s="126">
        <v>32</v>
      </c>
      <c r="D5" s="25"/>
      <c r="E5" s="25"/>
      <c r="F5" s="25"/>
      <c r="G5" s="25"/>
      <c r="H5" s="13"/>
    </row>
    <row r="6" spans="1:8" ht="15.75">
      <c r="A6" s="28"/>
      <c r="B6" s="148" t="s">
        <v>63</v>
      </c>
      <c r="C6" s="127">
        <f>SUM(C4:C5)</f>
        <v>152</v>
      </c>
      <c r="D6" s="28">
        <f>SUM(D4:D5)</f>
        <v>0</v>
      </c>
      <c r="E6" s="25"/>
      <c r="F6" s="25"/>
      <c r="G6" s="25"/>
      <c r="H6" s="13"/>
    </row>
    <row r="7" spans="1:8" ht="12.75" customHeight="1">
      <c r="A7" s="25"/>
      <c r="B7" s="28"/>
      <c r="C7" s="126"/>
      <c r="D7" s="25"/>
      <c r="E7" s="25"/>
      <c r="F7" s="25"/>
      <c r="G7" s="25"/>
      <c r="H7" s="13"/>
    </row>
    <row r="8" spans="1:8" ht="15">
      <c r="A8" s="25"/>
      <c r="B8" s="25"/>
      <c r="C8" s="126"/>
      <c r="D8" s="25"/>
      <c r="E8" s="25"/>
      <c r="F8" s="25"/>
      <c r="G8" s="25"/>
      <c r="H8" s="13"/>
    </row>
    <row r="9" spans="1:9" ht="18" customHeight="1">
      <c r="A9" s="25">
        <v>52211</v>
      </c>
      <c r="B9" s="112" t="s">
        <v>201</v>
      </c>
      <c r="C9" s="127">
        <v>360</v>
      </c>
      <c r="D9" s="28">
        <v>360</v>
      </c>
      <c r="E9" s="25">
        <v>360</v>
      </c>
      <c r="F9" s="25"/>
      <c r="G9" s="25">
        <v>420</v>
      </c>
      <c r="H9" s="13">
        <v>420</v>
      </c>
      <c r="I9" s="11" t="s">
        <v>831</v>
      </c>
    </row>
    <row r="10" spans="1:8" ht="18.75" customHeight="1">
      <c r="A10" s="25">
        <v>514145</v>
      </c>
      <c r="B10" s="112" t="s">
        <v>186</v>
      </c>
      <c r="C10" s="127"/>
      <c r="D10" s="28"/>
      <c r="E10" s="25"/>
      <c r="F10" s="25"/>
      <c r="G10" s="25"/>
      <c r="H10" s="13"/>
    </row>
    <row r="11" spans="1:8" ht="18.75" customHeight="1">
      <c r="A11" s="25"/>
      <c r="B11" s="112"/>
      <c r="C11" s="127"/>
      <c r="D11" s="28"/>
      <c r="E11" s="25"/>
      <c r="F11" s="25"/>
      <c r="G11" s="25"/>
      <c r="H11" s="13"/>
    </row>
    <row r="12" spans="1:8" ht="21" customHeight="1">
      <c r="A12" s="25"/>
      <c r="B12" s="28" t="s">
        <v>106</v>
      </c>
      <c r="C12" s="342">
        <f aca="true" t="shared" si="0" ref="C12:H12">SUM(C8:C11)</f>
        <v>360</v>
      </c>
      <c r="D12" s="29">
        <f t="shared" si="0"/>
        <v>360</v>
      </c>
      <c r="E12" s="29">
        <f t="shared" si="0"/>
        <v>360</v>
      </c>
      <c r="F12" s="29">
        <f t="shared" si="0"/>
        <v>0</v>
      </c>
      <c r="G12" s="29">
        <f t="shared" si="0"/>
        <v>420</v>
      </c>
      <c r="H12" s="29">
        <f t="shared" si="0"/>
        <v>420</v>
      </c>
    </row>
    <row r="13" spans="1:9" ht="15.75">
      <c r="A13" s="25">
        <v>531125</v>
      </c>
      <c r="B13" s="25" t="s">
        <v>307</v>
      </c>
      <c r="C13" s="369"/>
      <c r="D13" s="27">
        <f>D12*27%</f>
        <v>97.2</v>
      </c>
      <c r="E13" s="25">
        <v>87</v>
      </c>
      <c r="F13" s="25"/>
      <c r="G13" s="26">
        <f>I13*27%+1</f>
        <v>114.4</v>
      </c>
      <c r="H13" s="26">
        <f>I13*27%+1</f>
        <v>114.4</v>
      </c>
      <c r="I13" s="11">
        <f>G9</f>
        <v>420</v>
      </c>
    </row>
    <row r="14" spans="1:8" ht="15.75">
      <c r="A14" s="25">
        <v>5331</v>
      </c>
      <c r="B14" s="25" t="s">
        <v>4</v>
      </c>
      <c r="C14" s="127"/>
      <c r="D14" s="28"/>
      <c r="E14" s="25"/>
      <c r="F14" s="25"/>
      <c r="G14" s="25"/>
      <c r="H14" s="13"/>
    </row>
    <row r="15" spans="1:8" ht="15.75">
      <c r="A15" s="25">
        <v>5341</v>
      </c>
      <c r="B15" s="25" t="s">
        <v>42</v>
      </c>
      <c r="C15" s="127"/>
      <c r="D15" s="28"/>
      <c r="E15" s="25"/>
      <c r="F15" s="25"/>
      <c r="G15" s="25"/>
      <c r="H15" s="13"/>
    </row>
    <row r="16" spans="1:8" ht="18.75" customHeight="1">
      <c r="A16" s="28">
        <v>53</v>
      </c>
      <c r="B16" s="28" t="s">
        <v>100</v>
      </c>
      <c r="C16" s="342">
        <f aca="true" t="shared" si="1" ref="C16:H16">SUM(C13:C15)</f>
        <v>0</v>
      </c>
      <c r="D16" s="29">
        <f t="shared" si="1"/>
        <v>97.2</v>
      </c>
      <c r="E16" s="29">
        <f t="shared" si="1"/>
        <v>87</v>
      </c>
      <c r="F16" s="29">
        <f t="shared" si="1"/>
        <v>0</v>
      </c>
      <c r="G16" s="29">
        <f t="shared" si="1"/>
        <v>114.4</v>
      </c>
      <c r="H16" s="29">
        <f t="shared" si="1"/>
        <v>114.4</v>
      </c>
    </row>
    <row r="17" spans="1:8" ht="18.75" customHeight="1">
      <c r="A17" s="28"/>
      <c r="B17" s="28"/>
      <c r="C17" s="342"/>
      <c r="D17" s="29"/>
      <c r="E17" s="25"/>
      <c r="F17" s="25"/>
      <c r="G17" s="25"/>
      <c r="H17" s="13"/>
    </row>
    <row r="18" spans="1:8" ht="18.75" customHeight="1">
      <c r="A18" s="25">
        <v>37315</v>
      </c>
      <c r="B18" s="25" t="s">
        <v>813</v>
      </c>
      <c r="C18" s="342">
        <v>150</v>
      </c>
      <c r="D18" s="29">
        <v>150</v>
      </c>
      <c r="E18" s="25"/>
      <c r="F18" s="25"/>
      <c r="G18" s="25"/>
      <c r="H18" s="13"/>
    </row>
    <row r="19" spans="1:8" ht="15" customHeight="1">
      <c r="A19" s="25">
        <v>38115</v>
      </c>
      <c r="B19" s="25" t="s">
        <v>189</v>
      </c>
      <c r="C19" s="127"/>
      <c r="D19" s="28"/>
      <c r="E19" s="25"/>
      <c r="F19" s="25"/>
      <c r="G19" s="25"/>
      <c r="H19" s="13"/>
    </row>
    <row r="20" spans="1:8" s="12" customFormat="1" ht="15" customHeight="1">
      <c r="A20" s="28"/>
      <c r="B20" s="28" t="s">
        <v>190</v>
      </c>
      <c r="C20" s="342">
        <f>SUM(C18:C19)</f>
        <v>150</v>
      </c>
      <c r="D20" s="29">
        <f>SUM(D18:D19)</f>
        <v>150</v>
      </c>
      <c r="E20" s="29">
        <f>SUM(E18:E19)</f>
        <v>0</v>
      </c>
      <c r="F20" s="29">
        <f>SUM(F18:F19)</f>
        <v>0</v>
      </c>
      <c r="G20" s="29">
        <f>SUM(G18:G19)</f>
        <v>0</v>
      </c>
      <c r="H20" s="237"/>
    </row>
    <row r="21" spans="1:8" ht="15" customHeight="1">
      <c r="A21" s="25"/>
      <c r="B21" s="25"/>
      <c r="C21" s="127"/>
      <c r="D21" s="28"/>
      <c r="E21" s="25"/>
      <c r="F21" s="25"/>
      <c r="G21" s="25"/>
      <c r="H21" s="13"/>
    </row>
    <row r="22" spans="1:8" ht="15.75">
      <c r="A22" s="25">
        <v>54412</v>
      </c>
      <c r="B22" s="25" t="s">
        <v>107</v>
      </c>
      <c r="C22" s="127">
        <v>20</v>
      </c>
      <c r="D22" s="28">
        <v>40</v>
      </c>
      <c r="E22" s="25">
        <v>45</v>
      </c>
      <c r="F22" s="25">
        <v>45</v>
      </c>
      <c r="G22" s="25">
        <v>50</v>
      </c>
      <c r="H22" s="13">
        <v>50</v>
      </c>
    </row>
    <row r="23" spans="1:9" ht="15.75">
      <c r="A23" s="25">
        <v>54711</v>
      </c>
      <c r="B23" s="25" t="s">
        <v>90</v>
      </c>
      <c r="C23" s="127"/>
      <c r="D23" s="28"/>
      <c r="E23" s="25">
        <v>118</v>
      </c>
      <c r="F23" s="25">
        <v>118</v>
      </c>
      <c r="G23" s="25">
        <v>118</v>
      </c>
      <c r="H23" s="13">
        <v>118</v>
      </c>
      <c r="I23" s="11" t="s">
        <v>814</v>
      </c>
    </row>
    <row r="24" spans="1:9" ht="15.75">
      <c r="A24" s="25">
        <v>54712</v>
      </c>
      <c r="B24" s="25" t="s">
        <v>149</v>
      </c>
      <c r="C24" s="127"/>
      <c r="D24" s="28"/>
      <c r="E24" s="25"/>
      <c r="F24" s="25"/>
      <c r="G24" s="25"/>
      <c r="H24" s="13">
        <v>16</v>
      </c>
      <c r="I24" s="11" t="s">
        <v>853</v>
      </c>
    </row>
    <row r="25" spans="1:8" ht="15.75">
      <c r="A25" s="25">
        <v>5481</v>
      </c>
      <c r="B25" s="25" t="s">
        <v>130</v>
      </c>
      <c r="C25" s="127"/>
      <c r="D25" s="28"/>
      <c r="E25" s="25"/>
      <c r="F25" s="25"/>
      <c r="G25" s="25"/>
      <c r="H25" s="13"/>
    </row>
    <row r="26" spans="1:8" ht="15.75" customHeight="1">
      <c r="A26" s="25">
        <v>54913</v>
      </c>
      <c r="B26" s="150" t="s">
        <v>129</v>
      </c>
      <c r="C26" s="127"/>
      <c r="D26" s="28"/>
      <c r="E26" s="25"/>
      <c r="F26" s="25"/>
      <c r="G26" s="25"/>
      <c r="H26" s="13"/>
    </row>
    <row r="27" spans="1:8" ht="19.5" customHeight="1">
      <c r="A27" s="28">
        <v>54</v>
      </c>
      <c r="B27" s="28" t="s">
        <v>100</v>
      </c>
      <c r="C27" s="342">
        <f aca="true" t="shared" si="2" ref="C27:H27">SUM(C22:C26)</f>
        <v>20</v>
      </c>
      <c r="D27" s="29">
        <f t="shared" si="2"/>
        <v>40</v>
      </c>
      <c r="E27" s="29">
        <f t="shared" si="2"/>
        <v>163</v>
      </c>
      <c r="F27" s="29">
        <f t="shared" si="2"/>
        <v>163</v>
      </c>
      <c r="G27" s="29">
        <f t="shared" si="2"/>
        <v>168</v>
      </c>
      <c r="H27" s="29">
        <f t="shared" si="2"/>
        <v>184</v>
      </c>
    </row>
    <row r="28" spans="1:8" ht="10.5" customHeight="1">
      <c r="A28" s="25"/>
      <c r="B28" s="25"/>
      <c r="C28" s="127"/>
      <c r="D28" s="28"/>
      <c r="E28" s="25"/>
      <c r="F28" s="25"/>
      <c r="G28" s="25"/>
      <c r="H28" s="13"/>
    </row>
    <row r="29" spans="1:8" ht="15.75">
      <c r="A29" s="25">
        <v>55111</v>
      </c>
      <c r="B29" s="25" t="s">
        <v>105</v>
      </c>
      <c r="C29" s="127">
        <v>96</v>
      </c>
      <c r="D29" s="28">
        <v>96</v>
      </c>
      <c r="E29" s="28">
        <v>98</v>
      </c>
      <c r="F29" s="25">
        <v>120</v>
      </c>
      <c r="G29" s="25">
        <v>120</v>
      </c>
      <c r="H29" s="13">
        <v>120</v>
      </c>
    </row>
    <row r="30" spans="1:8" ht="15.75">
      <c r="A30" s="25">
        <v>55112</v>
      </c>
      <c r="B30" s="25" t="s">
        <v>202</v>
      </c>
      <c r="C30" s="127">
        <v>120</v>
      </c>
      <c r="D30" s="28">
        <v>120</v>
      </c>
      <c r="E30" s="28">
        <v>98</v>
      </c>
      <c r="F30" s="25">
        <v>87</v>
      </c>
      <c r="G30" s="25">
        <v>87</v>
      </c>
      <c r="H30" s="13">
        <v>87</v>
      </c>
    </row>
    <row r="31" spans="1:8" ht="15.75">
      <c r="A31" s="25">
        <v>55214</v>
      </c>
      <c r="B31" s="25" t="s">
        <v>101</v>
      </c>
      <c r="C31" s="127"/>
      <c r="D31" s="28"/>
      <c r="E31" s="25"/>
      <c r="F31" s="25"/>
      <c r="G31" s="25"/>
      <c r="H31" s="13"/>
    </row>
    <row r="32" spans="1:8" ht="15.75">
      <c r="A32" s="25">
        <v>55215</v>
      </c>
      <c r="B32" s="25" t="s">
        <v>102</v>
      </c>
      <c r="C32" s="127"/>
      <c r="D32" s="28"/>
      <c r="E32" s="25"/>
      <c r="F32" s="25"/>
      <c r="G32" s="25"/>
      <c r="H32" s="13"/>
    </row>
    <row r="33" spans="1:8" ht="15.75">
      <c r="A33" s="25">
        <v>55217</v>
      </c>
      <c r="B33" s="25" t="s">
        <v>103</v>
      </c>
      <c r="C33" s="127"/>
      <c r="D33" s="28"/>
      <c r="E33" s="25"/>
      <c r="F33" s="25"/>
      <c r="G33" s="25"/>
      <c r="H33" s="13"/>
    </row>
    <row r="34" spans="1:8" ht="15.75">
      <c r="A34" s="25">
        <v>552181</v>
      </c>
      <c r="B34" s="25" t="s">
        <v>148</v>
      </c>
      <c r="C34" s="127"/>
      <c r="D34" s="28"/>
      <c r="E34" s="25"/>
      <c r="F34" s="25">
        <v>8</v>
      </c>
      <c r="G34" s="25"/>
      <c r="H34" s="13"/>
    </row>
    <row r="35" spans="1:8" ht="15.75">
      <c r="A35" s="25"/>
      <c r="B35" s="25"/>
      <c r="C35" s="127"/>
      <c r="D35" s="28"/>
      <c r="E35" s="25"/>
      <c r="F35" s="25"/>
      <c r="G35" s="25"/>
      <c r="H35" s="13"/>
    </row>
    <row r="36" spans="1:8" ht="15.75">
      <c r="A36" s="25"/>
      <c r="B36" s="25"/>
      <c r="C36" s="127"/>
      <c r="D36" s="28"/>
      <c r="E36" s="25"/>
      <c r="F36" s="25"/>
      <c r="G36" s="25"/>
      <c r="H36" s="13"/>
    </row>
    <row r="37" spans="1:13" ht="35.25" customHeight="1">
      <c r="A37" s="598">
        <v>5531</v>
      </c>
      <c r="B37" s="598" t="s">
        <v>591</v>
      </c>
      <c r="C37" s="370"/>
      <c r="D37" s="151"/>
      <c r="E37" s="371"/>
      <c r="F37" s="371"/>
      <c r="G37" s="476"/>
      <c r="H37" s="561"/>
      <c r="I37" s="152"/>
      <c r="J37" s="152"/>
      <c r="K37" s="152"/>
      <c r="L37" s="152"/>
      <c r="M37" s="152"/>
    </row>
    <row r="38" spans="1:8" ht="15.75" customHeight="1" hidden="1">
      <c r="A38" s="598"/>
      <c r="B38" s="573"/>
      <c r="C38" s="370"/>
      <c r="D38" s="151"/>
      <c r="E38" s="25"/>
      <c r="F38" s="25"/>
      <c r="G38" s="25"/>
      <c r="H38" s="13"/>
    </row>
    <row r="39" spans="1:8" ht="18.75" customHeight="1">
      <c r="A39" s="28">
        <v>55</v>
      </c>
      <c r="B39" s="28" t="s">
        <v>65</v>
      </c>
      <c r="C39" s="342">
        <f aca="true" t="shared" si="3" ref="C39:H39">SUM(C29:C38)</f>
        <v>216</v>
      </c>
      <c r="D39" s="29">
        <f t="shared" si="3"/>
        <v>216</v>
      </c>
      <c r="E39" s="29">
        <f t="shared" si="3"/>
        <v>196</v>
      </c>
      <c r="F39" s="29">
        <f t="shared" si="3"/>
        <v>215</v>
      </c>
      <c r="G39" s="29">
        <f t="shared" si="3"/>
        <v>207</v>
      </c>
      <c r="H39" s="29">
        <f t="shared" si="3"/>
        <v>207</v>
      </c>
    </row>
    <row r="40" spans="1:8" ht="10.5" customHeight="1">
      <c r="A40" s="25"/>
      <c r="B40" s="25"/>
      <c r="C40" s="127"/>
      <c r="D40" s="28"/>
      <c r="E40" s="25"/>
      <c r="F40" s="25"/>
      <c r="G40" s="25"/>
      <c r="H40" s="13"/>
    </row>
    <row r="41" spans="1:10" ht="17.25" customHeight="1">
      <c r="A41" s="25">
        <v>56111</v>
      </c>
      <c r="B41" s="25" t="s">
        <v>104</v>
      </c>
      <c r="C41" s="342">
        <f>(C27+C39)*0.27</f>
        <v>63.720000000000006</v>
      </c>
      <c r="D41" s="29">
        <f>(D27+D39)*0.27</f>
        <v>69.12</v>
      </c>
      <c r="E41" s="26">
        <f>(E39+E27)*27%</f>
        <v>96.93</v>
      </c>
      <c r="F41" s="25">
        <v>102</v>
      </c>
      <c r="G41" s="26">
        <f>I41*27%+1</f>
        <v>102.25</v>
      </c>
      <c r="H41" s="26">
        <f>J41*27%+1</f>
        <v>106.57000000000001</v>
      </c>
      <c r="I41" s="18">
        <f>G39+G27</f>
        <v>375</v>
      </c>
      <c r="J41" s="18">
        <f>H39+H27</f>
        <v>391</v>
      </c>
    </row>
    <row r="42" spans="1:8" ht="15.75">
      <c r="A42" s="25">
        <v>56211</v>
      </c>
      <c r="B42" s="25" t="s">
        <v>18</v>
      </c>
      <c r="C42" s="127"/>
      <c r="D42" s="28"/>
      <c r="E42" s="25"/>
      <c r="F42" s="25"/>
      <c r="G42" s="25"/>
      <c r="H42" s="13"/>
    </row>
    <row r="43" spans="1:8" ht="15.75">
      <c r="A43" s="25">
        <v>56214</v>
      </c>
      <c r="B43" s="25" t="s">
        <v>114</v>
      </c>
      <c r="C43" s="127"/>
      <c r="D43" s="28"/>
      <c r="E43" s="25"/>
      <c r="F43" s="25"/>
      <c r="G43" s="25"/>
      <c r="H43" s="13"/>
    </row>
    <row r="44" spans="1:8" ht="19.5" customHeight="1">
      <c r="A44" s="28">
        <v>56</v>
      </c>
      <c r="B44" s="28" t="s">
        <v>100</v>
      </c>
      <c r="C44" s="342">
        <f aca="true" t="shared" si="4" ref="C44:H44">SUM(C41:C43)</f>
        <v>63.720000000000006</v>
      </c>
      <c r="D44" s="29">
        <f t="shared" si="4"/>
        <v>69.12</v>
      </c>
      <c r="E44" s="29">
        <f t="shared" si="4"/>
        <v>96.93</v>
      </c>
      <c r="F44" s="29">
        <f t="shared" si="4"/>
        <v>102</v>
      </c>
      <c r="G44" s="29">
        <f t="shared" si="4"/>
        <v>102.25</v>
      </c>
      <c r="H44" s="29">
        <f t="shared" si="4"/>
        <v>106.57000000000001</v>
      </c>
    </row>
    <row r="45" spans="1:8" ht="12" customHeight="1">
      <c r="A45" s="25"/>
      <c r="B45" s="25"/>
      <c r="C45" s="127"/>
      <c r="D45" s="28"/>
      <c r="E45" s="25"/>
      <c r="F45" s="25"/>
      <c r="G45" s="25"/>
      <c r="H45" s="13"/>
    </row>
    <row r="46" spans="1:8" ht="15.75">
      <c r="A46" s="25"/>
      <c r="B46" s="25"/>
      <c r="C46" s="127"/>
      <c r="D46" s="28"/>
      <c r="E46" s="25"/>
      <c r="F46" s="25"/>
      <c r="G46" s="25"/>
      <c r="H46" s="13"/>
    </row>
    <row r="47" spans="1:8" ht="19.5" customHeight="1">
      <c r="A47" s="28"/>
      <c r="B47" s="28"/>
      <c r="C47" s="127"/>
      <c r="D47" s="28"/>
      <c r="E47" s="25"/>
      <c r="F47" s="25"/>
      <c r="G47" s="25"/>
      <c r="H47" s="13"/>
    </row>
    <row r="48" spans="1:8" ht="15.75">
      <c r="A48" s="28"/>
      <c r="B48" s="28" t="s">
        <v>29</v>
      </c>
      <c r="C48" s="342">
        <f aca="true" t="shared" si="5" ref="C48:H48">SUM(C47,C44,C39,C27,C20)</f>
        <v>449.72</v>
      </c>
      <c r="D48" s="29">
        <f t="shared" si="5"/>
        <v>475.12</v>
      </c>
      <c r="E48" s="29">
        <f t="shared" si="5"/>
        <v>455.93</v>
      </c>
      <c r="F48" s="29">
        <f t="shared" si="5"/>
        <v>480</v>
      </c>
      <c r="G48" s="29">
        <f t="shared" si="5"/>
        <v>477.25</v>
      </c>
      <c r="H48" s="29">
        <f t="shared" si="5"/>
        <v>497.57</v>
      </c>
    </row>
    <row r="49" spans="1:8" ht="10.5" customHeight="1">
      <c r="A49" s="28"/>
      <c r="B49" s="28"/>
      <c r="C49" s="126"/>
      <c r="D49" s="25"/>
      <c r="E49" s="25"/>
      <c r="F49" s="25"/>
      <c r="G49" s="25"/>
      <c r="H49" s="13"/>
    </row>
    <row r="50" spans="1:8" ht="22.5" customHeight="1" thickBot="1">
      <c r="A50" s="139"/>
      <c r="B50" s="153" t="s">
        <v>43</v>
      </c>
      <c r="C50" s="154">
        <f aca="true" t="shared" si="6" ref="C50:H50">SUM(C48,C16,C12)</f>
        <v>809.72</v>
      </c>
      <c r="D50" s="29">
        <f t="shared" si="6"/>
        <v>932.32</v>
      </c>
      <c r="E50" s="29">
        <f t="shared" si="6"/>
        <v>902.9300000000001</v>
      </c>
      <c r="F50" s="29">
        <f t="shared" si="6"/>
        <v>480</v>
      </c>
      <c r="G50" s="29">
        <f t="shared" si="6"/>
        <v>1011.65</v>
      </c>
      <c r="H50" s="29">
        <f t="shared" si="6"/>
        <v>1031.97</v>
      </c>
    </row>
    <row r="51" spans="1:8" ht="16.5" thickBot="1">
      <c r="A51" s="12"/>
      <c r="B51" s="12"/>
      <c r="D51" s="25"/>
      <c r="E51" s="25"/>
      <c r="F51" s="25"/>
      <c r="G51" s="25"/>
      <c r="H51" s="13"/>
    </row>
    <row r="52" spans="1:8" ht="16.5" thickBot="1">
      <c r="A52" s="14"/>
      <c r="B52" s="144" t="s">
        <v>188</v>
      </c>
      <c r="C52" s="145">
        <f aca="true" t="shared" si="7" ref="C52:H52">SUM(C50+C6)</f>
        <v>961.72</v>
      </c>
      <c r="D52" s="30">
        <f t="shared" si="7"/>
        <v>932.32</v>
      </c>
      <c r="E52" s="30">
        <f t="shared" si="7"/>
        <v>902.9300000000001</v>
      </c>
      <c r="F52" s="30">
        <f t="shared" si="7"/>
        <v>480</v>
      </c>
      <c r="G52" s="30">
        <f t="shared" si="7"/>
        <v>1011.65</v>
      </c>
      <c r="H52" s="30">
        <f t="shared" si="7"/>
        <v>1031.97</v>
      </c>
    </row>
  </sheetData>
  <sheetProtection/>
  <mergeCells count="2">
    <mergeCell ref="A37:A38"/>
    <mergeCell ref="B37:B38"/>
  </mergeCells>
  <printOptions/>
  <pageMargins left="0.7" right="0.7" top="0.75" bottom="0.75" header="0.3" footer="0.3"/>
  <pageSetup horizontalDpi="300" verticalDpi="300" orientation="portrait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N59"/>
  <sheetViews>
    <sheetView view="pageBreakPreview" zoomScale="60" zoomScalePageLayoutView="0" workbookViewId="0" topLeftCell="A34">
      <selection activeCell="I47" sqref="I47"/>
    </sheetView>
  </sheetViews>
  <sheetFormatPr defaultColWidth="8.66015625" defaultRowHeight="18"/>
  <cols>
    <col min="1" max="1" width="9" style="11" bestFit="1" customWidth="1"/>
    <col min="2" max="2" width="34.33203125" style="11" customWidth="1"/>
    <col min="3" max="4" width="7.41015625" style="11" customWidth="1"/>
    <col min="5" max="5" width="11" style="11" customWidth="1"/>
    <col min="6" max="6" width="8.91015625" style="11" customWidth="1"/>
    <col min="7" max="8" width="10.08203125" style="11" customWidth="1"/>
    <col min="9" max="16384" width="8.91015625" style="11" customWidth="1"/>
  </cols>
  <sheetData>
    <row r="1" spans="1:8" ht="29.25" customHeight="1" thickBot="1">
      <c r="A1" s="139"/>
      <c r="B1" s="155" t="s">
        <v>215</v>
      </c>
      <c r="C1" s="13" t="s">
        <v>309</v>
      </c>
      <c r="D1" s="13" t="s">
        <v>285</v>
      </c>
      <c r="E1" s="17" t="s">
        <v>651</v>
      </c>
      <c r="F1" s="11" t="s">
        <v>663</v>
      </c>
      <c r="G1" s="11" t="s">
        <v>653</v>
      </c>
      <c r="H1" s="11" t="s">
        <v>851</v>
      </c>
    </row>
    <row r="2" spans="1:6" ht="15.75">
      <c r="A2" s="14"/>
      <c r="B2" s="147"/>
      <c r="C2" s="13"/>
      <c r="D2" s="13"/>
      <c r="F2" s="11" t="s">
        <v>203</v>
      </c>
    </row>
    <row r="3" spans="1:8" ht="15.75">
      <c r="A3" s="28"/>
      <c r="B3" s="148" t="s">
        <v>563</v>
      </c>
      <c r="C3" s="25"/>
      <c r="D3" s="25"/>
      <c r="E3" s="25"/>
      <c r="F3" s="25"/>
      <c r="G3" s="25"/>
      <c r="H3" s="25"/>
    </row>
    <row r="4" spans="1:8" ht="15">
      <c r="A4" s="25">
        <v>13152</v>
      </c>
      <c r="B4" s="149" t="s">
        <v>272</v>
      </c>
      <c r="C4" s="25">
        <v>120</v>
      </c>
      <c r="D4" s="25"/>
      <c r="E4" s="25"/>
      <c r="F4" s="25"/>
      <c r="G4" s="25"/>
      <c r="H4" s="25">
        <v>197</v>
      </c>
    </row>
    <row r="5" spans="1:8" ht="15">
      <c r="A5" s="25"/>
      <c r="B5" s="149" t="s">
        <v>562</v>
      </c>
      <c r="C5" s="25"/>
      <c r="D5" s="25">
        <v>394</v>
      </c>
      <c r="E5" s="25"/>
      <c r="F5" s="25"/>
      <c r="G5" s="25"/>
      <c r="H5" s="25"/>
    </row>
    <row r="6" spans="1:8" ht="15">
      <c r="A6" s="25">
        <v>1811</v>
      </c>
      <c r="B6" s="149" t="s">
        <v>236</v>
      </c>
      <c r="C6" s="25">
        <v>32</v>
      </c>
      <c r="D6" s="25">
        <v>106</v>
      </c>
      <c r="E6" s="25"/>
      <c r="F6" s="25"/>
      <c r="G6" s="25"/>
      <c r="H6" s="26">
        <f>H4*27%</f>
        <v>53.190000000000005</v>
      </c>
    </row>
    <row r="7" spans="1:8" ht="15.75">
      <c r="A7" s="28"/>
      <c r="B7" s="148" t="s">
        <v>63</v>
      </c>
      <c r="C7" s="28">
        <f>SUM(C4:C6)</f>
        <v>152</v>
      </c>
      <c r="D7" s="28">
        <f>SUM(D4:D6)</f>
        <v>500</v>
      </c>
      <c r="E7" s="28">
        <f>SUM(E4:E6)</f>
        <v>0</v>
      </c>
      <c r="F7" s="25"/>
      <c r="G7" s="25"/>
      <c r="H7" s="26">
        <f>SUM(H4:H6)</f>
        <v>250.19</v>
      </c>
    </row>
    <row r="8" spans="1:8" ht="12.75" customHeight="1">
      <c r="A8" s="25"/>
      <c r="B8" s="28"/>
      <c r="C8" s="25"/>
      <c r="D8" s="25"/>
      <c r="E8" s="25"/>
      <c r="F8" s="25"/>
      <c r="G8" s="25"/>
      <c r="H8" s="25"/>
    </row>
    <row r="9" spans="1:8" ht="15">
      <c r="A9" s="25"/>
      <c r="B9" s="25"/>
      <c r="C9" s="25"/>
      <c r="D9" s="25"/>
      <c r="E9" s="25"/>
      <c r="F9" s="25"/>
      <c r="G9" s="25"/>
      <c r="H9" s="25"/>
    </row>
    <row r="10" spans="1:8" ht="17.25" customHeight="1">
      <c r="A10" s="25">
        <v>511115</v>
      </c>
      <c r="B10" s="112" t="s">
        <v>137</v>
      </c>
      <c r="C10" s="28">
        <v>1101</v>
      </c>
      <c r="D10" s="28">
        <v>1368</v>
      </c>
      <c r="E10" s="27">
        <f>'[3]GEVSZ'!$P$15/1000</f>
        <v>1214.5</v>
      </c>
      <c r="F10" s="25"/>
      <c r="G10" s="25">
        <v>1257</v>
      </c>
      <c r="H10" s="25">
        <v>1257</v>
      </c>
    </row>
    <row r="11" spans="1:8" ht="18" customHeight="1">
      <c r="A11" s="25">
        <v>512185</v>
      </c>
      <c r="B11" s="112" t="s">
        <v>200</v>
      </c>
      <c r="C11" s="28">
        <v>80</v>
      </c>
      <c r="D11" s="28">
        <v>80</v>
      </c>
      <c r="E11" s="28">
        <v>80</v>
      </c>
      <c r="F11" s="25"/>
      <c r="G11" s="25">
        <v>80</v>
      </c>
      <c r="H11" s="25">
        <v>80</v>
      </c>
    </row>
    <row r="12" spans="1:8" ht="18" customHeight="1">
      <c r="A12" s="25"/>
      <c r="B12" s="112" t="s">
        <v>840</v>
      </c>
      <c r="C12" s="28"/>
      <c r="D12" s="28"/>
      <c r="E12" s="28"/>
      <c r="F12" s="25"/>
      <c r="G12" s="25">
        <v>105</v>
      </c>
      <c r="H12" s="25">
        <v>105</v>
      </c>
    </row>
    <row r="13" spans="1:8" ht="18" customHeight="1">
      <c r="A13" s="25">
        <v>513195</v>
      </c>
      <c r="B13" s="112" t="s">
        <v>150</v>
      </c>
      <c r="C13" s="28">
        <v>10</v>
      </c>
      <c r="D13" s="28">
        <v>10</v>
      </c>
      <c r="E13" s="28"/>
      <c r="F13" s="25"/>
      <c r="G13" s="25"/>
      <c r="H13" s="25"/>
    </row>
    <row r="14" spans="1:8" ht="18" customHeight="1">
      <c r="A14" s="25">
        <v>52213</v>
      </c>
      <c r="B14" s="112" t="s">
        <v>224</v>
      </c>
      <c r="C14" s="28"/>
      <c r="D14" s="28">
        <v>0</v>
      </c>
      <c r="E14" s="28">
        <v>15</v>
      </c>
      <c r="F14" s="25"/>
      <c r="G14" s="25">
        <v>29</v>
      </c>
      <c r="H14" s="25">
        <v>29</v>
      </c>
    </row>
    <row r="15" spans="1:8" ht="18.75" customHeight="1">
      <c r="A15" s="25">
        <v>514145</v>
      </c>
      <c r="B15" s="112" t="s">
        <v>673</v>
      </c>
      <c r="C15" s="28">
        <v>120</v>
      </c>
      <c r="D15" s="28">
        <v>120</v>
      </c>
      <c r="E15" s="28">
        <v>60</v>
      </c>
      <c r="F15" s="25"/>
      <c r="G15" s="25">
        <v>150</v>
      </c>
      <c r="H15" s="25">
        <v>150</v>
      </c>
    </row>
    <row r="16" spans="1:8" ht="18.75" customHeight="1">
      <c r="A16" s="25"/>
      <c r="B16" s="112"/>
      <c r="C16" s="28"/>
      <c r="D16" s="28"/>
      <c r="E16" s="28"/>
      <c r="F16" s="25"/>
      <c r="G16" s="25"/>
      <c r="H16" s="25"/>
    </row>
    <row r="17" spans="1:8" ht="21" customHeight="1">
      <c r="A17" s="25"/>
      <c r="B17" s="28" t="s">
        <v>106</v>
      </c>
      <c r="C17" s="29">
        <f aca="true" t="shared" si="0" ref="C17:H17">SUM(C9:C16)</f>
        <v>1311</v>
      </c>
      <c r="D17" s="29">
        <f t="shared" si="0"/>
        <v>1578</v>
      </c>
      <c r="E17" s="29">
        <f t="shared" si="0"/>
        <v>1369.5</v>
      </c>
      <c r="F17" s="29">
        <f t="shared" si="0"/>
        <v>0</v>
      </c>
      <c r="G17" s="29">
        <f t="shared" si="0"/>
        <v>1621</v>
      </c>
      <c r="H17" s="29">
        <f t="shared" si="0"/>
        <v>1621</v>
      </c>
    </row>
    <row r="18" spans="1:8" ht="9" customHeight="1">
      <c r="A18" s="25"/>
      <c r="B18" s="28"/>
      <c r="C18" s="28"/>
      <c r="D18" s="28"/>
      <c r="E18" s="28"/>
      <c r="F18" s="25"/>
      <c r="G18" s="25"/>
      <c r="H18" s="25"/>
    </row>
    <row r="19" spans="1:10" ht="15.75">
      <c r="A19" s="25">
        <v>244</v>
      </c>
      <c r="B19" s="25" t="s">
        <v>307</v>
      </c>
      <c r="C19" s="27"/>
      <c r="D19" s="27">
        <v>391</v>
      </c>
      <c r="E19" s="27">
        <f>(E17-E15)*27%</f>
        <v>353.565</v>
      </c>
      <c r="F19" s="25"/>
      <c r="G19" s="26">
        <f>I19*27%</f>
        <v>397.17</v>
      </c>
      <c r="H19" s="26">
        <f>J19*27%</f>
        <v>397.17</v>
      </c>
      <c r="I19" s="18">
        <f>G17-G15</f>
        <v>1471</v>
      </c>
      <c r="J19" s="18">
        <f>H17-H15</f>
        <v>1471</v>
      </c>
    </row>
    <row r="20" spans="1:8" ht="15.75">
      <c r="A20" s="25">
        <v>5331</v>
      </c>
      <c r="B20" s="25" t="s">
        <v>4</v>
      </c>
      <c r="C20" s="28"/>
      <c r="D20" s="28"/>
      <c r="E20" s="27">
        <f>E15*16.7%</f>
        <v>10.02</v>
      </c>
      <c r="F20" s="25"/>
      <c r="G20" s="25">
        <v>25</v>
      </c>
      <c r="H20" s="25">
        <v>25</v>
      </c>
    </row>
    <row r="21" spans="1:8" ht="15.75">
      <c r="A21" s="25">
        <v>5341</v>
      </c>
      <c r="B21" s="25" t="s">
        <v>671</v>
      </c>
      <c r="C21" s="28"/>
      <c r="D21" s="28"/>
      <c r="E21" s="27"/>
      <c r="F21" s="25"/>
      <c r="G21" s="25">
        <v>29</v>
      </c>
      <c r="H21" s="25">
        <v>29</v>
      </c>
    </row>
    <row r="22" spans="1:8" ht="18.75" customHeight="1">
      <c r="A22" s="28">
        <v>53</v>
      </c>
      <c r="B22" s="28" t="s">
        <v>100</v>
      </c>
      <c r="C22" s="29">
        <f aca="true" t="shared" si="1" ref="C22:H22">SUM(C19:C21)</f>
        <v>0</v>
      </c>
      <c r="D22" s="29">
        <f t="shared" si="1"/>
        <v>391</v>
      </c>
      <c r="E22" s="27">
        <f t="shared" si="1"/>
        <v>363.585</v>
      </c>
      <c r="F22" s="27">
        <f t="shared" si="1"/>
        <v>0</v>
      </c>
      <c r="G22" s="27">
        <f t="shared" si="1"/>
        <v>451.17</v>
      </c>
      <c r="H22" s="27">
        <f t="shared" si="1"/>
        <v>451.17</v>
      </c>
    </row>
    <row r="23" spans="1:8" ht="18.75" customHeight="1">
      <c r="A23" s="28"/>
      <c r="B23" s="28"/>
      <c r="C23" s="29"/>
      <c r="D23" s="29"/>
      <c r="E23" s="27"/>
      <c r="F23" s="25"/>
      <c r="G23" s="25"/>
      <c r="H23" s="25"/>
    </row>
    <row r="24" spans="1:8" ht="18.75" customHeight="1">
      <c r="A24" s="25"/>
      <c r="B24" s="25"/>
      <c r="C24" s="29"/>
      <c r="D24" s="29"/>
      <c r="E24" s="27"/>
      <c r="F24" s="25"/>
      <c r="G24" s="25"/>
      <c r="H24" s="25"/>
    </row>
    <row r="25" spans="1:8" ht="15" customHeight="1">
      <c r="A25" s="25">
        <v>38115</v>
      </c>
      <c r="B25" s="25" t="s">
        <v>189</v>
      </c>
      <c r="C25" s="28"/>
      <c r="D25" s="28"/>
      <c r="E25" s="27"/>
      <c r="F25" s="25"/>
      <c r="G25" s="25"/>
      <c r="H25" s="25"/>
    </row>
    <row r="26" spans="1:8" s="12" customFormat="1" ht="15" customHeight="1">
      <c r="A26" s="28"/>
      <c r="B26" s="28" t="s">
        <v>190</v>
      </c>
      <c r="C26" s="29">
        <f>SUM(C24:C25)</f>
        <v>0</v>
      </c>
      <c r="D26" s="29">
        <f>SUM(D24:D25)</f>
        <v>0</v>
      </c>
      <c r="E26" s="27"/>
      <c r="F26" s="28"/>
      <c r="G26" s="28"/>
      <c r="H26" s="28"/>
    </row>
    <row r="27" spans="1:8" ht="15" customHeight="1">
      <c r="A27" s="25"/>
      <c r="B27" s="25"/>
      <c r="C27" s="28"/>
      <c r="D27" s="28"/>
      <c r="E27" s="27"/>
      <c r="F27" s="25"/>
      <c r="G27" s="25"/>
      <c r="H27" s="25"/>
    </row>
    <row r="28" spans="1:8" ht="15.75">
      <c r="A28" s="25">
        <v>54412</v>
      </c>
      <c r="B28" s="25" t="s">
        <v>107</v>
      </c>
      <c r="C28" s="28">
        <v>20</v>
      </c>
      <c r="D28" s="28">
        <v>10</v>
      </c>
      <c r="E28" s="27">
        <v>20</v>
      </c>
      <c r="F28" s="25"/>
      <c r="G28" s="25">
        <v>20</v>
      </c>
      <c r="H28" s="25">
        <v>20</v>
      </c>
    </row>
    <row r="29" spans="1:8" ht="15.75">
      <c r="A29" s="25">
        <v>54711</v>
      </c>
      <c r="B29" s="25" t="s">
        <v>90</v>
      </c>
      <c r="C29" s="28">
        <v>50</v>
      </c>
      <c r="D29" s="28">
        <v>50</v>
      </c>
      <c r="E29" s="27">
        <v>20</v>
      </c>
      <c r="F29" s="25"/>
      <c r="G29" s="25">
        <v>40</v>
      </c>
      <c r="H29" s="25">
        <v>40</v>
      </c>
    </row>
    <row r="30" spans="1:9" ht="15.75">
      <c r="A30" s="25">
        <v>54712</v>
      </c>
      <c r="B30" s="25" t="s">
        <v>267</v>
      </c>
      <c r="C30" s="28">
        <v>50</v>
      </c>
      <c r="D30" s="28">
        <v>50</v>
      </c>
      <c r="E30" s="27">
        <v>150</v>
      </c>
      <c r="F30" s="25"/>
      <c r="G30" s="25"/>
      <c r="H30" s="25"/>
      <c r="I30" s="11" t="s">
        <v>674</v>
      </c>
    </row>
    <row r="31" spans="1:8" ht="15.75">
      <c r="A31" s="25">
        <v>5481</v>
      </c>
      <c r="B31" s="25" t="s">
        <v>130</v>
      </c>
      <c r="C31" s="28">
        <v>20</v>
      </c>
      <c r="D31" s="28">
        <v>20</v>
      </c>
      <c r="E31" s="27">
        <v>20</v>
      </c>
      <c r="F31" s="25"/>
      <c r="G31" s="25">
        <v>20</v>
      </c>
      <c r="H31" s="25">
        <v>20</v>
      </c>
    </row>
    <row r="32" spans="1:8" ht="15.75" customHeight="1">
      <c r="A32" s="25">
        <v>54913</v>
      </c>
      <c r="B32" s="150" t="s">
        <v>170</v>
      </c>
      <c r="C32" s="28">
        <v>50</v>
      </c>
      <c r="D32" s="28">
        <v>50</v>
      </c>
      <c r="E32" s="27">
        <v>60</v>
      </c>
      <c r="F32" s="25">
        <v>87</v>
      </c>
      <c r="G32" s="25">
        <v>60</v>
      </c>
      <c r="H32" s="25">
        <v>60</v>
      </c>
    </row>
    <row r="33" spans="1:8" ht="19.5" customHeight="1">
      <c r="A33" s="28">
        <v>54</v>
      </c>
      <c r="B33" s="28" t="s">
        <v>100</v>
      </c>
      <c r="C33" s="29">
        <f>SUM(C28:C32)</f>
        <v>190</v>
      </c>
      <c r="D33" s="29">
        <f>SUM(D28:D32)</f>
        <v>180</v>
      </c>
      <c r="E33" s="27">
        <f>SUM(E28:E32)</f>
        <v>270</v>
      </c>
      <c r="F33" s="27">
        <f>SUM(F28:F32)</f>
        <v>87</v>
      </c>
      <c r="G33" s="27">
        <f>SUM(G28:G32)</f>
        <v>140</v>
      </c>
      <c r="H33" s="27"/>
    </row>
    <row r="34" spans="1:8" ht="10.5" customHeight="1">
      <c r="A34" s="25"/>
      <c r="B34" s="25"/>
      <c r="C34" s="28"/>
      <c r="D34" s="28"/>
      <c r="E34" s="27"/>
      <c r="F34" s="25"/>
      <c r="G34" s="25"/>
      <c r="H34" s="25"/>
    </row>
    <row r="35" spans="1:8" ht="15.75">
      <c r="A35" s="25">
        <v>55111</v>
      </c>
      <c r="B35" s="25" t="s">
        <v>105</v>
      </c>
      <c r="C35" s="28"/>
      <c r="D35" s="28"/>
      <c r="E35" s="27"/>
      <c r="F35" s="25">
        <v>25</v>
      </c>
      <c r="G35" s="25">
        <v>230</v>
      </c>
      <c r="H35" s="25">
        <v>230</v>
      </c>
    </row>
    <row r="36" spans="1:8" ht="15.75">
      <c r="A36" s="25">
        <v>55112</v>
      </c>
      <c r="B36" s="25" t="s">
        <v>202</v>
      </c>
      <c r="C36" s="28"/>
      <c r="D36" s="28"/>
      <c r="E36" s="27"/>
      <c r="F36" s="25"/>
      <c r="G36" s="25"/>
      <c r="H36" s="25"/>
    </row>
    <row r="37" spans="1:8" ht="15.75">
      <c r="A37" s="25">
        <v>55214</v>
      </c>
      <c r="B37" s="25" t="s">
        <v>101</v>
      </c>
      <c r="C37" s="28">
        <v>490</v>
      </c>
      <c r="D37" s="28">
        <v>490</v>
      </c>
      <c r="E37" s="27">
        <v>800</v>
      </c>
      <c r="F37" s="25">
        <v>370</v>
      </c>
      <c r="G37" s="25">
        <v>400</v>
      </c>
      <c r="H37" s="25">
        <v>400</v>
      </c>
    </row>
    <row r="38" spans="1:8" ht="15.75">
      <c r="A38" s="25">
        <v>55215</v>
      </c>
      <c r="B38" s="25" t="s">
        <v>102</v>
      </c>
      <c r="C38" s="28">
        <v>400</v>
      </c>
      <c r="D38" s="28">
        <v>300</v>
      </c>
      <c r="E38" s="27">
        <v>200</v>
      </c>
      <c r="F38" s="25">
        <v>241</v>
      </c>
      <c r="G38" s="25">
        <v>250</v>
      </c>
      <c r="H38" s="25">
        <v>250</v>
      </c>
    </row>
    <row r="39" spans="1:8" ht="15.75">
      <c r="A39" s="25">
        <v>55217</v>
      </c>
      <c r="B39" s="25" t="s">
        <v>103</v>
      </c>
      <c r="C39" s="28">
        <v>40</v>
      </c>
      <c r="D39" s="28">
        <v>50</v>
      </c>
      <c r="E39" s="27">
        <v>35</v>
      </c>
      <c r="F39" s="25">
        <v>41</v>
      </c>
      <c r="G39" s="25">
        <v>45</v>
      </c>
      <c r="H39" s="25">
        <v>45</v>
      </c>
    </row>
    <row r="40" spans="1:8" ht="27" customHeight="1">
      <c r="A40" s="25">
        <v>552181</v>
      </c>
      <c r="B40" s="25" t="s">
        <v>148</v>
      </c>
      <c r="C40" s="28">
        <v>50</v>
      </c>
      <c r="D40" s="28">
        <v>50</v>
      </c>
      <c r="E40" s="27">
        <v>60</v>
      </c>
      <c r="F40" s="25">
        <v>53</v>
      </c>
      <c r="G40" s="25">
        <v>60</v>
      </c>
      <c r="H40" s="25">
        <v>60</v>
      </c>
    </row>
    <row r="41" spans="1:9" ht="15.75">
      <c r="A41" s="25">
        <v>55311</v>
      </c>
      <c r="B41" s="25" t="s">
        <v>225</v>
      </c>
      <c r="C41" s="28">
        <v>1709</v>
      </c>
      <c r="D41" s="28">
        <v>1500</v>
      </c>
      <c r="E41" s="27">
        <v>3422</v>
      </c>
      <c r="F41" s="27">
        <f>3194+106</f>
        <v>3300</v>
      </c>
      <c r="G41" s="27">
        <v>3283</v>
      </c>
      <c r="H41" s="563">
        <v>3354</v>
      </c>
      <c r="I41" s="11">
        <v>71</v>
      </c>
    </row>
    <row r="42" spans="1:14" ht="35.25" customHeight="1">
      <c r="A42" s="598">
        <v>5531</v>
      </c>
      <c r="B42" s="598" t="s">
        <v>308</v>
      </c>
      <c r="C42" s="151">
        <v>1872</v>
      </c>
      <c r="D42" s="151">
        <v>1872</v>
      </c>
      <c r="E42" s="372">
        <f>1944+12</f>
        <v>1956</v>
      </c>
      <c r="F42" s="25">
        <v>1956</v>
      </c>
      <c r="G42" s="25">
        <v>2097</v>
      </c>
      <c r="H42" s="25">
        <v>2097</v>
      </c>
      <c r="I42" s="599" t="s">
        <v>832</v>
      </c>
      <c r="J42" s="600"/>
      <c r="K42" s="600"/>
      <c r="L42" s="152"/>
      <c r="M42" s="152"/>
      <c r="N42" s="152"/>
    </row>
    <row r="43" spans="1:8" ht="15.75" customHeight="1" hidden="1">
      <c r="A43" s="598"/>
      <c r="B43" s="573"/>
      <c r="C43" s="151"/>
      <c r="D43" s="151"/>
      <c r="E43" s="372"/>
      <c r="F43" s="25"/>
      <c r="G43" s="25"/>
      <c r="H43" s="25"/>
    </row>
    <row r="44" spans="1:10" ht="18.75" customHeight="1">
      <c r="A44" s="28">
        <v>55</v>
      </c>
      <c r="B44" s="28" t="s">
        <v>65</v>
      </c>
      <c r="C44" s="29">
        <f aca="true" t="shared" si="2" ref="C44:H44">SUM(C35:C43)</f>
        <v>4561</v>
      </c>
      <c r="D44" s="29">
        <f t="shared" si="2"/>
        <v>4262</v>
      </c>
      <c r="E44" s="27">
        <f t="shared" si="2"/>
        <v>6473</v>
      </c>
      <c r="F44" s="27">
        <f t="shared" si="2"/>
        <v>5986</v>
      </c>
      <c r="G44" s="27">
        <f t="shared" si="2"/>
        <v>6365</v>
      </c>
      <c r="H44" s="27">
        <f t="shared" si="2"/>
        <v>6436</v>
      </c>
      <c r="I44" s="135">
        <f>G33+G44</f>
        <v>6505</v>
      </c>
      <c r="J44" s="135">
        <f>H33+H44</f>
        <v>6436</v>
      </c>
    </row>
    <row r="45" spans="1:8" ht="10.5" customHeight="1">
      <c r="A45" s="25"/>
      <c r="B45" s="25"/>
      <c r="C45" s="28"/>
      <c r="D45" s="28"/>
      <c r="E45" s="27"/>
      <c r="F45" s="25"/>
      <c r="G45" s="25"/>
      <c r="H45" s="25"/>
    </row>
    <row r="46" spans="1:8" ht="17.25" customHeight="1">
      <c r="A46" s="25">
        <v>56111</v>
      </c>
      <c r="B46" s="25" t="s">
        <v>104</v>
      </c>
      <c r="C46" s="29">
        <f>(C33+C44-C42)*27%+(936*5%)</f>
        <v>824.13</v>
      </c>
      <c r="D46" s="29">
        <f>(D33+D44-D42)*27%+(936*5%)</f>
        <v>740.7</v>
      </c>
      <c r="E46" s="27">
        <f>(E33+E44-936)*27%+936*5%</f>
        <v>1614.69</v>
      </c>
      <c r="F46" s="30">
        <v>875</v>
      </c>
      <c r="G46" s="26">
        <f>I44*27%</f>
        <v>1756.3500000000001</v>
      </c>
      <c r="H46" s="26">
        <f>J44*27%</f>
        <v>1737.72</v>
      </c>
    </row>
    <row r="47" spans="1:8" ht="15.75">
      <c r="A47" s="25">
        <v>56211</v>
      </c>
      <c r="B47" s="25" t="s">
        <v>18</v>
      </c>
      <c r="C47" s="28"/>
      <c r="D47" s="28"/>
      <c r="E47" s="27"/>
      <c r="F47" s="25"/>
      <c r="G47" s="25"/>
      <c r="H47" s="25"/>
    </row>
    <row r="48" spans="1:8" ht="15.75">
      <c r="A48" s="25">
        <v>57211</v>
      </c>
      <c r="B48" s="25" t="s">
        <v>216</v>
      </c>
      <c r="C48" s="28">
        <v>22</v>
      </c>
      <c r="D48" s="28">
        <v>23</v>
      </c>
      <c r="E48" s="27">
        <f>E15*19.04%</f>
        <v>11.424</v>
      </c>
      <c r="F48" s="25"/>
      <c r="G48" s="25"/>
      <c r="H48" s="25"/>
    </row>
    <row r="49" spans="1:8" ht="19.5" customHeight="1">
      <c r="A49" s="28">
        <v>56</v>
      </c>
      <c r="B49" s="28" t="s">
        <v>100</v>
      </c>
      <c r="C49" s="29">
        <f aca="true" t="shared" si="3" ref="C49:H49">SUM(C46:C48)</f>
        <v>846.13</v>
      </c>
      <c r="D49" s="29">
        <f t="shared" si="3"/>
        <v>763.7</v>
      </c>
      <c r="E49" s="27">
        <f t="shared" si="3"/>
        <v>1626.114</v>
      </c>
      <c r="F49" s="27">
        <f t="shared" si="3"/>
        <v>875</v>
      </c>
      <c r="G49" s="27">
        <f t="shared" si="3"/>
        <v>1756.3500000000001</v>
      </c>
      <c r="H49" s="27">
        <f t="shared" si="3"/>
        <v>1737.72</v>
      </c>
    </row>
    <row r="50" spans="1:8" ht="12" customHeight="1">
      <c r="A50" s="25"/>
      <c r="B50" s="25"/>
      <c r="C50" s="28"/>
      <c r="D50" s="28"/>
      <c r="E50" s="27"/>
      <c r="F50" s="25"/>
      <c r="G50" s="25"/>
      <c r="H50" s="25"/>
    </row>
    <row r="51" spans="1:8" ht="15.75">
      <c r="A51" s="25"/>
      <c r="B51" s="25"/>
      <c r="C51" s="28"/>
      <c r="D51" s="28"/>
      <c r="E51" s="27"/>
      <c r="F51" s="25"/>
      <c r="G51" s="25"/>
      <c r="H51" s="25"/>
    </row>
    <row r="52" spans="1:8" ht="19.5" customHeight="1">
      <c r="A52" s="28"/>
      <c r="B52" s="28"/>
      <c r="C52" s="28"/>
      <c r="D52" s="28"/>
      <c r="E52" s="27"/>
      <c r="F52" s="25"/>
      <c r="G52" s="25"/>
      <c r="H52" s="25"/>
    </row>
    <row r="53" spans="1:8" ht="15.75">
      <c r="A53" s="28"/>
      <c r="B53" s="28" t="s">
        <v>29</v>
      </c>
      <c r="C53" s="29">
        <f aca="true" t="shared" si="4" ref="C53:H53">SUM(C52,C49,C44,C33,C26)</f>
        <v>5597.13</v>
      </c>
      <c r="D53" s="29">
        <f t="shared" si="4"/>
        <v>5205.7</v>
      </c>
      <c r="E53" s="27">
        <f t="shared" si="4"/>
        <v>8369.114</v>
      </c>
      <c r="F53" s="27">
        <f t="shared" si="4"/>
        <v>6948</v>
      </c>
      <c r="G53" s="27">
        <f t="shared" si="4"/>
        <v>8261.35</v>
      </c>
      <c r="H53" s="27">
        <f t="shared" si="4"/>
        <v>8173.72</v>
      </c>
    </row>
    <row r="54" spans="1:8" ht="10.5" customHeight="1">
      <c r="A54" s="28"/>
      <c r="B54" s="28"/>
      <c r="C54" s="25"/>
      <c r="D54" s="25"/>
      <c r="E54" s="26"/>
      <c r="F54" s="25"/>
      <c r="G54" s="25"/>
      <c r="H54" s="25"/>
    </row>
    <row r="55" spans="1:8" ht="22.5" customHeight="1" thickBot="1">
      <c r="A55" s="139"/>
      <c r="B55" s="28" t="s">
        <v>43</v>
      </c>
      <c r="C55" s="29">
        <f aca="true" t="shared" si="5" ref="C55:H55">SUM(C53,C22,C17)</f>
        <v>6908.13</v>
      </c>
      <c r="D55" s="29">
        <f t="shared" si="5"/>
        <v>7174.7</v>
      </c>
      <c r="E55" s="27">
        <f t="shared" si="5"/>
        <v>10102.198999999999</v>
      </c>
      <c r="F55" s="27">
        <f t="shared" si="5"/>
        <v>6948</v>
      </c>
      <c r="G55" s="27">
        <f t="shared" si="5"/>
        <v>10333.52</v>
      </c>
      <c r="H55" s="27">
        <f t="shared" si="5"/>
        <v>10245.89</v>
      </c>
    </row>
    <row r="56" spans="1:8" ht="15.75">
      <c r="A56" s="12"/>
      <c r="B56" s="28"/>
      <c r="C56" s="25"/>
      <c r="D56" s="25"/>
      <c r="E56" s="26"/>
      <c r="F56" s="25"/>
      <c r="G56" s="25"/>
      <c r="H56" s="25"/>
    </row>
    <row r="57" spans="1:8" ht="15.75">
      <c r="A57" s="14"/>
      <c r="B57" s="28" t="s">
        <v>188</v>
      </c>
      <c r="C57" s="30">
        <f aca="true" t="shared" si="6" ref="C57:H57">SUM(C55+C7)</f>
        <v>7060.13</v>
      </c>
      <c r="D57" s="30">
        <f t="shared" si="6"/>
        <v>7674.7</v>
      </c>
      <c r="E57" s="26">
        <f t="shared" si="6"/>
        <v>10102.198999999999</v>
      </c>
      <c r="F57" s="26">
        <f t="shared" si="6"/>
        <v>6948</v>
      </c>
      <c r="G57" s="26">
        <f t="shared" si="6"/>
        <v>10333.52</v>
      </c>
      <c r="H57" s="26">
        <f t="shared" si="6"/>
        <v>10496.08</v>
      </c>
    </row>
    <row r="59" ht="15">
      <c r="C59" s="11">
        <v>11336</v>
      </c>
    </row>
  </sheetData>
  <sheetProtection/>
  <mergeCells count="3">
    <mergeCell ref="B42:B43"/>
    <mergeCell ref="A42:A43"/>
    <mergeCell ref="I42:K42"/>
  </mergeCells>
  <printOptions/>
  <pageMargins left="0.7" right="0.7" top="0.75" bottom="0.75" header="0.3" footer="0.3"/>
  <pageSetup horizontalDpi="300" verticalDpi="300" orientation="portrait" paperSize="9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="60" zoomScalePageLayoutView="0" workbookViewId="0" topLeftCell="A1">
      <selection activeCell="F6" sqref="F6"/>
    </sheetView>
  </sheetViews>
  <sheetFormatPr defaultColWidth="8.66015625" defaultRowHeight="18"/>
  <cols>
    <col min="1" max="1" width="9.91015625" style="0" customWidth="1"/>
    <col min="2" max="2" width="22.25" style="0" customWidth="1"/>
  </cols>
  <sheetData>
    <row r="1" spans="1:6" ht="18.75">
      <c r="A1" s="601" t="s">
        <v>624</v>
      </c>
      <c r="B1" s="601"/>
      <c r="C1" s="601"/>
      <c r="D1" s="601"/>
      <c r="E1" s="601"/>
      <c r="F1">
        <v>2015</v>
      </c>
    </row>
    <row r="2" spans="2:3" ht="18.75">
      <c r="B2" t="s">
        <v>625</v>
      </c>
      <c r="C2">
        <v>2105</v>
      </c>
    </row>
    <row r="3" spans="2:3" ht="18.75">
      <c r="B3" t="s">
        <v>626</v>
      </c>
      <c r="C3">
        <v>200</v>
      </c>
    </row>
    <row r="4" spans="2:3" ht="18.75">
      <c r="B4" t="s">
        <v>627</v>
      </c>
      <c r="C4">
        <v>500</v>
      </c>
    </row>
    <row r="6" spans="6:7" ht="18.75">
      <c r="F6" s="562">
        <v>90</v>
      </c>
      <c r="G6" t="s">
        <v>854</v>
      </c>
    </row>
    <row r="7" spans="1:6" ht="18.75">
      <c r="A7" s="16">
        <v>41737</v>
      </c>
      <c r="B7" t="s">
        <v>628</v>
      </c>
      <c r="D7">
        <v>191800</v>
      </c>
      <c r="F7">
        <v>200</v>
      </c>
    </row>
    <row r="8" spans="1:2" ht="18.75">
      <c r="A8" s="16">
        <v>41712</v>
      </c>
      <c r="B8" t="s">
        <v>629</v>
      </c>
    </row>
    <row r="9" spans="1:2" ht="18.75">
      <c r="A9" s="16">
        <v>41713</v>
      </c>
      <c r="B9" t="s">
        <v>630</v>
      </c>
    </row>
    <row r="10" spans="1:2" ht="18.75">
      <c r="A10" s="16">
        <v>41740</v>
      </c>
      <c r="B10" t="s">
        <v>631</v>
      </c>
    </row>
    <row r="11" spans="1:6" ht="18.75">
      <c r="A11" t="s">
        <v>632</v>
      </c>
      <c r="B11" t="s">
        <v>633</v>
      </c>
      <c r="D11">
        <v>209020</v>
      </c>
      <c r="F11">
        <v>200</v>
      </c>
    </row>
    <row r="12" spans="1:6" ht="18.75">
      <c r="A12" s="16">
        <v>41783</v>
      </c>
      <c r="B12" t="s">
        <v>634</v>
      </c>
      <c r="D12">
        <v>154449</v>
      </c>
      <c r="F12">
        <v>150</v>
      </c>
    </row>
    <row r="13" spans="1:6" ht="18.75">
      <c r="A13" s="16">
        <v>41811</v>
      </c>
      <c r="B13" t="s">
        <v>635</v>
      </c>
      <c r="D13">
        <v>200000</v>
      </c>
      <c r="F13">
        <v>200</v>
      </c>
    </row>
    <row r="14" spans="1:6" ht="18.75">
      <c r="A14" t="s">
        <v>636</v>
      </c>
      <c r="B14" t="s">
        <v>637</v>
      </c>
      <c r="D14">
        <v>1464000</v>
      </c>
      <c r="F14">
        <v>1500</v>
      </c>
    </row>
    <row r="15" spans="1:9" ht="18.75">
      <c r="A15" t="s">
        <v>638</v>
      </c>
      <c r="B15" t="s">
        <v>639</v>
      </c>
      <c r="D15">
        <v>200000</v>
      </c>
      <c r="F15">
        <v>1800</v>
      </c>
      <c r="G15" s="412" t="s">
        <v>675</v>
      </c>
      <c r="H15" s="412"/>
      <c r="I15" s="412" t="s">
        <v>676</v>
      </c>
    </row>
    <row r="16" spans="1:2" ht="18.75">
      <c r="A16" t="s">
        <v>640</v>
      </c>
      <c r="B16" t="s">
        <v>641</v>
      </c>
    </row>
    <row r="17" spans="1:2" ht="18.75">
      <c r="A17" s="16">
        <v>41867</v>
      </c>
      <c r="B17" t="s">
        <v>642</v>
      </c>
    </row>
    <row r="18" spans="1:2" ht="18.75">
      <c r="A18" t="s">
        <v>643</v>
      </c>
      <c r="B18" t="s">
        <v>644</v>
      </c>
    </row>
    <row r="19" spans="1:6" ht="18.75">
      <c r="A19" s="16">
        <v>41913</v>
      </c>
      <c r="B19" t="s">
        <v>645</v>
      </c>
      <c r="D19">
        <v>50000</v>
      </c>
      <c r="F19">
        <v>80</v>
      </c>
    </row>
    <row r="20" spans="1:6" ht="18.75">
      <c r="A20" s="16">
        <v>41935</v>
      </c>
      <c r="B20" t="s">
        <v>646</v>
      </c>
      <c r="D20">
        <v>10000</v>
      </c>
      <c r="F20">
        <v>10</v>
      </c>
    </row>
    <row r="21" spans="1:2" ht="18.75">
      <c r="A21" s="16">
        <v>41965</v>
      </c>
      <c r="B21" t="s">
        <v>647</v>
      </c>
    </row>
    <row r="22" spans="1:2" ht="18.75">
      <c r="A22" s="16">
        <v>41973</v>
      </c>
      <c r="B22" t="s">
        <v>648</v>
      </c>
    </row>
    <row r="23" spans="1:2" ht="18.75">
      <c r="A23" s="16">
        <v>41987</v>
      </c>
      <c r="B23" t="s">
        <v>649</v>
      </c>
    </row>
    <row r="24" spans="1:6" ht="18.75">
      <c r="A24" s="16">
        <v>41992</v>
      </c>
      <c r="B24" t="s">
        <v>650</v>
      </c>
      <c r="F24">
        <v>30</v>
      </c>
    </row>
    <row r="26" spans="2:6" ht="18.75">
      <c r="B26" t="s">
        <v>63</v>
      </c>
      <c r="C26">
        <f>SUM(C2:C6)</f>
        <v>2805</v>
      </c>
      <c r="D26">
        <f>SUM(D7:D24)</f>
        <v>2479269</v>
      </c>
      <c r="F26">
        <f>SUM(F6:F25)</f>
        <v>4260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"/>
  <sheetViews>
    <sheetView view="pageBreakPreview" zoomScale="60" zoomScalePageLayoutView="0" workbookViewId="0" topLeftCell="A1">
      <selection activeCell="I15" sqref="I15"/>
    </sheetView>
  </sheetViews>
  <sheetFormatPr defaultColWidth="8.66015625" defaultRowHeight="18"/>
  <cols>
    <col min="1" max="1" width="8.66015625" style="174" customWidth="1"/>
    <col min="2" max="2" width="32.41015625" style="30" customWidth="1"/>
    <col min="3" max="3" width="8.25" style="30" customWidth="1"/>
    <col min="4" max="4" width="6.58203125" style="30" customWidth="1"/>
    <col min="5" max="5" width="7.75" style="30" customWidth="1"/>
    <col min="6" max="6" width="6.08203125" style="30" customWidth="1"/>
    <col min="7" max="16384" width="8.91015625" style="30" customWidth="1"/>
  </cols>
  <sheetData>
    <row r="2" spans="1:4" s="177" customFormat="1" ht="18">
      <c r="A2" s="178">
        <v>932911</v>
      </c>
      <c r="B2" s="29" t="s">
        <v>513</v>
      </c>
      <c r="C2" s="250"/>
      <c r="D2" s="250"/>
    </row>
    <row r="3" spans="3:7" ht="15">
      <c r="C3" s="30" t="s">
        <v>266</v>
      </c>
      <c r="D3" s="30" t="s">
        <v>285</v>
      </c>
      <c r="E3" s="46" t="s">
        <v>651</v>
      </c>
      <c r="F3" s="30" t="s">
        <v>652</v>
      </c>
      <c r="G3" s="30" t="s">
        <v>653</v>
      </c>
    </row>
    <row r="4" spans="1:8" ht="15">
      <c r="A4" s="175">
        <v>54913</v>
      </c>
      <c r="B4" s="100" t="s">
        <v>98</v>
      </c>
      <c r="C4" s="100">
        <v>100</v>
      </c>
      <c r="D4" s="100">
        <v>100</v>
      </c>
      <c r="E4" s="30">
        <v>50</v>
      </c>
      <c r="F4" s="30">
        <v>82</v>
      </c>
      <c r="G4" s="30">
        <v>270</v>
      </c>
      <c r="H4" s="30" t="s">
        <v>771</v>
      </c>
    </row>
    <row r="5" spans="1:7" ht="15">
      <c r="A5" s="175"/>
      <c r="B5" s="101" t="s">
        <v>512</v>
      </c>
      <c r="C5" s="101">
        <f>SUM(C4)</f>
        <v>100</v>
      </c>
      <c r="D5" s="101">
        <f>SUM(D4)</f>
        <v>100</v>
      </c>
      <c r="E5" s="101">
        <f>SUM(E4)</f>
        <v>50</v>
      </c>
      <c r="F5" s="101">
        <f>SUM(F4)</f>
        <v>82</v>
      </c>
      <c r="G5" s="30">
        <f>SUM(G4)</f>
        <v>270</v>
      </c>
    </row>
    <row r="6" spans="1:4" ht="15">
      <c r="A6" s="175"/>
      <c r="B6" s="100"/>
      <c r="C6" s="100"/>
      <c r="D6" s="100"/>
    </row>
    <row r="7" spans="1:7" ht="15">
      <c r="A7" s="175">
        <v>55215</v>
      </c>
      <c r="B7" s="100" t="s">
        <v>511</v>
      </c>
      <c r="C7" s="100">
        <v>15</v>
      </c>
      <c r="D7" s="100">
        <v>15</v>
      </c>
      <c r="E7" s="30">
        <v>15</v>
      </c>
      <c r="F7" s="30">
        <v>3</v>
      </c>
      <c r="G7" s="30">
        <v>15</v>
      </c>
    </row>
    <row r="8" spans="1:7" s="248" customFormat="1" ht="15">
      <c r="A8" s="249">
        <v>55217</v>
      </c>
      <c r="B8" s="196" t="s">
        <v>510</v>
      </c>
      <c r="C8" s="196">
        <v>70</v>
      </c>
      <c r="D8" s="196">
        <v>70</v>
      </c>
      <c r="E8" s="248">
        <v>85</v>
      </c>
      <c r="F8" s="248">
        <v>58</v>
      </c>
      <c r="G8" s="248">
        <v>85</v>
      </c>
    </row>
    <row r="9" spans="1:6" ht="15">
      <c r="A9" s="175">
        <v>5531</v>
      </c>
      <c r="B9" s="100" t="s">
        <v>509</v>
      </c>
      <c r="C9" s="100">
        <v>25</v>
      </c>
      <c r="D9" s="100">
        <v>25</v>
      </c>
      <c r="F9" s="30">
        <v>25</v>
      </c>
    </row>
    <row r="10" spans="1:7" ht="15">
      <c r="A10" s="175"/>
      <c r="B10" s="101" t="s">
        <v>65</v>
      </c>
      <c r="C10" s="101">
        <f>SUM(C7:C9)</f>
        <v>110</v>
      </c>
      <c r="D10" s="101">
        <f>SUM(D7:D9)</f>
        <v>110</v>
      </c>
      <c r="E10" s="101">
        <f>SUM(E7:E9)</f>
        <v>100</v>
      </c>
      <c r="F10" s="101">
        <f>SUM(F7:F9)</f>
        <v>86</v>
      </c>
      <c r="G10" s="30">
        <v>100</v>
      </c>
    </row>
    <row r="11" spans="1:4" ht="15">
      <c r="A11" s="175"/>
      <c r="B11" s="100"/>
      <c r="C11" s="100"/>
      <c r="D11" s="100"/>
    </row>
    <row r="12" spans="1:7" ht="15">
      <c r="A12" s="175">
        <v>56111</v>
      </c>
      <c r="B12" s="100" t="s">
        <v>336</v>
      </c>
      <c r="C12" s="100">
        <v>57</v>
      </c>
      <c r="D12" s="100">
        <f>(D10+D5)*27%</f>
        <v>56.7</v>
      </c>
      <c r="E12" s="30">
        <f>(E5+E10)*27%</f>
        <v>40.5</v>
      </c>
      <c r="F12" s="30">
        <v>39</v>
      </c>
      <c r="G12" s="30">
        <v>95</v>
      </c>
    </row>
    <row r="13" spans="1:7" ht="15">
      <c r="A13" s="175"/>
      <c r="B13" s="101" t="s">
        <v>508</v>
      </c>
      <c r="C13" s="101">
        <f>SUM(C12)</f>
        <v>57</v>
      </c>
      <c r="D13" s="101">
        <f>SUM(D12)</f>
        <v>56.7</v>
      </c>
      <c r="E13" s="101">
        <f>SUM(E12)</f>
        <v>40.5</v>
      </c>
      <c r="F13" s="101">
        <f>SUM(F12)</f>
        <v>39</v>
      </c>
      <c r="G13" s="30">
        <v>95</v>
      </c>
    </row>
    <row r="14" spans="1:4" ht="15">
      <c r="A14" s="175"/>
      <c r="B14" s="100"/>
      <c r="C14" s="100"/>
      <c r="D14" s="100"/>
    </row>
    <row r="15" spans="1:7" ht="15">
      <c r="A15" s="175"/>
      <c r="B15" s="101" t="s">
        <v>29</v>
      </c>
      <c r="C15" s="101">
        <f>SUM(C13+C10+C5)</f>
        <v>267</v>
      </c>
      <c r="D15" s="101">
        <f>SUM(D13+D10+D5)</f>
        <v>266.7</v>
      </c>
      <c r="E15" s="101">
        <f>SUM(E13+E10+E5)</f>
        <v>190.5</v>
      </c>
      <c r="F15" s="101">
        <f>SUM(F13+F10+F5)</f>
        <v>207</v>
      </c>
      <c r="G15" s="30">
        <v>445</v>
      </c>
    </row>
    <row r="16" spans="1:4" ht="15">
      <c r="A16" s="175"/>
      <c r="B16" s="100"/>
      <c r="C16" s="101"/>
      <c r="D16" s="101"/>
    </row>
    <row r="17" spans="1:7" ht="15">
      <c r="A17" s="175"/>
      <c r="B17" s="101" t="s">
        <v>0</v>
      </c>
      <c r="C17" s="101">
        <f>SUM(C15)</f>
        <v>267</v>
      </c>
      <c r="D17" s="101">
        <f>SUM(D15)</f>
        <v>266.7</v>
      </c>
      <c r="E17" s="101">
        <f>SUM(E15)</f>
        <v>190.5</v>
      </c>
      <c r="F17" s="101">
        <f>SUM(F15)</f>
        <v>207</v>
      </c>
      <c r="G17" s="30">
        <v>445</v>
      </c>
    </row>
    <row r="18" spans="1:4" ht="15">
      <c r="A18" s="175"/>
      <c r="B18" s="100"/>
      <c r="D18" s="100"/>
    </row>
  </sheetData>
  <sheetProtection/>
  <printOptions/>
  <pageMargins left="0.7" right="0.7" top="0.75" bottom="0.75" header="0.3" footer="0.3"/>
  <pageSetup horizontalDpi="300" verticalDpi="300" orientation="portrait" paperSize="9" scale="5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"/>
  <sheetViews>
    <sheetView view="pageBreakPreview" zoomScale="60" zoomScalePageLayoutView="0" workbookViewId="0" topLeftCell="A1">
      <selection activeCell="H13" sqref="H13"/>
    </sheetView>
  </sheetViews>
  <sheetFormatPr defaultColWidth="8.66015625" defaultRowHeight="18"/>
  <cols>
    <col min="1" max="1" width="9" style="21" bestFit="1" customWidth="1"/>
    <col min="2" max="2" width="41.58203125" style="21" customWidth="1"/>
    <col min="3" max="3" width="7.75" style="21" customWidth="1"/>
    <col min="4" max="4" width="6.41015625" style="21" customWidth="1"/>
    <col min="5" max="5" width="8.33203125" style="21" customWidth="1"/>
    <col min="6" max="7" width="8.91015625" style="21" customWidth="1"/>
    <col min="8" max="8" width="15.41015625" style="21" customWidth="1"/>
    <col min="9" max="16384" width="8.91015625" style="21" customWidth="1"/>
  </cols>
  <sheetData>
    <row r="2" spans="1:4" ht="18.75">
      <c r="A2" s="3">
        <v>940000</v>
      </c>
      <c r="B2" s="36" t="s">
        <v>193</v>
      </c>
      <c r="C2" s="124"/>
      <c r="D2" s="84"/>
    </row>
    <row r="3" spans="1:4" ht="18.75">
      <c r="A3" s="23"/>
      <c r="B3" s="34" t="s">
        <v>271</v>
      </c>
      <c r="C3" s="34"/>
      <c r="D3" s="34"/>
    </row>
    <row r="4" spans="2:7" ht="18.75">
      <c r="B4" s="34"/>
      <c r="C4" s="34" t="s">
        <v>266</v>
      </c>
      <c r="D4" s="41" t="s">
        <v>285</v>
      </c>
      <c r="E4" s="335" t="s">
        <v>651</v>
      </c>
      <c r="F4" s="473" t="s">
        <v>663</v>
      </c>
      <c r="G4" s="473" t="s">
        <v>653</v>
      </c>
    </row>
    <row r="5" spans="1:7" ht="18.75">
      <c r="A5" s="129">
        <v>52</v>
      </c>
      <c r="B5" s="41" t="s">
        <v>571</v>
      </c>
      <c r="C5" s="36">
        <v>180</v>
      </c>
      <c r="D5" s="36">
        <v>180</v>
      </c>
      <c r="E5" s="34">
        <v>250</v>
      </c>
      <c r="F5" s="34"/>
      <c r="G5" s="34">
        <v>300</v>
      </c>
    </row>
    <row r="6" spans="1:7" ht="18.75">
      <c r="A6" s="129"/>
      <c r="B6" s="34"/>
      <c r="C6" s="36"/>
      <c r="D6" s="36"/>
      <c r="E6" s="34"/>
      <c r="F6" s="34"/>
      <c r="G6" s="34"/>
    </row>
    <row r="7" spans="1:7" ht="18.75">
      <c r="A7" s="366">
        <v>51</v>
      </c>
      <c r="B7" s="40" t="s">
        <v>77</v>
      </c>
      <c r="C7" s="43">
        <f>SUM(C5:C6)</f>
        <v>180</v>
      </c>
      <c r="D7" s="43">
        <f>SUM(D5:D6)</f>
        <v>180</v>
      </c>
      <c r="E7" s="43">
        <f>SUM(E5:E6)</f>
        <v>250</v>
      </c>
      <c r="F7" s="43">
        <f>SUM(F5:F6)</f>
        <v>0</v>
      </c>
      <c r="G7" s="43">
        <f>SUM(G5:G6)</f>
        <v>300</v>
      </c>
    </row>
    <row r="8" spans="1:7" ht="18.75">
      <c r="A8" s="34"/>
      <c r="B8" s="25"/>
      <c r="C8" s="36"/>
      <c r="D8" s="36"/>
      <c r="E8" s="34"/>
      <c r="F8" s="34"/>
      <c r="G8" s="34"/>
    </row>
    <row r="9" spans="1:8" ht="18.75">
      <c r="A9" s="34">
        <v>531125</v>
      </c>
      <c r="B9" s="34" t="s">
        <v>310</v>
      </c>
      <c r="C9" s="36">
        <v>49</v>
      </c>
      <c r="D9" s="50">
        <f>D5*27%</f>
        <v>48.6</v>
      </c>
      <c r="E9" s="122">
        <f>E5*27%</f>
        <v>67.5</v>
      </c>
      <c r="F9" s="34"/>
      <c r="G9" s="34">
        <f>H9*27%</f>
        <v>81</v>
      </c>
      <c r="H9" s="20">
        <f>G7</f>
        <v>300</v>
      </c>
    </row>
    <row r="10" spans="1:7" ht="18.75">
      <c r="A10" s="40">
        <v>53</v>
      </c>
      <c r="B10" s="40" t="s">
        <v>5</v>
      </c>
      <c r="C10" s="43">
        <f>SUM(C9:C9)</f>
        <v>49</v>
      </c>
      <c r="D10" s="43">
        <f>SUM(D9:D9)</f>
        <v>48.6</v>
      </c>
      <c r="E10" s="43">
        <f>SUM(E9:E9)</f>
        <v>67.5</v>
      </c>
      <c r="F10" s="43">
        <f>SUM(F9:F9)</f>
        <v>0</v>
      </c>
      <c r="G10" s="43">
        <f>SUM(G9:G9)</f>
        <v>81</v>
      </c>
    </row>
    <row r="11" spans="1:7" ht="18.75">
      <c r="A11" s="34"/>
      <c r="B11" s="34"/>
      <c r="C11" s="36"/>
      <c r="D11" s="36"/>
      <c r="E11" s="34"/>
      <c r="F11" s="34"/>
      <c r="G11" s="34"/>
    </row>
    <row r="12" spans="1:7" ht="18.75">
      <c r="A12" s="34">
        <v>5431</v>
      </c>
      <c r="B12" s="34" t="s">
        <v>138</v>
      </c>
      <c r="C12" s="36">
        <v>50</v>
      </c>
      <c r="D12" s="36">
        <v>50</v>
      </c>
      <c r="E12" s="34">
        <v>50</v>
      </c>
      <c r="F12" s="34">
        <v>8</v>
      </c>
      <c r="G12" s="34">
        <v>10</v>
      </c>
    </row>
    <row r="13" spans="1:8" ht="33.75" customHeight="1">
      <c r="A13" s="34">
        <v>54711</v>
      </c>
      <c r="B13" s="34" t="s">
        <v>134</v>
      </c>
      <c r="C13" s="36">
        <v>100</v>
      </c>
      <c r="D13" s="36">
        <v>68</v>
      </c>
      <c r="E13" s="34">
        <v>50</v>
      </c>
      <c r="F13" s="34">
        <v>91</v>
      </c>
      <c r="G13" s="97">
        <v>300</v>
      </c>
      <c r="H13" s="548" t="s">
        <v>833</v>
      </c>
    </row>
    <row r="14" spans="1:7" ht="18.75">
      <c r="A14" s="40">
        <v>54</v>
      </c>
      <c r="B14" s="40" t="s">
        <v>7</v>
      </c>
      <c r="C14" s="43">
        <f>SUM(C12:C13)</f>
        <v>150</v>
      </c>
      <c r="D14" s="43">
        <f>SUM(D12:D13)</f>
        <v>118</v>
      </c>
      <c r="E14" s="43">
        <f>SUM(E12:E13)</f>
        <v>100</v>
      </c>
      <c r="F14" s="43">
        <f>SUM(F12:F13)</f>
        <v>99</v>
      </c>
      <c r="G14" s="43">
        <f>SUM(G12:G13)</f>
        <v>310</v>
      </c>
    </row>
    <row r="15" spans="1:7" ht="18.75">
      <c r="A15" s="40"/>
      <c r="B15" s="40"/>
      <c r="C15" s="43"/>
      <c r="D15" s="43"/>
      <c r="E15" s="34"/>
      <c r="F15" s="34"/>
      <c r="G15" s="34"/>
    </row>
    <row r="16" spans="1:8" ht="30" customHeight="1">
      <c r="A16" s="34">
        <v>56111</v>
      </c>
      <c r="B16" s="34" t="s">
        <v>104</v>
      </c>
      <c r="C16" s="36">
        <v>30</v>
      </c>
      <c r="D16" s="50">
        <f>D14*27%</f>
        <v>31.860000000000003</v>
      </c>
      <c r="E16" s="34">
        <f>E14*27%</f>
        <v>27</v>
      </c>
      <c r="F16" s="34">
        <v>25</v>
      </c>
      <c r="G16" s="122">
        <f>H16*27%</f>
        <v>83.7</v>
      </c>
      <c r="H16" s="20">
        <f>G14</f>
        <v>310</v>
      </c>
    </row>
    <row r="17" spans="1:7" ht="18.75">
      <c r="A17" s="40">
        <v>56</v>
      </c>
      <c r="B17" s="40" t="s">
        <v>56</v>
      </c>
      <c r="C17" s="43">
        <f>SUM(C16:C16)</f>
        <v>30</v>
      </c>
      <c r="D17" s="43">
        <f>SUM(D16:D16)</f>
        <v>31.860000000000003</v>
      </c>
      <c r="E17" s="43">
        <f>SUM(E16:E16)</f>
        <v>27</v>
      </c>
      <c r="F17" s="43">
        <f>SUM(F16:F16)</f>
        <v>25</v>
      </c>
      <c r="G17" s="43">
        <f>SUM(G16:G16)</f>
        <v>83.7</v>
      </c>
    </row>
    <row r="18" spans="1:7" ht="18.75">
      <c r="A18" s="40"/>
      <c r="B18" s="40" t="s">
        <v>29</v>
      </c>
      <c r="C18" s="43">
        <f>SUM(C17,C14)</f>
        <v>180</v>
      </c>
      <c r="D18" s="43">
        <f>SUM(D17,D14)</f>
        <v>149.86</v>
      </c>
      <c r="E18" s="43">
        <f>SUM(E17,E14)</f>
        <v>127</v>
      </c>
      <c r="F18" s="43">
        <f>SUM(F17,F14)</f>
        <v>124</v>
      </c>
      <c r="G18" s="43">
        <f>SUM(G17,G14)</f>
        <v>393.7</v>
      </c>
    </row>
    <row r="19" spans="1:7" ht="18.75">
      <c r="A19" s="34"/>
      <c r="B19" s="34"/>
      <c r="C19" s="34"/>
      <c r="D19" s="34"/>
      <c r="E19" s="34"/>
      <c r="F19" s="34"/>
      <c r="G19" s="34"/>
    </row>
    <row r="20" spans="1:7" ht="19.5" thickBot="1">
      <c r="A20" s="1"/>
      <c r="B20" s="1" t="s">
        <v>0</v>
      </c>
      <c r="C20" s="39">
        <f>SUM(,C18,C10,C7)</f>
        <v>409</v>
      </c>
      <c r="D20" s="39">
        <f>SUM(,D18,D10,D7)</f>
        <v>378.46000000000004</v>
      </c>
      <c r="E20" s="43">
        <f>SUM(,E18,E10,E7)</f>
        <v>444.5</v>
      </c>
      <c r="F20" s="43">
        <f>SUM(,F18,F10,F7)</f>
        <v>124</v>
      </c>
      <c r="G20" s="43">
        <f>SUM(,G18,G10,G7)</f>
        <v>774.7</v>
      </c>
    </row>
    <row r="21" ht="19.5" thickTop="1"/>
    <row r="22" ht="18.75">
      <c r="B22" s="221" t="s">
        <v>834</v>
      </c>
    </row>
  </sheetData>
  <sheetProtection/>
  <printOptions/>
  <pageMargins left="0.7" right="0.7" top="0.75" bottom="0.75" header="0.3" footer="0.3"/>
  <pageSetup horizontalDpi="300" verticalDpi="3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BreakPreview" zoomScale="60" zoomScalePageLayoutView="0" workbookViewId="0" topLeftCell="A10">
      <selection activeCell="G32" sqref="G32"/>
    </sheetView>
  </sheetViews>
  <sheetFormatPr defaultColWidth="8.66015625" defaultRowHeight="18"/>
  <cols>
    <col min="1" max="1" width="8.75" style="174" customWidth="1"/>
    <col min="2" max="2" width="31.58203125" style="30" customWidth="1"/>
    <col min="3" max="3" width="10.08203125" style="30" customWidth="1"/>
    <col min="4" max="4" width="8.25" style="30" bestFit="1" customWidth="1"/>
    <col min="5" max="5" width="11.08203125" style="25" customWidth="1"/>
    <col min="6" max="6" width="11.41015625" style="30" customWidth="1"/>
    <col min="7" max="16384" width="8.91015625" style="30" customWidth="1"/>
  </cols>
  <sheetData>
    <row r="1" ht="15">
      <c r="E1" s="30"/>
    </row>
    <row r="2" spans="1:7" ht="20.25">
      <c r="A2" s="500">
        <v>960302</v>
      </c>
      <c r="B2" s="501" t="s">
        <v>518</v>
      </c>
      <c r="C2" s="502" t="s">
        <v>269</v>
      </c>
      <c r="D2" s="503" t="s">
        <v>285</v>
      </c>
      <c r="E2" s="504" t="s">
        <v>651</v>
      </c>
      <c r="F2" s="502" t="s">
        <v>749</v>
      </c>
      <c r="G2" s="502" t="s">
        <v>750</v>
      </c>
    </row>
    <row r="3" spans="1:7" ht="20.25">
      <c r="A3" s="500"/>
      <c r="B3" s="501"/>
      <c r="C3" s="502"/>
      <c r="D3" s="503"/>
      <c r="E3" s="504"/>
      <c r="F3" s="502"/>
      <c r="G3" s="502"/>
    </row>
    <row r="4" spans="1:7" ht="20.25">
      <c r="A4" s="500"/>
      <c r="B4" s="501" t="s">
        <v>815</v>
      </c>
      <c r="C4" s="502"/>
      <c r="D4" s="503"/>
      <c r="E4" s="505">
        <v>1000</v>
      </c>
      <c r="F4" s="502"/>
      <c r="G4" s="502">
        <v>394</v>
      </c>
    </row>
    <row r="5" spans="1:7" ht="20.25">
      <c r="A5" s="500"/>
      <c r="B5" s="501" t="s">
        <v>614</v>
      </c>
      <c r="C5" s="502"/>
      <c r="D5" s="503"/>
      <c r="E5" s="505">
        <f>E4*27%</f>
        <v>270</v>
      </c>
      <c r="F5" s="502"/>
      <c r="G5" s="502">
        <v>106</v>
      </c>
    </row>
    <row r="6" spans="1:7" ht="20.25">
      <c r="A6" s="500"/>
      <c r="B6" s="501" t="s">
        <v>173</v>
      </c>
      <c r="C6" s="502"/>
      <c r="D6" s="503"/>
      <c r="E6" s="505">
        <f>SUM(E4:E5)</f>
        <v>1270</v>
      </c>
      <c r="F6" s="502"/>
      <c r="G6" s="502">
        <f>SUM(G4:G5)</f>
        <v>500</v>
      </c>
    </row>
    <row r="7" spans="1:7" ht="20.25">
      <c r="A7" s="506"/>
      <c r="B7" s="502"/>
      <c r="C7" s="502"/>
      <c r="D7" s="502"/>
      <c r="E7" s="502"/>
      <c r="F7" s="502"/>
      <c r="G7" s="502"/>
    </row>
    <row r="8" spans="1:7" ht="20.25">
      <c r="A8" s="506">
        <v>52211</v>
      </c>
      <c r="B8" s="502" t="s">
        <v>517</v>
      </c>
      <c r="C8" s="502">
        <v>78</v>
      </c>
      <c r="D8" s="502">
        <v>200</v>
      </c>
      <c r="E8" s="502">
        <v>140</v>
      </c>
      <c r="F8" s="502"/>
      <c r="G8" s="502">
        <v>140</v>
      </c>
    </row>
    <row r="9" spans="1:7" ht="20.25">
      <c r="A9" s="506"/>
      <c r="B9" s="501" t="s">
        <v>153</v>
      </c>
      <c r="C9" s="501">
        <f>SUM(C8:C8)</f>
        <v>78</v>
      </c>
      <c r="D9" s="501">
        <f>SUM(D8:D8)</f>
        <v>200</v>
      </c>
      <c r="E9" s="501">
        <f>SUM(E8:E8)</f>
        <v>140</v>
      </c>
      <c r="F9" s="502"/>
      <c r="G9" s="501">
        <f>SUM(G8:G8)</f>
        <v>140</v>
      </c>
    </row>
    <row r="10" spans="1:7" ht="20.25">
      <c r="A10" s="506"/>
      <c r="B10" s="501"/>
      <c r="C10" s="501"/>
      <c r="D10" s="502"/>
      <c r="E10" s="501"/>
      <c r="F10" s="502"/>
      <c r="G10" s="502"/>
    </row>
    <row r="11" spans="1:7" ht="20.25">
      <c r="A11" s="506">
        <v>53125</v>
      </c>
      <c r="B11" s="502" t="s">
        <v>516</v>
      </c>
      <c r="C11" s="502"/>
      <c r="D11" s="502">
        <f>D9*27%</f>
        <v>54</v>
      </c>
      <c r="E11" s="502">
        <f>E8*27%</f>
        <v>37.800000000000004</v>
      </c>
      <c r="F11" s="502"/>
      <c r="G11" s="502">
        <v>38</v>
      </c>
    </row>
    <row r="12" spans="1:7" ht="20.25">
      <c r="A12" s="506">
        <v>5531</v>
      </c>
      <c r="B12" s="502" t="s">
        <v>515</v>
      </c>
      <c r="C12" s="502"/>
      <c r="D12" s="502">
        <v>10</v>
      </c>
      <c r="E12" s="502"/>
      <c r="F12" s="502"/>
      <c r="G12" s="502"/>
    </row>
    <row r="13" spans="1:7" ht="20.25">
      <c r="A13" s="506"/>
      <c r="B13" s="501" t="s">
        <v>343</v>
      </c>
      <c r="C13" s="501">
        <f>SUM(C11:C12)</f>
        <v>0</v>
      </c>
      <c r="D13" s="501">
        <f>SUM(D11:D12)</f>
        <v>64</v>
      </c>
      <c r="E13" s="501">
        <f>SUM(E11:E12)</f>
        <v>37.800000000000004</v>
      </c>
      <c r="F13" s="502"/>
      <c r="G13" s="501">
        <f>SUM(G11:G12)</f>
        <v>38</v>
      </c>
    </row>
    <row r="14" spans="1:7" ht="20.25">
      <c r="A14" s="506"/>
      <c r="B14" s="501"/>
      <c r="C14" s="501"/>
      <c r="D14" s="501"/>
      <c r="E14" s="501"/>
      <c r="F14" s="502"/>
      <c r="G14" s="501"/>
    </row>
    <row r="15" spans="1:7" ht="20.25">
      <c r="A15" s="506"/>
      <c r="B15" s="502" t="s">
        <v>130</v>
      </c>
      <c r="C15" s="502"/>
      <c r="D15" s="502">
        <v>20</v>
      </c>
      <c r="E15" s="502"/>
      <c r="F15" s="502"/>
      <c r="G15" s="502">
        <v>20</v>
      </c>
    </row>
    <row r="16" spans="1:7" ht="20.25">
      <c r="A16" s="506">
        <v>54913</v>
      </c>
      <c r="B16" s="502" t="s">
        <v>32</v>
      </c>
      <c r="C16" s="502">
        <v>60</v>
      </c>
      <c r="D16" s="502">
        <v>20</v>
      </c>
      <c r="E16" s="502">
        <v>10</v>
      </c>
      <c r="F16" s="502"/>
      <c r="G16" s="502">
        <v>30</v>
      </c>
    </row>
    <row r="17" spans="1:7" ht="20.25">
      <c r="A17" s="506"/>
      <c r="B17" s="501" t="s">
        <v>514</v>
      </c>
      <c r="C17" s="501">
        <f>SUM(C16:C16)</f>
        <v>60</v>
      </c>
      <c r="D17" s="501">
        <f>SUM(D15:D16)</f>
        <v>40</v>
      </c>
      <c r="E17" s="501">
        <f>SUM(E15:E16)</f>
        <v>10</v>
      </c>
      <c r="F17" s="501">
        <f>SUM(F15:F16)</f>
        <v>0</v>
      </c>
      <c r="G17" s="501">
        <f>SUM(G15:G16)</f>
        <v>50</v>
      </c>
    </row>
    <row r="18" spans="1:7" ht="20.25">
      <c r="A18" s="506"/>
      <c r="B18" s="502"/>
      <c r="C18" s="502"/>
      <c r="D18" s="502"/>
      <c r="E18" s="502"/>
      <c r="F18" s="502"/>
      <c r="G18" s="502"/>
    </row>
    <row r="19" spans="1:7" ht="20.25">
      <c r="A19" s="506">
        <v>55215</v>
      </c>
      <c r="B19" s="502" t="s">
        <v>503</v>
      </c>
      <c r="C19" s="502">
        <v>10</v>
      </c>
      <c r="D19" s="502">
        <v>15</v>
      </c>
      <c r="E19" s="502">
        <v>15</v>
      </c>
      <c r="F19" s="502">
        <v>7</v>
      </c>
      <c r="G19" s="502">
        <v>15</v>
      </c>
    </row>
    <row r="20" spans="1:7" ht="20.25">
      <c r="A20" s="506">
        <v>55217</v>
      </c>
      <c r="B20" s="502" t="s">
        <v>502</v>
      </c>
      <c r="C20" s="502">
        <v>20</v>
      </c>
      <c r="D20" s="502">
        <v>15</v>
      </c>
      <c r="E20" s="502">
        <v>15</v>
      </c>
      <c r="F20" s="502">
        <v>6</v>
      </c>
      <c r="G20" s="502">
        <v>15</v>
      </c>
    </row>
    <row r="21" spans="1:7" ht="20.25">
      <c r="A21" s="506">
        <v>552181</v>
      </c>
      <c r="B21" s="502" t="s">
        <v>505</v>
      </c>
      <c r="C21" s="502">
        <v>30</v>
      </c>
      <c r="D21" s="502">
        <v>30</v>
      </c>
      <c r="E21" s="502"/>
      <c r="F21" s="502"/>
      <c r="G21" s="502">
        <v>30</v>
      </c>
    </row>
    <row r="22" spans="1:9" ht="20.25">
      <c r="A22" s="506">
        <v>5531</v>
      </c>
      <c r="B22" s="502" t="s">
        <v>772</v>
      </c>
      <c r="C22" s="502"/>
      <c r="D22" s="502"/>
      <c r="E22" s="502">
        <v>100</v>
      </c>
      <c r="F22" s="502">
        <v>27</v>
      </c>
      <c r="G22" s="502">
        <v>300</v>
      </c>
      <c r="I22" s="30" t="s">
        <v>773</v>
      </c>
    </row>
    <row r="23" spans="1:7" s="29" customFormat="1" ht="20.25">
      <c r="A23" s="500"/>
      <c r="B23" s="501" t="s">
        <v>16</v>
      </c>
      <c r="C23" s="501">
        <f>SUM(C19:C21)</f>
        <v>60</v>
      </c>
      <c r="D23" s="501">
        <f>SUM(D19:D21)</f>
        <v>60</v>
      </c>
      <c r="E23" s="501">
        <f>SUM(E19:E22)</f>
        <v>130</v>
      </c>
      <c r="F23" s="501">
        <f>SUM(F19:F22)</f>
        <v>40</v>
      </c>
      <c r="G23" s="501">
        <f>SUM(G19:G22)</f>
        <v>360</v>
      </c>
    </row>
    <row r="24" spans="1:7" ht="20.25">
      <c r="A24" s="506"/>
      <c r="B24" s="502"/>
      <c r="C24" s="502"/>
      <c r="D24" s="502"/>
      <c r="E24" s="502"/>
      <c r="F24" s="502"/>
      <c r="G24" s="502"/>
    </row>
    <row r="25" spans="1:9" ht="20.25">
      <c r="A25" s="506">
        <v>56111</v>
      </c>
      <c r="B25" s="502" t="s">
        <v>501</v>
      </c>
      <c r="C25" s="502">
        <v>32</v>
      </c>
      <c r="D25" s="502">
        <f>(D17+D23)*27%</f>
        <v>27</v>
      </c>
      <c r="E25" s="502">
        <f>(E17+E23)*27%</f>
        <v>37.800000000000004</v>
      </c>
      <c r="F25" s="502">
        <v>8</v>
      </c>
      <c r="G25" s="502">
        <f>I25*27%</f>
        <v>110.7</v>
      </c>
      <c r="I25" s="30">
        <f>G17+G23</f>
        <v>410</v>
      </c>
    </row>
    <row r="26" spans="1:7" ht="20.25">
      <c r="A26" s="506"/>
      <c r="B26" s="501" t="s">
        <v>500</v>
      </c>
      <c r="C26" s="501">
        <f>SUM(C25)</f>
        <v>32</v>
      </c>
      <c r="D26" s="501">
        <f>SUM(D25)</f>
        <v>27</v>
      </c>
      <c r="E26" s="501">
        <f>SUM(E25)</f>
        <v>37.800000000000004</v>
      </c>
      <c r="F26" s="501">
        <f>SUM(F25)</f>
        <v>8</v>
      </c>
      <c r="G26" s="501">
        <f>SUM(G25)</f>
        <v>110.7</v>
      </c>
    </row>
    <row r="27" spans="1:7" ht="20.25">
      <c r="A27" s="506"/>
      <c r="B27" s="502"/>
      <c r="C27" s="502"/>
      <c r="D27" s="502"/>
      <c r="E27" s="502"/>
      <c r="F27" s="502"/>
      <c r="G27" s="502"/>
    </row>
    <row r="28" spans="1:7" ht="20.25">
      <c r="A28" s="506"/>
      <c r="B28" s="501" t="s">
        <v>29</v>
      </c>
      <c r="C28" s="501">
        <f>SUM(C26,C23,C17)</f>
        <v>152</v>
      </c>
      <c r="D28" s="501">
        <f>SUM(D26,D23,D17)</f>
        <v>127</v>
      </c>
      <c r="E28" s="501">
        <f>SUM(E26,E23,E17)</f>
        <v>177.8</v>
      </c>
      <c r="F28" s="501">
        <f>F26+F23+F17</f>
        <v>48</v>
      </c>
      <c r="G28" s="501">
        <f>G26+G23+G17</f>
        <v>520.7</v>
      </c>
    </row>
    <row r="29" spans="1:7" ht="20.25">
      <c r="A29" s="506"/>
      <c r="B29" s="501"/>
      <c r="C29" s="501"/>
      <c r="D29" s="502"/>
      <c r="E29" s="501"/>
      <c r="F29" s="502"/>
      <c r="G29" s="502"/>
    </row>
    <row r="30" spans="1:7" ht="20.25">
      <c r="A30" s="506"/>
      <c r="B30" s="501" t="s">
        <v>816</v>
      </c>
      <c r="C30" s="501">
        <f>SUM(C9+C13+C28)</f>
        <v>230</v>
      </c>
      <c r="D30" s="501">
        <f>SUM(D9+D13+D28)</f>
        <v>391</v>
      </c>
      <c r="E30" s="501">
        <f>SUM(E9+E13+E28+E6)</f>
        <v>1625.6</v>
      </c>
      <c r="F30" s="501">
        <f>F28+F13+F9</f>
        <v>48</v>
      </c>
      <c r="G30" s="501">
        <f>G28+G13+G9</f>
        <v>698.7</v>
      </c>
    </row>
    <row r="31" spans="1:7" ht="20.25">
      <c r="A31" s="506"/>
      <c r="B31" s="501"/>
      <c r="C31" s="501"/>
      <c r="D31" s="502"/>
      <c r="E31" s="501"/>
      <c r="F31" s="502"/>
      <c r="G31" s="502"/>
    </row>
    <row r="32" spans="1:7" ht="20.25">
      <c r="A32" s="506"/>
      <c r="B32" s="501" t="s">
        <v>0</v>
      </c>
      <c r="C32" s="501"/>
      <c r="D32" s="502"/>
      <c r="E32" s="501"/>
      <c r="F32" s="501">
        <f>F30+F6</f>
        <v>48</v>
      </c>
      <c r="G32" s="501">
        <f>G30+G6</f>
        <v>1198.7</v>
      </c>
    </row>
    <row r="33" spans="1:7" ht="20.25">
      <c r="A33" s="506"/>
      <c r="B33" s="501"/>
      <c r="C33" s="501"/>
      <c r="D33" s="502"/>
      <c r="E33" s="501"/>
      <c r="F33" s="502"/>
      <c r="G33" s="502"/>
    </row>
    <row r="34" spans="1:7" ht="20.25">
      <c r="A34" s="506">
        <v>91219</v>
      </c>
      <c r="B34" s="501" t="s">
        <v>232</v>
      </c>
      <c r="C34" s="501">
        <v>350</v>
      </c>
      <c r="D34" s="507">
        <v>200</v>
      </c>
      <c r="E34" s="502">
        <v>150</v>
      </c>
      <c r="F34" s="502">
        <v>200</v>
      </c>
      <c r="G34" s="502">
        <v>200</v>
      </c>
    </row>
    <row r="35" spans="1:7" ht="20.25">
      <c r="A35" s="506"/>
      <c r="B35" s="502"/>
      <c r="C35" s="502"/>
      <c r="D35" s="502"/>
      <c r="E35" s="502"/>
      <c r="F35" s="502"/>
      <c r="G35" s="502"/>
    </row>
    <row r="36" spans="1:7" ht="20.25">
      <c r="A36" s="506"/>
      <c r="B36" s="501" t="s">
        <v>499</v>
      </c>
      <c r="C36" s="501">
        <f>SUM(C34)</f>
        <v>350</v>
      </c>
      <c r="D36" s="501">
        <f>SUM(D34)</f>
        <v>200</v>
      </c>
      <c r="E36" s="501">
        <f>SUM(E34)</f>
        <v>150</v>
      </c>
      <c r="F36" s="502">
        <f>SUM(F34:F35)</f>
        <v>200</v>
      </c>
      <c r="G36" s="502">
        <f>SUM(G34:G35)</f>
        <v>200</v>
      </c>
    </row>
    <row r="37" spans="1:7" ht="20.25">
      <c r="A37" s="506"/>
      <c r="B37" s="502"/>
      <c r="C37" s="502"/>
      <c r="D37" s="502"/>
      <c r="E37" s="502"/>
      <c r="F37" s="502"/>
      <c r="G37" s="502"/>
    </row>
    <row r="38" ht="15">
      <c r="E38" s="30"/>
    </row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I41"/>
  <sheetViews>
    <sheetView view="pageBreakPreview" zoomScale="60" zoomScalePageLayoutView="0" workbookViewId="0" topLeftCell="A1">
      <selection activeCell="H16" sqref="H16"/>
    </sheetView>
  </sheetViews>
  <sheetFormatPr defaultColWidth="8.66015625" defaultRowHeight="18"/>
  <cols>
    <col min="1" max="1" width="9.08203125" style="174" customWidth="1"/>
    <col min="2" max="2" width="31.41015625" style="30" customWidth="1"/>
    <col min="3" max="4" width="7.08203125" style="30" customWidth="1"/>
    <col min="5" max="5" width="7.58203125" style="41" customWidth="1"/>
    <col min="6" max="16384" width="8.91015625" style="30" customWidth="1"/>
  </cols>
  <sheetData>
    <row r="2" spans="1:8" s="177" customFormat="1" ht="36">
      <c r="A2" s="484">
        <v>381103</v>
      </c>
      <c r="B2" s="485" t="s">
        <v>346</v>
      </c>
      <c r="C2" s="485" t="s">
        <v>266</v>
      </c>
      <c r="D2" s="486">
        <v>2013</v>
      </c>
      <c r="E2" s="250" t="s">
        <v>651</v>
      </c>
      <c r="F2" s="487" t="s">
        <v>745</v>
      </c>
      <c r="G2" s="487" t="s">
        <v>746</v>
      </c>
      <c r="H2" s="487" t="s">
        <v>850</v>
      </c>
    </row>
    <row r="3" spans="1:8" ht="18.75">
      <c r="A3" s="488"/>
      <c r="B3" s="177"/>
      <c r="C3" s="177"/>
      <c r="D3" s="177"/>
      <c r="E3" s="34"/>
      <c r="F3" s="177"/>
      <c r="G3" s="177"/>
      <c r="H3" s="177"/>
    </row>
    <row r="4" spans="1:8" ht="18">
      <c r="A4" s="488">
        <v>5111112</v>
      </c>
      <c r="B4" s="177" t="s">
        <v>345</v>
      </c>
      <c r="C4" s="177"/>
      <c r="D4" s="489">
        <v>3759</v>
      </c>
      <c r="E4" s="489">
        <f>'[6]GEVSZ'!$P$45/1000</f>
        <v>4145.2</v>
      </c>
      <c r="F4" s="177"/>
      <c r="G4" s="177">
        <v>4380</v>
      </c>
      <c r="H4" s="177">
        <v>4380</v>
      </c>
    </row>
    <row r="5" spans="1:8" ht="18">
      <c r="A5" s="488"/>
      <c r="B5" s="177" t="s">
        <v>224</v>
      </c>
      <c r="C5" s="177"/>
      <c r="D5" s="489"/>
      <c r="E5" s="489">
        <v>50</v>
      </c>
      <c r="F5" s="177"/>
      <c r="G5" s="177">
        <v>86</v>
      </c>
      <c r="H5" s="177">
        <v>86</v>
      </c>
    </row>
    <row r="6" spans="1:8" ht="18">
      <c r="A6" s="488">
        <v>513192</v>
      </c>
      <c r="B6" s="177" t="s">
        <v>839</v>
      </c>
      <c r="C6" s="177"/>
      <c r="D6" s="177">
        <v>30</v>
      </c>
      <c r="E6" s="177"/>
      <c r="F6" s="177"/>
      <c r="G6" s="177">
        <v>366</v>
      </c>
      <c r="H6" s="177">
        <v>366</v>
      </c>
    </row>
    <row r="7" spans="1:8" ht="18">
      <c r="A7" s="488">
        <v>514142</v>
      </c>
      <c r="B7" s="177" t="s">
        <v>39</v>
      </c>
      <c r="C7" s="177"/>
      <c r="D7" s="177">
        <v>240</v>
      </c>
      <c r="E7" s="177">
        <v>240</v>
      </c>
      <c r="F7" s="177"/>
      <c r="G7" s="177">
        <v>450</v>
      </c>
      <c r="H7" s="177">
        <v>450</v>
      </c>
    </row>
    <row r="8" spans="1:8" ht="18">
      <c r="A8" s="488"/>
      <c r="B8" s="485" t="s">
        <v>153</v>
      </c>
      <c r="C8" s="485">
        <v>4583</v>
      </c>
      <c r="D8" s="490">
        <f>SUM(D4:D7)</f>
        <v>4029</v>
      </c>
      <c r="E8" s="490">
        <f>SUM(E4:E7)</f>
        <v>4435.2</v>
      </c>
      <c r="F8" s="490">
        <f>SUM(F4:F7)</f>
        <v>0</v>
      </c>
      <c r="G8" s="490">
        <f>SUM(G4:G7)</f>
        <v>5282</v>
      </c>
      <c r="H8" s="490">
        <f>SUM(H4:H7)</f>
        <v>5282</v>
      </c>
    </row>
    <row r="9" spans="1:8" ht="18">
      <c r="A9" s="488"/>
      <c r="B9" s="177"/>
      <c r="C9" s="177"/>
      <c r="D9" s="177"/>
      <c r="E9" s="177"/>
      <c r="F9" s="177"/>
      <c r="G9" s="177"/>
      <c r="H9" s="177"/>
    </row>
    <row r="10" spans="1:9" ht="18">
      <c r="A10" s="488">
        <v>53111</v>
      </c>
      <c r="B10" s="177" t="s">
        <v>569</v>
      </c>
      <c r="C10" s="177"/>
      <c r="D10" s="489">
        <v>1032</v>
      </c>
      <c r="E10" s="489">
        <f>(E4+E6)*0.27</f>
        <v>1119.204</v>
      </c>
      <c r="F10" s="177"/>
      <c r="G10" s="177">
        <f>I10*27%</f>
        <v>1304.64</v>
      </c>
      <c r="H10" s="177">
        <f>I10*27%</f>
        <v>1304.64</v>
      </c>
      <c r="I10" s="30">
        <f>G8-G7</f>
        <v>4832</v>
      </c>
    </row>
    <row r="11" spans="1:8" ht="18">
      <c r="A11" s="488">
        <v>531121</v>
      </c>
      <c r="B11" s="177" t="s">
        <v>570</v>
      </c>
      <c r="C11" s="177"/>
      <c r="D11" s="489"/>
      <c r="E11" s="489">
        <f>E7*19%</f>
        <v>45.6</v>
      </c>
      <c r="F11" s="177"/>
      <c r="G11" s="177">
        <v>75</v>
      </c>
      <c r="H11" s="177">
        <v>75</v>
      </c>
    </row>
    <row r="12" spans="1:8" ht="18">
      <c r="A12" s="488">
        <v>5341</v>
      </c>
      <c r="B12" s="177" t="s">
        <v>783</v>
      </c>
      <c r="C12" s="177"/>
      <c r="D12" s="177">
        <v>10</v>
      </c>
      <c r="E12" s="177">
        <v>10</v>
      </c>
      <c r="F12" s="177"/>
      <c r="G12" s="177">
        <v>87</v>
      </c>
      <c r="H12" s="177">
        <v>87</v>
      </c>
    </row>
    <row r="13" spans="1:8" ht="18">
      <c r="A13" s="488"/>
      <c r="B13" s="485" t="s">
        <v>343</v>
      </c>
      <c r="C13" s="485">
        <v>1151</v>
      </c>
      <c r="D13" s="490">
        <f>SUM(D10:D12)</f>
        <v>1042</v>
      </c>
      <c r="E13" s="490">
        <f>SUM(E10:E12)</f>
        <v>1174.8039999999999</v>
      </c>
      <c r="F13" s="490">
        <f>SUM(F10:F12)</f>
        <v>0</v>
      </c>
      <c r="G13" s="490">
        <f>SUM(G10:G12)</f>
        <v>1466.64</v>
      </c>
      <c r="H13" s="490">
        <f>SUM(H10:H12)</f>
        <v>1466.64</v>
      </c>
    </row>
    <row r="14" spans="1:8" ht="18">
      <c r="A14" s="488"/>
      <c r="B14" s="177"/>
      <c r="C14" s="177"/>
      <c r="D14" s="177"/>
      <c r="E14" s="177"/>
      <c r="F14" s="177"/>
      <c r="G14" s="177"/>
      <c r="H14" s="177"/>
    </row>
    <row r="15" spans="1:9" ht="18">
      <c r="A15" s="488">
        <v>5461</v>
      </c>
      <c r="B15" s="177" t="s">
        <v>89</v>
      </c>
      <c r="C15" s="177">
        <v>1800</v>
      </c>
      <c r="D15" s="489">
        <v>2000</v>
      </c>
      <c r="E15" s="489">
        <v>1800</v>
      </c>
      <c r="F15" s="177">
        <v>1558</v>
      </c>
      <c r="G15" s="177">
        <v>1800</v>
      </c>
      <c r="H15" s="556">
        <f>1800-200</f>
        <v>1600</v>
      </c>
      <c r="I15" s="30">
        <v>2</v>
      </c>
    </row>
    <row r="16" spans="1:9" ht="18">
      <c r="A16" s="488">
        <v>5481</v>
      </c>
      <c r="B16" s="177" t="s">
        <v>28</v>
      </c>
      <c r="C16" s="177">
        <v>90</v>
      </c>
      <c r="D16" s="177">
        <v>90</v>
      </c>
      <c r="E16" s="177">
        <v>90</v>
      </c>
      <c r="F16" s="177">
        <v>90</v>
      </c>
      <c r="G16" s="177">
        <v>120</v>
      </c>
      <c r="H16" s="177">
        <v>120</v>
      </c>
      <c r="I16" s="30" t="s">
        <v>747</v>
      </c>
    </row>
    <row r="17" spans="1:9" ht="18">
      <c r="A17" s="488">
        <v>54913</v>
      </c>
      <c r="B17" s="177" t="s">
        <v>342</v>
      </c>
      <c r="C17" s="177">
        <v>300</v>
      </c>
      <c r="D17" s="177">
        <v>300</v>
      </c>
      <c r="E17" s="177">
        <v>200</v>
      </c>
      <c r="F17" s="177">
        <v>214</v>
      </c>
      <c r="G17" s="177">
        <v>200</v>
      </c>
      <c r="H17" s="177">
        <v>200</v>
      </c>
      <c r="I17" s="30" t="s">
        <v>748</v>
      </c>
    </row>
    <row r="18" spans="1:8" ht="18">
      <c r="A18" s="488">
        <v>54913</v>
      </c>
      <c r="B18" s="177" t="s">
        <v>341</v>
      </c>
      <c r="C18" s="177">
        <v>20</v>
      </c>
      <c r="D18" s="177">
        <v>20</v>
      </c>
      <c r="E18" s="177">
        <v>15</v>
      </c>
      <c r="F18" s="177"/>
      <c r="G18" s="177">
        <v>15</v>
      </c>
      <c r="H18" s="177">
        <v>15</v>
      </c>
    </row>
    <row r="19" spans="1:8" ht="18">
      <c r="A19" s="488"/>
      <c r="B19" s="485" t="s">
        <v>340</v>
      </c>
      <c r="C19" s="485">
        <f aca="true" t="shared" si="0" ref="C19:H19">SUM(C15:C18)</f>
        <v>2210</v>
      </c>
      <c r="D19" s="490">
        <f t="shared" si="0"/>
        <v>2410</v>
      </c>
      <c r="E19" s="490">
        <f t="shared" si="0"/>
        <v>2105</v>
      </c>
      <c r="F19" s="490">
        <f t="shared" si="0"/>
        <v>1862</v>
      </c>
      <c r="G19" s="490">
        <f t="shared" si="0"/>
        <v>2135</v>
      </c>
      <c r="H19" s="490">
        <f t="shared" si="0"/>
        <v>1935</v>
      </c>
    </row>
    <row r="20" spans="1:8" ht="18">
      <c r="A20" s="488"/>
      <c r="B20" s="177"/>
      <c r="C20" s="177"/>
      <c r="D20" s="177"/>
      <c r="E20" s="177"/>
      <c r="F20" s="177"/>
      <c r="G20" s="177"/>
      <c r="H20" s="177"/>
    </row>
    <row r="21" spans="1:8" ht="18">
      <c r="A21" s="488">
        <v>55182</v>
      </c>
      <c r="B21" s="177" t="s">
        <v>339</v>
      </c>
      <c r="C21" s="177">
        <v>500</v>
      </c>
      <c r="D21" s="177">
        <v>500</v>
      </c>
      <c r="E21" s="177">
        <v>720</v>
      </c>
      <c r="F21" s="177">
        <v>480</v>
      </c>
      <c r="G21" s="177">
        <v>720</v>
      </c>
      <c r="H21" s="177">
        <v>720</v>
      </c>
    </row>
    <row r="22" spans="1:8" ht="18">
      <c r="A22" s="488">
        <v>5531</v>
      </c>
      <c r="B22" s="177" t="s">
        <v>338</v>
      </c>
      <c r="C22" s="177">
        <v>3600</v>
      </c>
      <c r="D22" s="489">
        <v>4000</v>
      </c>
      <c r="E22" s="489">
        <v>4000</v>
      </c>
      <c r="F22" s="177">
        <v>5400</v>
      </c>
      <c r="G22" s="177">
        <v>5000</v>
      </c>
      <c r="H22" s="177">
        <v>5000</v>
      </c>
    </row>
    <row r="23" spans="1:8" ht="18">
      <c r="A23" s="488"/>
      <c r="B23" s="485" t="s">
        <v>65</v>
      </c>
      <c r="C23" s="485">
        <f aca="true" t="shared" si="1" ref="C23:H23">SUM(C21:C22)</f>
        <v>4100</v>
      </c>
      <c r="D23" s="490">
        <f t="shared" si="1"/>
        <v>4500</v>
      </c>
      <c r="E23" s="490">
        <f t="shared" si="1"/>
        <v>4720</v>
      </c>
      <c r="F23" s="490">
        <f t="shared" si="1"/>
        <v>5880</v>
      </c>
      <c r="G23" s="490">
        <f t="shared" si="1"/>
        <v>5720</v>
      </c>
      <c r="H23" s="490">
        <f t="shared" si="1"/>
        <v>5720</v>
      </c>
    </row>
    <row r="24" spans="1:8" ht="18">
      <c r="A24" s="488"/>
      <c r="B24" s="485"/>
      <c r="C24" s="485"/>
      <c r="D24" s="490"/>
      <c r="E24" s="490"/>
      <c r="F24" s="177"/>
      <c r="G24" s="177"/>
      <c r="H24" s="177"/>
    </row>
    <row r="25" spans="1:9" ht="18">
      <c r="A25" s="488">
        <v>5721</v>
      </c>
      <c r="B25" s="177" t="s">
        <v>337</v>
      </c>
      <c r="C25" s="177">
        <v>68</v>
      </c>
      <c r="D25" s="177">
        <v>47</v>
      </c>
      <c r="E25" s="177">
        <v>47</v>
      </c>
      <c r="F25" s="177"/>
      <c r="G25" s="177"/>
      <c r="H25" s="177"/>
      <c r="I25" s="30">
        <f>H23+H19</f>
        <v>7655</v>
      </c>
    </row>
    <row r="26" spans="1:9" ht="18">
      <c r="A26" s="488">
        <v>56111</v>
      </c>
      <c r="B26" s="177" t="s">
        <v>336</v>
      </c>
      <c r="C26" s="177">
        <v>1704</v>
      </c>
      <c r="D26" s="489">
        <f>(D19+D23)*25%</f>
        <v>1727.5</v>
      </c>
      <c r="E26" s="489">
        <f>(E19+E23)*27%</f>
        <v>1842.7500000000002</v>
      </c>
      <c r="F26" s="177"/>
      <c r="G26" s="177">
        <f>I26*27%</f>
        <v>2120.8500000000004</v>
      </c>
      <c r="H26" s="177">
        <f>I25*27%</f>
        <v>2066.85</v>
      </c>
      <c r="I26" s="30">
        <f>G23+G19</f>
        <v>7855</v>
      </c>
    </row>
    <row r="27" spans="1:8" ht="18">
      <c r="A27" s="488"/>
      <c r="B27" s="485" t="s">
        <v>20</v>
      </c>
      <c r="C27" s="485">
        <f aca="true" t="shared" si="2" ref="C27:H27">SUM(C25:C26)</f>
        <v>1772</v>
      </c>
      <c r="D27" s="490">
        <f t="shared" si="2"/>
        <v>1774.5</v>
      </c>
      <c r="E27" s="490">
        <f t="shared" si="2"/>
        <v>1889.7500000000002</v>
      </c>
      <c r="F27" s="490">
        <f t="shared" si="2"/>
        <v>0</v>
      </c>
      <c r="G27" s="490">
        <f t="shared" si="2"/>
        <v>2120.8500000000004</v>
      </c>
      <c r="H27" s="490">
        <f t="shared" si="2"/>
        <v>2066.85</v>
      </c>
    </row>
    <row r="28" spans="1:8" ht="18">
      <c r="A28" s="488"/>
      <c r="B28" s="177"/>
      <c r="C28" s="177"/>
      <c r="D28" s="489"/>
      <c r="E28" s="489"/>
      <c r="F28" s="177"/>
      <c r="G28" s="177"/>
      <c r="H28" s="177"/>
    </row>
    <row r="29" spans="1:8" ht="18">
      <c r="A29" s="488"/>
      <c r="B29" s="485" t="s">
        <v>29</v>
      </c>
      <c r="C29" s="490">
        <f aca="true" t="shared" si="3" ref="C29:H29">+C19+C23+C27</f>
        <v>8082</v>
      </c>
      <c r="D29" s="490">
        <f t="shared" si="3"/>
        <v>8684.5</v>
      </c>
      <c r="E29" s="490">
        <f t="shared" si="3"/>
        <v>8714.75</v>
      </c>
      <c r="F29" s="490">
        <f t="shared" si="3"/>
        <v>7742</v>
      </c>
      <c r="G29" s="490">
        <f t="shared" si="3"/>
        <v>9975.85</v>
      </c>
      <c r="H29" s="490">
        <f t="shared" si="3"/>
        <v>9721.85</v>
      </c>
    </row>
    <row r="30" spans="1:8" ht="18">
      <c r="A30" s="488"/>
      <c r="B30" s="177"/>
      <c r="C30" s="177"/>
      <c r="D30" s="489"/>
      <c r="E30" s="489"/>
      <c r="F30" s="177"/>
      <c r="G30" s="177"/>
      <c r="H30" s="177"/>
    </row>
    <row r="31" spans="1:8" ht="18">
      <c r="A31" s="488"/>
      <c r="B31" s="485" t="s">
        <v>0</v>
      </c>
      <c r="C31" s="490">
        <f aca="true" t="shared" si="4" ref="C31:H31">+C29+C8+C13</f>
        <v>13816</v>
      </c>
      <c r="D31" s="490">
        <f t="shared" si="4"/>
        <v>13755.5</v>
      </c>
      <c r="E31" s="490">
        <f t="shared" si="4"/>
        <v>14324.754</v>
      </c>
      <c r="F31" s="490">
        <f t="shared" si="4"/>
        <v>7742</v>
      </c>
      <c r="G31" s="490">
        <f t="shared" si="4"/>
        <v>16724.49</v>
      </c>
      <c r="H31" s="490">
        <f t="shared" si="4"/>
        <v>16470.49</v>
      </c>
    </row>
    <row r="32" spans="1:8" ht="18">
      <c r="A32" s="488"/>
      <c r="B32" s="177"/>
      <c r="C32" s="177"/>
      <c r="D32" s="177"/>
      <c r="E32" s="177"/>
      <c r="F32" s="177"/>
      <c r="G32" s="177"/>
      <c r="H32" s="177"/>
    </row>
    <row r="33" spans="1:8" ht="18">
      <c r="A33" s="484">
        <v>902113</v>
      </c>
      <c r="B33" s="485" t="s">
        <v>335</v>
      </c>
      <c r="C33" s="485"/>
      <c r="D33" s="177"/>
      <c r="E33" s="177"/>
      <c r="F33" s="177"/>
      <c r="G33" s="177"/>
      <c r="H33" s="177"/>
    </row>
    <row r="34" spans="1:8" ht="18">
      <c r="A34" s="488"/>
      <c r="B34" s="177"/>
      <c r="C34" s="177"/>
      <c r="D34" s="177"/>
      <c r="E34" s="177"/>
      <c r="F34" s="177"/>
      <c r="G34" s="177"/>
      <c r="H34" s="177"/>
    </row>
    <row r="35" spans="1:8" ht="18">
      <c r="A35" s="488">
        <v>91213</v>
      </c>
      <c r="B35" s="491" t="s">
        <v>334</v>
      </c>
      <c r="C35" s="491">
        <v>1600</v>
      </c>
      <c r="D35" s="491">
        <v>1600</v>
      </c>
      <c r="E35" s="491">
        <v>1720</v>
      </c>
      <c r="F35" s="491">
        <v>3106</v>
      </c>
      <c r="G35" s="491">
        <v>2500</v>
      </c>
      <c r="H35" s="491"/>
    </row>
    <row r="36" spans="1:8" ht="18">
      <c r="A36" s="488">
        <v>919131</v>
      </c>
      <c r="B36" s="491" t="s">
        <v>333</v>
      </c>
      <c r="C36" s="491"/>
      <c r="D36" s="491">
        <f>D35*27%</f>
        <v>432</v>
      </c>
      <c r="E36" s="491">
        <v>464</v>
      </c>
      <c r="F36" s="491">
        <v>839</v>
      </c>
      <c r="G36" s="491">
        <v>675</v>
      </c>
      <c r="H36" s="491"/>
    </row>
    <row r="37" spans="1:8" ht="18">
      <c r="A37" s="488"/>
      <c r="B37" s="492" t="s">
        <v>332</v>
      </c>
      <c r="C37" s="492">
        <f>SUM(C35:C36)</f>
        <v>1600</v>
      </c>
      <c r="D37" s="492">
        <f>SUM(D35:D36)</f>
        <v>2032</v>
      </c>
      <c r="E37" s="492">
        <f>SUM(E35:E36)</f>
        <v>2184</v>
      </c>
      <c r="F37" s="492">
        <f>SUM(F35:F36)</f>
        <v>3945</v>
      </c>
      <c r="G37" s="492">
        <f>SUM(G35:G36)</f>
        <v>3175</v>
      </c>
      <c r="H37" s="492"/>
    </row>
    <row r="38" spans="1:8" ht="18">
      <c r="A38" s="488"/>
      <c r="B38" s="177"/>
      <c r="C38" s="177"/>
      <c r="D38" s="177"/>
      <c r="E38" s="177"/>
      <c r="F38" s="177"/>
      <c r="G38" s="177"/>
      <c r="H38" s="177"/>
    </row>
    <row r="39" spans="1:8" ht="18">
      <c r="A39" s="488"/>
      <c r="B39" s="177"/>
      <c r="C39" s="177"/>
      <c r="D39" s="177"/>
      <c r="E39" s="177"/>
      <c r="F39" s="177"/>
      <c r="G39" s="177"/>
      <c r="H39" s="177"/>
    </row>
    <row r="40" spans="1:8" ht="18">
      <c r="A40" s="488"/>
      <c r="B40" s="177"/>
      <c r="C40" s="177"/>
      <c r="D40" s="485"/>
      <c r="E40" s="177"/>
      <c r="F40" s="177"/>
      <c r="G40" s="177"/>
      <c r="H40" s="177"/>
    </row>
    <row r="41" spans="1:8" ht="18.75">
      <c r="A41" s="488"/>
      <c r="B41" s="177"/>
      <c r="C41" s="177"/>
      <c r="D41" s="177"/>
      <c r="E41" s="34"/>
      <c r="F41" s="177"/>
      <c r="G41" s="177"/>
      <c r="H41" s="177"/>
    </row>
  </sheetData>
  <sheetProtection/>
  <printOptions/>
  <pageMargins left="0.7" right="0.7" top="0.75" bottom="0.75" header="0.3" footer="0.3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I38"/>
  <sheetViews>
    <sheetView view="pageBreakPreview" zoomScale="60" zoomScalePageLayoutView="0" workbookViewId="0" topLeftCell="A13">
      <selection activeCell="J17" sqref="J17"/>
    </sheetView>
  </sheetViews>
  <sheetFormatPr defaultColWidth="8.66015625" defaultRowHeight="18"/>
  <cols>
    <col min="1" max="1" width="17.33203125" style="174" customWidth="1"/>
    <col min="2" max="2" width="41.75" style="30" customWidth="1"/>
    <col min="3" max="3" width="8.25" style="30" customWidth="1"/>
    <col min="4" max="4" width="8" style="181" customWidth="1"/>
    <col min="5" max="5" width="11.25" style="30" bestFit="1" customWidth="1"/>
    <col min="6" max="16384" width="8.91015625" style="30" customWidth="1"/>
  </cols>
  <sheetData>
    <row r="2" spans="1:8" ht="18">
      <c r="A2" s="484">
        <v>522000</v>
      </c>
      <c r="B2" s="485" t="s">
        <v>355</v>
      </c>
      <c r="C2" s="485" t="s">
        <v>266</v>
      </c>
      <c r="D2" s="486" t="s">
        <v>285</v>
      </c>
      <c r="E2" s="250">
        <v>41695</v>
      </c>
      <c r="F2" s="177" t="s">
        <v>749</v>
      </c>
      <c r="G2" s="177" t="s">
        <v>750</v>
      </c>
      <c r="H2" s="177"/>
    </row>
    <row r="3" spans="1:8" ht="18">
      <c r="A3" s="488"/>
      <c r="B3" s="485"/>
      <c r="C3" s="485"/>
      <c r="D3" s="177"/>
      <c r="E3" s="177"/>
      <c r="F3" s="177"/>
      <c r="G3" s="177"/>
      <c r="H3" s="177"/>
    </row>
    <row r="4" spans="1:8" ht="18">
      <c r="A4" s="488">
        <v>5111112</v>
      </c>
      <c r="B4" s="177" t="s">
        <v>354</v>
      </c>
      <c r="C4" s="177"/>
      <c r="D4" s="489">
        <v>2776</v>
      </c>
      <c r="E4" s="493">
        <f>'[6]GEVSZ'!$P$49/1000</f>
        <v>2824</v>
      </c>
      <c r="F4" s="177"/>
      <c r="G4" s="177">
        <v>3160</v>
      </c>
      <c r="H4" s="177"/>
    </row>
    <row r="5" spans="1:8" ht="18">
      <c r="A5" s="488">
        <v>512141</v>
      </c>
      <c r="B5" s="177" t="s">
        <v>132</v>
      </c>
      <c r="C5" s="177"/>
      <c r="D5" s="177">
        <v>50</v>
      </c>
      <c r="E5" s="493">
        <v>50</v>
      </c>
      <c r="F5" s="177"/>
      <c r="G5" s="177"/>
      <c r="H5" s="177"/>
    </row>
    <row r="6" spans="1:8" ht="18">
      <c r="A6" s="488"/>
      <c r="B6" s="177" t="s">
        <v>224</v>
      </c>
      <c r="C6" s="177"/>
      <c r="D6" s="177"/>
      <c r="E6" s="493">
        <v>20</v>
      </c>
      <c r="F6" s="177"/>
      <c r="G6" s="177">
        <v>57</v>
      </c>
      <c r="H6" s="177"/>
    </row>
    <row r="7" spans="1:8" ht="18">
      <c r="A7" s="488">
        <v>512192</v>
      </c>
      <c r="B7" s="177" t="s">
        <v>840</v>
      </c>
      <c r="C7" s="177"/>
      <c r="D7" s="177">
        <v>20</v>
      </c>
      <c r="E7" s="493">
        <v>10</v>
      </c>
      <c r="F7" s="177"/>
      <c r="G7" s="177">
        <v>264</v>
      </c>
      <c r="H7" s="177"/>
    </row>
    <row r="8" spans="1:8" ht="18">
      <c r="A8" s="488">
        <v>514142</v>
      </c>
      <c r="B8" s="177" t="s">
        <v>39</v>
      </c>
      <c r="C8" s="177"/>
      <c r="D8" s="177">
        <v>180</v>
      </c>
      <c r="E8" s="493">
        <v>180</v>
      </c>
      <c r="F8" s="177"/>
      <c r="G8" s="177">
        <v>300</v>
      </c>
      <c r="H8" s="177"/>
    </row>
    <row r="9" spans="1:8" ht="18">
      <c r="A9" s="484"/>
      <c r="B9" s="485" t="s">
        <v>751</v>
      </c>
      <c r="C9" s="485">
        <v>3596</v>
      </c>
      <c r="D9" s="490">
        <f>SUM(D4:D8)</f>
        <v>3026</v>
      </c>
      <c r="E9" s="490">
        <f>SUM(E4:E8)</f>
        <v>3084</v>
      </c>
      <c r="F9" s="490">
        <f>SUM(F4:F8)</f>
        <v>0</v>
      </c>
      <c r="G9" s="490">
        <f>SUM(G4:G8)</f>
        <v>3781</v>
      </c>
      <c r="H9" s="177"/>
    </row>
    <row r="10" spans="1:8" ht="18">
      <c r="A10" s="484"/>
      <c r="B10" s="485"/>
      <c r="C10" s="485"/>
      <c r="D10" s="177"/>
      <c r="E10" s="493"/>
      <c r="F10" s="177"/>
      <c r="G10" s="177"/>
      <c r="H10" s="177"/>
    </row>
    <row r="11" spans="1:8" ht="18">
      <c r="A11" s="488">
        <v>53111</v>
      </c>
      <c r="B11" s="177" t="s">
        <v>574</v>
      </c>
      <c r="C11" s="177"/>
      <c r="D11" s="177">
        <v>735</v>
      </c>
      <c r="E11" s="486">
        <f>(E4+E5+E7)*27%</f>
        <v>778.6800000000001</v>
      </c>
      <c r="F11" s="177"/>
      <c r="G11" s="177">
        <f>H11*27%</f>
        <v>939.8700000000001</v>
      </c>
      <c r="H11" s="177">
        <f>G9-G8</f>
        <v>3481</v>
      </c>
    </row>
    <row r="12" spans="1:8" ht="18">
      <c r="A12" s="488">
        <v>531121</v>
      </c>
      <c r="B12" s="494" t="s">
        <v>575</v>
      </c>
      <c r="C12" s="494"/>
      <c r="D12" s="177">
        <v>42</v>
      </c>
      <c r="E12" s="493">
        <v>31</v>
      </c>
      <c r="F12" s="177"/>
      <c r="G12" s="177">
        <v>50</v>
      </c>
      <c r="H12" s="177"/>
    </row>
    <row r="13" spans="1:8" ht="18">
      <c r="A13" s="488"/>
      <c r="B13" s="494" t="s">
        <v>672</v>
      </c>
      <c r="C13" s="494"/>
      <c r="D13" s="177"/>
      <c r="E13" s="493"/>
      <c r="F13" s="177"/>
      <c r="G13" s="177">
        <v>58</v>
      </c>
      <c r="H13" s="177"/>
    </row>
    <row r="14" spans="1:8" ht="18">
      <c r="A14" s="484"/>
      <c r="B14" s="485" t="s">
        <v>343</v>
      </c>
      <c r="C14" s="485">
        <v>916</v>
      </c>
      <c r="D14" s="485">
        <v>777</v>
      </c>
      <c r="E14" s="486">
        <f>SUM(E11:E12)</f>
        <v>809.6800000000001</v>
      </c>
      <c r="F14" s="486">
        <f>SUM(F11:F12)</f>
        <v>0</v>
      </c>
      <c r="G14" s="486">
        <f>SUM(G11:G13)</f>
        <v>1047.8700000000001</v>
      </c>
      <c r="H14" s="177"/>
    </row>
    <row r="15" spans="1:8" ht="18">
      <c r="A15" s="484"/>
      <c r="B15" s="485"/>
      <c r="C15" s="485"/>
      <c r="D15" s="495"/>
      <c r="E15" s="493"/>
      <c r="F15" s="177"/>
      <c r="G15" s="177"/>
      <c r="H15" s="177"/>
    </row>
    <row r="16" spans="1:9" ht="18">
      <c r="A16" s="488">
        <v>5481</v>
      </c>
      <c r="B16" s="177" t="s">
        <v>28</v>
      </c>
      <c r="C16" s="177">
        <v>90</v>
      </c>
      <c r="D16" s="177">
        <v>60</v>
      </c>
      <c r="E16" s="493">
        <v>60</v>
      </c>
      <c r="F16" s="177">
        <v>60</v>
      </c>
      <c r="G16" s="177">
        <v>80</v>
      </c>
      <c r="H16" s="177"/>
      <c r="I16" s="30" t="s">
        <v>752</v>
      </c>
    </row>
    <row r="17" spans="1:8" ht="18">
      <c r="A17" s="488">
        <v>54913</v>
      </c>
      <c r="B17" s="177" t="s">
        <v>353</v>
      </c>
      <c r="C17" s="177"/>
      <c r="D17" s="177">
        <v>400</v>
      </c>
      <c r="E17" s="493">
        <v>400</v>
      </c>
      <c r="F17" s="177">
        <v>380</v>
      </c>
      <c r="G17" s="177">
        <v>400</v>
      </c>
      <c r="H17" s="177"/>
    </row>
    <row r="18" spans="1:8" ht="18">
      <c r="A18" s="488">
        <v>54913</v>
      </c>
      <c r="B18" s="177" t="s">
        <v>352</v>
      </c>
      <c r="C18" s="177"/>
      <c r="D18" s="177">
        <v>350</v>
      </c>
      <c r="E18" s="493">
        <v>350</v>
      </c>
      <c r="F18" s="177">
        <v>187</v>
      </c>
      <c r="G18" s="177">
        <v>400</v>
      </c>
      <c r="H18" s="177"/>
    </row>
    <row r="19" spans="1:9" ht="18">
      <c r="A19" s="488">
        <v>54913</v>
      </c>
      <c r="B19" s="177" t="s">
        <v>576</v>
      </c>
      <c r="C19" s="177">
        <v>880</v>
      </c>
      <c r="D19" s="177">
        <v>150</v>
      </c>
      <c r="E19" s="493">
        <v>300</v>
      </c>
      <c r="F19" s="177"/>
      <c r="G19" s="177">
        <v>450</v>
      </c>
      <c r="H19" s="177"/>
      <c r="I19" s="30" t="s">
        <v>753</v>
      </c>
    </row>
    <row r="20" spans="1:8" ht="18">
      <c r="A20" s="488"/>
      <c r="B20" s="485" t="s">
        <v>351</v>
      </c>
      <c r="C20" s="485">
        <f>SUM(C16:C19)</f>
        <v>970</v>
      </c>
      <c r="D20" s="485">
        <f>SUM(D16:D19)</f>
        <v>960</v>
      </c>
      <c r="E20" s="485">
        <f>SUM(E16:E19)</f>
        <v>1110</v>
      </c>
      <c r="F20" s="485">
        <f>SUM(F16:F19)</f>
        <v>627</v>
      </c>
      <c r="G20" s="485">
        <f>SUM(G16:G19)</f>
        <v>1330</v>
      </c>
      <c r="H20" s="177"/>
    </row>
    <row r="21" spans="1:8" ht="18">
      <c r="A21" s="488"/>
      <c r="B21" s="177"/>
      <c r="C21" s="177"/>
      <c r="D21" s="495"/>
      <c r="E21" s="493"/>
      <c r="F21" s="177"/>
      <c r="G21" s="177"/>
      <c r="H21" s="177"/>
    </row>
    <row r="22" spans="1:8" ht="18">
      <c r="A22" s="488">
        <v>552129</v>
      </c>
      <c r="B22" s="177" t="s">
        <v>350</v>
      </c>
      <c r="C22" s="177">
        <v>220</v>
      </c>
      <c r="D22" s="177">
        <v>180</v>
      </c>
      <c r="E22" s="493">
        <v>200</v>
      </c>
      <c r="F22" s="177">
        <v>80</v>
      </c>
      <c r="G22" s="177">
        <v>200</v>
      </c>
      <c r="H22" s="177"/>
    </row>
    <row r="23" spans="1:8" ht="18">
      <c r="A23" s="488">
        <v>552129</v>
      </c>
      <c r="B23" s="177" t="s">
        <v>349</v>
      </c>
      <c r="C23" s="177"/>
      <c r="D23" s="177">
        <v>320</v>
      </c>
      <c r="E23" s="493">
        <v>380</v>
      </c>
      <c r="F23" s="177">
        <v>110</v>
      </c>
      <c r="G23" s="177">
        <v>380</v>
      </c>
      <c r="H23" s="177"/>
    </row>
    <row r="24" spans="1:8" ht="18">
      <c r="A24" s="488">
        <v>55213</v>
      </c>
      <c r="B24" s="177" t="s">
        <v>348</v>
      </c>
      <c r="C24" s="177">
        <v>100</v>
      </c>
      <c r="D24" s="177">
        <v>150</v>
      </c>
      <c r="E24" s="493">
        <v>150</v>
      </c>
      <c r="F24" s="177">
        <v>210</v>
      </c>
      <c r="G24" s="177">
        <v>150</v>
      </c>
      <c r="H24" s="177"/>
    </row>
    <row r="25" spans="1:8" ht="72">
      <c r="A25" s="488">
        <v>552181</v>
      </c>
      <c r="B25" s="487" t="s">
        <v>754</v>
      </c>
      <c r="C25" s="177">
        <v>493</v>
      </c>
      <c r="D25" s="177">
        <v>350</v>
      </c>
      <c r="E25" s="493">
        <v>1600</v>
      </c>
      <c r="F25" s="177">
        <v>187</v>
      </c>
      <c r="G25" s="177">
        <v>2000</v>
      </c>
      <c r="H25" s="177"/>
    </row>
    <row r="26" spans="1:8" ht="18">
      <c r="A26" s="488"/>
      <c r="B26" s="485" t="s">
        <v>65</v>
      </c>
      <c r="C26" s="485"/>
      <c r="D26" s="490">
        <f>SUM(D22:D25)</f>
        <v>1000</v>
      </c>
      <c r="E26" s="490">
        <f>SUM(E22:E25)</f>
        <v>2330</v>
      </c>
      <c r="F26" s="490">
        <f>SUM(F22:F25)</f>
        <v>587</v>
      </c>
      <c r="G26" s="490">
        <f>SUM(G22:G25)</f>
        <v>2730</v>
      </c>
      <c r="H26" s="177"/>
    </row>
    <row r="27" spans="1:8" ht="18">
      <c r="A27" s="488"/>
      <c r="B27" s="485"/>
      <c r="C27" s="485"/>
      <c r="D27" s="496"/>
      <c r="E27" s="493"/>
      <c r="F27" s="177"/>
      <c r="G27" s="177"/>
      <c r="H27" s="177"/>
    </row>
    <row r="28" spans="1:8" ht="18">
      <c r="A28" s="488">
        <v>5721</v>
      </c>
      <c r="B28" s="177" t="s">
        <v>337</v>
      </c>
      <c r="C28" s="177">
        <v>47</v>
      </c>
      <c r="D28" s="177">
        <v>43</v>
      </c>
      <c r="E28" s="486">
        <f>E8*19.04%</f>
        <v>34.272</v>
      </c>
      <c r="F28" s="177"/>
      <c r="G28" s="177"/>
      <c r="H28" s="177"/>
    </row>
    <row r="29" spans="1:8" ht="18">
      <c r="A29" s="488">
        <v>56111</v>
      </c>
      <c r="B29" s="177" t="s">
        <v>347</v>
      </c>
      <c r="C29" s="177">
        <v>481</v>
      </c>
      <c r="D29" s="177">
        <f>(D20+D26)*25%</f>
        <v>490</v>
      </c>
      <c r="E29" s="486">
        <f>(E20+E26)*27%</f>
        <v>928.8000000000001</v>
      </c>
      <c r="F29" s="177">
        <v>280</v>
      </c>
      <c r="G29" s="177">
        <v>948</v>
      </c>
      <c r="H29" s="177"/>
    </row>
    <row r="30" spans="1:8" ht="18">
      <c r="A30" s="488"/>
      <c r="B30" s="485" t="s">
        <v>20</v>
      </c>
      <c r="C30" s="485">
        <f>SUM(C28:C29)</f>
        <v>528</v>
      </c>
      <c r="D30" s="485">
        <f>SUM(D28:D29)</f>
        <v>533</v>
      </c>
      <c r="E30" s="485">
        <f>SUM(E28:E29)</f>
        <v>963.0720000000001</v>
      </c>
      <c r="F30" s="485">
        <f>SUM(F28:F29)</f>
        <v>280</v>
      </c>
      <c r="G30" s="485">
        <f>SUM(G28:G29)</f>
        <v>948</v>
      </c>
      <c r="H30" s="177"/>
    </row>
    <row r="31" spans="1:8" ht="18">
      <c r="A31" s="488"/>
      <c r="B31" s="177"/>
      <c r="C31" s="177"/>
      <c r="D31" s="177"/>
      <c r="E31" s="493"/>
      <c r="F31" s="177"/>
      <c r="G31" s="177"/>
      <c r="H31" s="177"/>
    </row>
    <row r="32" spans="1:8" ht="18">
      <c r="A32" s="488"/>
      <c r="B32" s="485" t="s">
        <v>29</v>
      </c>
      <c r="C32" s="490">
        <f>SUM(C20+C26+C30)</f>
        <v>1498</v>
      </c>
      <c r="D32" s="490">
        <f>SUM(D20+D26+D30)</f>
        <v>2493</v>
      </c>
      <c r="E32" s="490">
        <f>SUM(E20+E26+E30)</f>
        <v>4403.072</v>
      </c>
      <c r="F32" s="490">
        <f>SUM(F20+F26+F30)</f>
        <v>1494</v>
      </c>
      <c r="G32" s="490">
        <f>SUM(G20+G26+G30)</f>
        <v>5008</v>
      </c>
      <c r="H32" s="177"/>
    </row>
    <row r="33" spans="1:8" ht="18">
      <c r="A33" s="488"/>
      <c r="B33" s="485"/>
      <c r="C33" s="490"/>
      <c r="D33" s="490"/>
      <c r="E33" s="490"/>
      <c r="F33" s="490"/>
      <c r="G33" s="490"/>
      <c r="H33" s="177"/>
    </row>
    <row r="34" spans="1:8" ht="18">
      <c r="A34" s="488"/>
      <c r="B34" s="485" t="s">
        <v>784</v>
      </c>
      <c r="C34" s="490"/>
      <c r="D34" s="490"/>
      <c r="E34" s="490"/>
      <c r="F34" s="490">
        <v>1720</v>
      </c>
      <c r="G34" s="490"/>
      <c r="H34" s="177"/>
    </row>
    <row r="35" spans="1:8" ht="18">
      <c r="A35" s="488"/>
      <c r="B35" s="485" t="s">
        <v>236</v>
      </c>
      <c r="C35" s="490"/>
      <c r="D35" s="490"/>
      <c r="E35" s="490"/>
      <c r="F35" s="490">
        <v>462</v>
      </c>
      <c r="G35" s="490"/>
      <c r="H35" s="177"/>
    </row>
    <row r="36" spans="1:8" ht="18">
      <c r="A36" s="488"/>
      <c r="B36" s="177" t="s">
        <v>173</v>
      </c>
      <c r="C36" s="177"/>
      <c r="D36" s="177"/>
      <c r="E36" s="493"/>
      <c r="F36" s="177">
        <f>SUM(F34:F35)</f>
        <v>2182</v>
      </c>
      <c r="G36" s="177"/>
      <c r="H36" s="177"/>
    </row>
    <row r="37" spans="1:8" ht="18">
      <c r="A37" s="488"/>
      <c r="B37" s="177"/>
      <c r="C37" s="177"/>
      <c r="D37" s="177"/>
      <c r="E37" s="493"/>
      <c r="F37" s="177"/>
      <c r="G37" s="177"/>
      <c r="H37" s="177"/>
    </row>
    <row r="38" spans="1:8" ht="18">
      <c r="A38" s="488"/>
      <c r="B38" s="485" t="s">
        <v>0</v>
      </c>
      <c r="C38" s="490">
        <f>+C32+C9+C14</f>
        <v>6010</v>
      </c>
      <c r="D38" s="490">
        <f>+D32+D9+D14</f>
        <v>6296</v>
      </c>
      <c r="E38" s="490">
        <f>+E32+E9+E14</f>
        <v>8296.752</v>
      </c>
      <c r="F38" s="490">
        <f>+F32+F9+F14+F36</f>
        <v>3676</v>
      </c>
      <c r="G38" s="490">
        <f>+G32+G9+G14</f>
        <v>9836.87</v>
      </c>
      <c r="H38" s="177"/>
    </row>
  </sheetData>
  <sheetProtection/>
  <printOptions/>
  <pageMargins left="0.7" right="0.7" top="0.75" bottom="0.75" header="0.3" footer="0.3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L43"/>
  <sheetViews>
    <sheetView view="pageBreakPreview" zoomScale="60" zoomScalePageLayoutView="0" workbookViewId="0" topLeftCell="A1">
      <selection activeCell="O15" sqref="O15"/>
    </sheetView>
  </sheetViews>
  <sheetFormatPr defaultColWidth="8.66015625" defaultRowHeight="18"/>
  <cols>
    <col min="1" max="1" width="9" style="182" bestFit="1" customWidth="1"/>
    <col min="2" max="2" width="27.91015625" style="182" customWidth="1"/>
    <col min="3" max="4" width="7.66015625" style="182" customWidth="1"/>
    <col min="5" max="5" width="10.33203125" style="182" customWidth="1"/>
    <col min="6" max="6" width="2.25" style="199" customWidth="1"/>
    <col min="7" max="7" width="6.75" style="182" customWidth="1"/>
    <col min="8" max="8" width="11.33203125" style="182" customWidth="1"/>
    <col min="9" max="16384" width="8.91015625" style="182" customWidth="1"/>
  </cols>
  <sheetData>
    <row r="2" spans="1:9" ht="15.75">
      <c r="A2" s="191">
        <v>562912</v>
      </c>
      <c r="B2" s="191" t="s">
        <v>365</v>
      </c>
      <c r="D2" s="357" t="s">
        <v>286</v>
      </c>
      <c r="E2" s="357" t="s">
        <v>568</v>
      </c>
      <c r="F2" s="360">
        <v>41666</v>
      </c>
      <c r="G2" s="360" t="s">
        <v>651</v>
      </c>
      <c r="H2" s="182" t="s">
        <v>655</v>
      </c>
      <c r="I2" s="182" t="s">
        <v>653</v>
      </c>
    </row>
    <row r="3" spans="1:7" ht="15.75">
      <c r="A3" s="191"/>
      <c r="B3" s="191"/>
      <c r="C3" s="357"/>
      <c r="D3" s="357"/>
      <c r="E3" s="357"/>
      <c r="F3" s="356"/>
      <c r="G3" s="356"/>
    </row>
    <row r="4" spans="1:7" ht="15.75">
      <c r="A4" s="188"/>
      <c r="B4" s="188"/>
      <c r="C4" s="188"/>
      <c r="D4" s="188"/>
      <c r="E4" s="188"/>
      <c r="F4" s="356"/>
      <c r="G4" s="356"/>
    </row>
    <row r="5" spans="1:7" ht="15.75">
      <c r="A5" s="188">
        <v>5412</v>
      </c>
      <c r="B5" s="188" t="s">
        <v>364</v>
      </c>
      <c r="C5" s="189">
        <f>C41</f>
        <v>571379.4</v>
      </c>
      <c r="D5" s="188"/>
      <c r="E5" s="188"/>
      <c r="F5" s="356"/>
      <c r="G5" s="356"/>
    </row>
    <row r="6" spans="1:9" ht="15.75">
      <c r="A6" s="187">
        <v>54</v>
      </c>
      <c r="B6" s="187" t="s">
        <v>363</v>
      </c>
      <c r="C6" s="194">
        <f>SUM(C5:C5)</f>
        <v>571379.4</v>
      </c>
      <c r="D6" s="195">
        <f>C6/1000</f>
        <v>571.3794</v>
      </c>
      <c r="E6" s="195">
        <v>2271</v>
      </c>
      <c r="F6" s="356">
        <v>2470</v>
      </c>
      <c r="G6" s="356">
        <v>2470</v>
      </c>
      <c r="I6" s="183">
        <f>(C40+C35)/1000</f>
        <v>2647.58</v>
      </c>
    </row>
    <row r="7" spans="1:7" ht="15.75">
      <c r="A7" s="187"/>
      <c r="B7" s="187"/>
      <c r="C7" s="194"/>
      <c r="D7" s="194"/>
      <c r="E7" s="194"/>
      <c r="F7" s="356"/>
      <c r="G7" s="356"/>
    </row>
    <row r="8" spans="1:7" s="193" customFormat="1" ht="15.75">
      <c r="A8" s="194">
        <v>56121</v>
      </c>
      <c r="B8" s="194" t="s">
        <v>362</v>
      </c>
      <c r="C8" s="195">
        <f>C42</f>
        <v>2687599.4</v>
      </c>
      <c r="D8" s="194"/>
      <c r="E8" s="194"/>
      <c r="F8" s="187"/>
      <c r="G8" s="187"/>
    </row>
    <row r="9" spans="1:9" s="192" customFormat="1" ht="15.75">
      <c r="A9" s="187">
        <v>56</v>
      </c>
      <c r="B9" s="187" t="s">
        <v>361</v>
      </c>
      <c r="C9" s="194">
        <f>SUM(C8)</f>
        <v>2687599.4</v>
      </c>
      <c r="D9" s="195">
        <f>C9/1000</f>
        <v>2687.5994</v>
      </c>
      <c r="E9" s="195">
        <v>563</v>
      </c>
      <c r="F9" s="187">
        <v>667</v>
      </c>
      <c r="G9" s="187">
        <v>667</v>
      </c>
      <c r="I9" s="481">
        <f>(C36+C41)/1000</f>
        <v>714.8466000000001</v>
      </c>
    </row>
    <row r="10" spans="1:7" ht="15.75">
      <c r="A10" s="187"/>
      <c r="B10" s="187"/>
      <c r="C10" s="194"/>
      <c r="D10" s="194"/>
      <c r="E10" s="194"/>
      <c r="F10" s="356"/>
      <c r="G10" s="356"/>
    </row>
    <row r="11" spans="1:9" ht="15.75">
      <c r="A11" s="191"/>
      <c r="B11" s="191" t="s">
        <v>0</v>
      </c>
      <c r="C11" s="357">
        <f aca="true" t="shared" si="0" ref="C11:I11">SUM(C6,C9)</f>
        <v>3258978.8</v>
      </c>
      <c r="D11" s="358">
        <f t="shared" si="0"/>
        <v>3258.9788</v>
      </c>
      <c r="E11" s="358">
        <f t="shared" si="0"/>
        <v>2834</v>
      </c>
      <c r="F11" s="190">
        <f t="shared" si="0"/>
        <v>3137</v>
      </c>
      <c r="G11" s="190">
        <f t="shared" si="0"/>
        <v>3137</v>
      </c>
      <c r="H11" s="190">
        <f t="shared" si="0"/>
        <v>0</v>
      </c>
      <c r="I11" s="190">
        <f t="shared" si="0"/>
        <v>3362.4266</v>
      </c>
    </row>
    <row r="12" spans="1:7" ht="15.75">
      <c r="A12" s="188"/>
      <c r="B12" s="188"/>
      <c r="C12" s="188"/>
      <c r="D12" s="188"/>
      <c r="E12" s="188"/>
      <c r="F12" s="356"/>
      <c r="G12" s="356"/>
    </row>
    <row r="13" spans="1:7" ht="15.75">
      <c r="A13" s="188"/>
      <c r="B13" s="188"/>
      <c r="C13" s="188"/>
      <c r="D13" s="188"/>
      <c r="E13" s="188"/>
      <c r="F13" s="356"/>
      <c r="G13" s="356"/>
    </row>
    <row r="14" spans="1:9" ht="15.75">
      <c r="A14" s="188">
        <v>91121</v>
      </c>
      <c r="B14" s="188" t="s">
        <v>360</v>
      </c>
      <c r="C14" s="189">
        <f>C22+C27</f>
        <v>714846.6000000001</v>
      </c>
      <c r="D14" s="195">
        <f>C14/1000</f>
        <v>714.8466000000001</v>
      </c>
      <c r="E14" s="195">
        <v>1280</v>
      </c>
      <c r="F14" s="356">
        <v>1652</v>
      </c>
      <c r="G14" s="356">
        <v>1652</v>
      </c>
      <c r="I14" s="183">
        <v>1871</v>
      </c>
    </row>
    <row r="15" spans="1:7" ht="15.75">
      <c r="A15" s="188"/>
      <c r="B15" s="188"/>
      <c r="C15" s="188"/>
      <c r="D15" s="188"/>
      <c r="E15" s="188"/>
      <c r="F15" s="356"/>
      <c r="G15" s="356"/>
    </row>
    <row r="16" spans="1:9" ht="15.75">
      <c r="A16" s="188">
        <v>919231</v>
      </c>
      <c r="B16" s="188" t="s">
        <v>359</v>
      </c>
      <c r="C16" s="189">
        <f>C14*0.27</f>
        <v>193008.58200000002</v>
      </c>
      <c r="D16" s="195">
        <f>C16/1000</f>
        <v>193.00858200000002</v>
      </c>
      <c r="E16" s="195">
        <v>346</v>
      </c>
      <c r="F16" s="356">
        <v>446</v>
      </c>
      <c r="G16" s="356">
        <v>446</v>
      </c>
      <c r="I16" s="182">
        <v>505</v>
      </c>
    </row>
    <row r="17" spans="1:7" ht="15.75">
      <c r="A17" s="188"/>
      <c r="B17" s="188"/>
      <c r="C17" s="188"/>
      <c r="D17" s="188"/>
      <c r="E17" s="188"/>
      <c r="F17" s="356"/>
      <c r="G17" s="356"/>
    </row>
    <row r="18" spans="1:12" s="184" customFormat="1" ht="15.75">
      <c r="A18" s="187">
        <v>91</v>
      </c>
      <c r="B18" s="187" t="s">
        <v>358</v>
      </c>
      <c r="C18" s="195">
        <f>C14*1.27</f>
        <v>907855.1820000001</v>
      </c>
      <c r="D18" s="195">
        <f aca="true" t="shared" si="1" ref="D18:I18">D14+D16</f>
        <v>907.8551820000001</v>
      </c>
      <c r="E18" s="195">
        <f t="shared" si="1"/>
        <v>1626</v>
      </c>
      <c r="F18" s="186">
        <f t="shared" si="1"/>
        <v>2098</v>
      </c>
      <c r="G18" s="186">
        <f t="shared" si="1"/>
        <v>2098</v>
      </c>
      <c r="H18" s="186">
        <f t="shared" si="1"/>
        <v>0</v>
      </c>
      <c r="I18" s="186">
        <f t="shared" si="1"/>
        <v>2376</v>
      </c>
      <c r="J18" s="185"/>
      <c r="K18" s="185"/>
      <c r="L18" s="185"/>
    </row>
    <row r="20" spans="2:4" ht="15.75">
      <c r="B20" s="478" t="s">
        <v>680</v>
      </c>
      <c r="C20" s="478"/>
      <c r="D20" s="478"/>
    </row>
    <row r="21" spans="2:8" ht="15.75">
      <c r="B21" s="478" t="s">
        <v>681</v>
      </c>
      <c r="C21" s="479">
        <f>(41*36)*360</f>
        <v>531360</v>
      </c>
      <c r="D21" s="478" t="s">
        <v>357</v>
      </c>
      <c r="F21" s="205"/>
      <c r="G21" s="205"/>
      <c r="H21" s="205"/>
    </row>
    <row r="22" spans="2:8" ht="15.75">
      <c r="B22" s="478" t="s">
        <v>54</v>
      </c>
      <c r="C22" s="479">
        <f>C21*0.27</f>
        <v>143467.2</v>
      </c>
      <c r="D22" s="478"/>
      <c r="F22" s="205"/>
      <c r="G22" s="206"/>
      <c r="H22" s="205"/>
    </row>
    <row r="23" spans="2:8" ht="15.75">
      <c r="B23" s="478" t="s">
        <v>100</v>
      </c>
      <c r="C23" s="479">
        <f>C21*1.27</f>
        <v>674827.2</v>
      </c>
      <c r="D23" s="478"/>
      <c r="F23" s="205"/>
      <c r="G23" s="206"/>
      <c r="H23" s="205"/>
    </row>
    <row r="24" ht="15.75">
      <c r="F24" s="182"/>
    </row>
    <row r="25" spans="2:8" ht="15.75">
      <c r="B25" s="478" t="s">
        <v>682</v>
      </c>
      <c r="C25" s="478"/>
      <c r="D25" s="478"/>
      <c r="F25" s="205"/>
      <c r="G25" s="205"/>
      <c r="H25" s="205"/>
    </row>
    <row r="26" spans="2:8" ht="15.75">
      <c r="B26" s="478" t="s">
        <v>683</v>
      </c>
      <c r="C26" s="479">
        <f>(144*36+35*11)*380</f>
        <v>2116220</v>
      </c>
      <c r="D26" s="478" t="s">
        <v>357</v>
      </c>
      <c r="F26" s="205"/>
      <c r="G26" s="206"/>
      <c r="H26" s="205"/>
    </row>
    <row r="27" spans="2:8" ht="18.75">
      <c r="B27" s="478" t="s">
        <v>54</v>
      </c>
      <c r="C27" s="479">
        <f>C26*0.27</f>
        <v>571379.4</v>
      </c>
      <c r="D27" s="478"/>
      <c r="F27" s="205"/>
      <c r="G27" s="205"/>
      <c r="H27"/>
    </row>
    <row r="28" spans="2:8" ht="18.75">
      <c r="B28" s="478" t="s">
        <v>100</v>
      </c>
      <c r="C28" s="479">
        <f>C26*1.27</f>
        <v>2687599.4</v>
      </c>
      <c r="D28" s="478"/>
      <c r="F28" s="205"/>
      <c r="G28" s="205"/>
      <c r="H28"/>
    </row>
    <row r="29" spans="2:8" ht="18.75">
      <c r="B29" s="478"/>
      <c r="C29" s="479"/>
      <c r="D29" s="478"/>
      <c r="F29" s="205"/>
      <c r="G29" s="205"/>
      <c r="H29"/>
    </row>
    <row r="30" spans="2:8" ht="15.75">
      <c r="B30" s="207" t="s">
        <v>688</v>
      </c>
      <c r="C30" s="207"/>
      <c r="D30" s="207"/>
      <c r="E30" s="199">
        <v>1870720</v>
      </c>
      <c r="F30" s="205"/>
      <c r="G30" s="206"/>
      <c r="H30" s="205"/>
    </row>
    <row r="31" spans="2:8" ht="15.75">
      <c r="B31" s="207" t="s">
        <v>236</v>
      </c>
      <c r="C31" s="207"/>
      <c r="D31" s="207"/>
      <c r="E31" s="480">
        <f>E30*27%</f>
        <v>505094.4</v>
      </c>
      <c r="F31" s="205"/>
      <c r="G31" s="206"/>
      <c r="H31" s="205"/>
    </row>
    <row r="32" spans="2:8" ht="15.75">
      <c r="B32" s="207" t="s">
        <v>689</v>
      </c>
      <c r="C32" s="207"/>
      <c r="D32" s="207"/>
      <c r="E32" s="480">
        <f>SUM(E30:E31)</f>
        <v>2375814.4</v>
      </c>
      <c r="F32" s="205"/>
      <c r="G32" s="206"/>
      <c r="H32" s="205"/>
    </row>
    <row r="33" spans="2:8" ht="15.75">
      <c r="B33" s="478"/>
      <c r="C33" s="478"/>
      <c r="D33" s="478"/>
      <c r="E33" s="183"/>
      <c r="F33" s="205"/>
      <c r="G33" s="206"/>
      <c r="H33" s="205"/>
    </row>
    <row r="34" spans="2:8" ht="15.75">
      <c r="B34" s="478" t="s">
        <v>684</v>
      </c>
      <c r="C34" s="478"/>
      <c r="D34" s="478"/>
      <c r="F34" s="205"/>
      <c r="G34" s="205"/>
      <c r="H34" s="205"/>
    </row>
    <row r="35" spans="2:8" ht="15.75">
      <c r="B35" s="478" t="s">
        <v>685</v>
      </c>
      <c r="C35" s="479">
        <f>(41*36)*360</f>
        <v>531360</v>
      </c>
      <c r="D35" s="478" t="s">
        <v>357</v>
      </c>
      <c r="F35" s="205"/>
      <c r="G35" s="205"/>
      <c r="H35" s="205"/>
    </row>
    <row r="36" spans="2:8" ht="15.75">
      <c r="B36" s="478" t="s">
        <v>54</v>
      </c>
      <c r="C36" s="479">
        <f>C35*0.27</f>
        <v>143467.2</v>
      </c>
      <c r="D36" s="478" t="s">
        <v>356</v>
      </c>
      <c r="F36" s="205"/>
      <c r="G36" s="206"/>
      <c r="H36" s="205"/>
    </row>
    <row r="37" spans="2:8" ht="15.75">
      <c r="B37" s="478" t="s">
        <v>100</v>
      </c>
      <c r="C37" s="479">
        <f>C35*1.27</f>
        <v>674827.2</v>
      </c>
      <c r="D37" s="478" t="s">
        <v>356</v>
      </c>
      <c r="F37" s="205"/>
      <c r="G37" s="206"/>
      <c r="H37" s="205"/>
    </row>
    <row r="38" spans="2:8" ht="15.75">
      <c r="B38" s="478"/>
      <c r="C38" s="478"/>
      <c r="D38" s="478"/>
      <c r="F38" s="205"/>
      <c r="G38" s="206"/>
      <c r="H38" s="205"/>
    </row>
    <row r="39" spans="2:8" ht="18.75">
      <c r="B39" s="478" t="s">
        <v>686</v>
      </c>
      <c r="C39" s="478"/>
      <c r="D39" s="478"/>
      <c r="F39"/>
      <c r="G39"/>
      <c r="H39"/>
    </row>
    <row r="40" spans="2:4" ht="15.75">
      <c r="B40" s="478" t="s">
        <v>687</v>
      </c>
      <c r="C40" s="479">
        <f>(144*36+35*11)*380</f>
        <v>2116220</v>
      </c>
      <c r="D40" s="478" t="s">
        <v>357</v>
      </c>
    </row>
    <row r="41" spans="2:4" ht="15.75">
      <c r="B41" s="478" t="s">
        <v>54</v>
      </c>
      <c r="C41" s="479">
        <f>C40*0.27</f>
        <v>571379.4</v>
      </c>
      <c r="D41" s="478" t="s">
        <v>356</v>
      </c>
    </row>
    <row r="42" spans="2:4" ht="15.75">
      <c r="B42" s="478" t="s">
        <v>100</v>
      </c>
      <c r="C42" s="479">
        <f>C40*1.27</f>
        <v>2687599.4</v>
      </c>
      <c r="D42" s="478" t="s">
        <v>356</v>
      </c>
    </row>
    <row r="43" spans="2:4" ht="15.75">
      <c r="B43" s="478"/>
      <c r="C43" s="478"/>
      <c r="D43" s="478"/>
    </row>
  </sheetData>
  <sheetProtection/>
  <printOptions/>
  <pageMargins left="0.7" right="0.7" top="0.75" bottom="0.75" header="0.3" footer="0.3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8"/>
  <sheetViews>
    <sheetView view="pageBreakPreview" zoomScale="60" zoomScalePageLayoutView="0" workbookViewId="0" topLeftCell="C145">
      <selection activeCell="H25" sqref="H25:K40"/>
    </sheetView>
  </sheetViews>
  <sheetFormatPr defaultColWidth="8.66015625" defaultRowHeight="18"/>
  <cols>
    <col min="1" max="1" width="8.91015625" style="533" customWidth="1"/>
    <col min="2" max="2" width="6.25" style="533" bestFit="1" customWidth="1"/>
    <col min="3" max="3" width="31.91015625" style="533" bestFit="1" customWidth="1"/>
    <col min="4" max="4" width="9" style="533" bestFit="1" customWidth="1"/>
    <col min="5" max="5" width="8.91015625" style="545" customWidth="1"/>
    <col min="6" max="7" width="8.91015625" style="182" customWidth="1"/>
    <col min="8" max="8" width="9.91015625" style="533" bestFit="1" customWidth="1"/>
    <col min="9" max="16384" width="8.91015625" style="533" customWidth="1"/>
  </cols>
  <sheetData>
    <row r="1" spans="2:6" ht="15.75">
      <c r="B1" s="534"/>
      <c r="C1" s="535"/>
      <c r="D1" s="535"/>
      <c r="E1" s="536"/>
      <c r="F1" s="18"/>
    </row>
    <row r="2" spans="2:6" ht="15.75">
      <c r="B2" s="534"/>
      <c r="C2" s="570"/>
      <c r="D2" s="570"/>
      <c r="E2" s="537"/>
      <c r="F2" s="18"/>
    </row>
    <row r="3" spans="1:7" ht="15.75">
      <c r="A3" s="188">
        <v>562913</v>
      </c>
      <c r="B3" s="571" t="s">
        <v>280</v>
      </c>
      <c r="C3" s="571"/>
      <c r="D3" s="538" t="s">
        <v>266</v>
      </c>
      <c r="E3" s="46">
        <v>41695</v>
      </c>
      <c r="F3" s="188" t="s">
        <v>663</v>
      </c>
      <c r="G3" s="188" t="s">
        <v>653</v>
      </c>
    </row>
    <row r="4" spans="1:7" ht="15.75">
      <c r="A4" s="539"/>
      <c r="B4" s="26"/>
      <c r="C4" s="25"/>
      <c r="D4" s="25"/>
      <c r="E4" s="30"/>
      <c r="F4" s="30"/>
      <c r="G4" s="188"/>
    </row>
    <row r="5" spans="1:7" ht="15.75">
      <c r="A5" s="539"/>
      <c r="B5" s="26">
        <v>511212</v>
      </c>
      <c r="C5" s="25" t="s">
        <v>118</v>
      </c>
      <c r="D5" s="25"/>
      <c r="E5" s="30">
        <f>'[3]GEVSZ'!$P$27/1000-360</f>
        <v>5630.5</v>
      </c>
      <c r="F5" s="188"/>
      <c r="G5" s="188">
        <v>5637</v>
      </c>
    </row>
    <row r="6" spans="1:7" ht="15.75">
      <c r="A6" s="539"/>
      <c r="B6" s="26"/>
      <c r="C6" s="25" t="s">
        <v>393</v>
      </c>
      <c r="D6" s="25"/>
      <c r="E6" s="30">
        <v>361</v>
      </c>
      <c r="F6" s="188"/>
      <c r="G6" s="188">
        <v>360</v>
      </c>
    </row>
    <row r="7" spans="1:7" ht="15.75">
      <c r="A7" s="539"/>
      <c r="B7" s="26">
        <v>513291</v>
      </c>
      <c r="C7" s="25" t="s">
        <v>224</v>
      </c>
      <c r="D7" s="25"/>
      <c r="E7" s="30">
        <v>79</v>
      </c>
      <c r="F7" s="188"/>
      <c r="G7" s="188">
        <v>86</v>
      </c>
    </row>
    <row r="8" spans="1:7" ht="15.75">
      <c r="A8" s="539"/>
      <c r="B8" s="26"/>
      <c r="C8" s="25" t="s">
        <v>524</v>
      </c>
      <c r="D8" s="25"/>
      <c r="E8" s="30"/>
      <c r="F8" s="188"/>
      <c r="G8" s="188"/>
    </row>
    <row r="9" spans="1:7" ht="15.75">
      <c r="A9" s="539"/>
      <c r="B9" s="26"/>
      <c r="C9" s="25" t="s">
        <v>525</v>
      </c>
      <c r="D9" s="25"/>
      <c r="E9" s="30">
        <v>120</v>
      </c>
      <c r="F9" s="188"/>
      <c r="G9" s="188">
        <v>130</v>
      </c>
    </row>
    <row r="10" spans="1:7" ht="15.75">
      <c r="A10" s="539"/>
      <c r="B10" s="26">
        <v>513292</v>
      </c>
      <c r="C10" s="25" t="s">
        <v>24</v>
      </c>
      <c r="D10" s="25"/>
      <c r="E10" s="30">
        <v>30</v>
      </c>
      <c r="F10" s="188"/>
      <c r="G10" s="188">
        <v>20</v>
      </c>
    </row>
    <row r="11" spans="1:7" ht="15.75">
      <c r="A11" s="539"/>
      <c r="B11" s="540" t="s">
        <v>391</v>
      </c>
      <c r="C11" s="25" t="s">
        <v>39</v>
      </c>
      <c r="D11" s="25"/>
      <c r="E11" s="30">
        <v>480</v>
      </c>
      <c r="F11" s="188"/>
      <c r="G11" s="188">
        <v>600</v>
      </c>
    </row>
    <row r="12" spans="1:7" ht="15.75">
      <c r="A12" s="539"/>
      <c r="B12" s="540"/>
      <c r="C12" s="25" t="s">
        <v>839</v>
      </c>
      <c r="D12" s="25"/>
      <c r="E12" s="30"/>
      <c r="F12" s="188"/>
      <c r="G12" s="188">
        <v>501</v>
      </c>
    </row>
    <row r="13" spans="1:9" ht="15.75">
      <c r="A13" s="539"/>
      <c r="B13" s="26"/>
      <c r="C13" s="25" t="s">
        <v>583</v>
      </c>
      <c r="D13" s="25"/>
      <c r="E13" s="30">
        <v>400</v>
      </c>
      <c r="F13" s="188"/>
      <c r="G13" s="188">
        <v>420</v>
      </c>
      <c r="I13" s="533" t="s">
        <v>785</v>
      </c>
    </row>
    <row r="14" spans="1:7" ht="15.75">
      <c r="A14" s="539"/>
      <c r="B14" s="27" t="s">
        <v>584</v>
      </c>
      <c r="C14" s="28" t="s">
        <v>390</v>
      </c>
      <c r="D14" s="28">
        <v>7730</v>
      </c>
      <c r="E14" s="29">
        <f>SUM(E5:E13)</f>
        <v>7100.5</v>
      </c>
      <c r="F14" s="29">
        <f>SUM(F5:F13)</f>
        <v>0</v>
      </c>
      <c r="G14" s="29">
        <f>SUM(G5:G13)</f>
        <v>7754</v>
      </c>
    </row>
    <row r="15" spans="1:7" ht="15.75">
      <c r="A15" s="539"/>
      <c r="B15" s="26"/>
      <c r="C15" s="25"/>
      <c r="D15" s="25"/>
      <c r="E15" s="30"/>
      <c r="F15" s="188"/>
      <c r="G15" s="188"/>
    </row>
    <row r="16" spans="1:8" ht="15.75">
      <c r="A16" s="539"/>
      <c r="B16" s="26">
        <v>53115</v>
      </c>
      <c r="C16" s="25" t="s">
        <v>389</v>
      </c>
      <c r="D16" s="25"/>
      <c r="E16" s="30">
        <f>(E14-E10-E11)*27%</f>
        <v>1779.4350000000002</v>
      </c>
      <c r="F16" s="188"/>
      <c r="G16" s="189">
        <f>H16*27%</f>
        <v>1926.18</v>
      </c>
      <c r="H16" s="550">
        <f>G14-G11-G10</f>
        <v>7134</v>
      </c>
    </row>
    <row r="17" spans="1:7" ht="15.75">
      <c r="A17" s="539"/>
      <c r="B17" s="26">
        <v>5332</v>
      </c>
      <c r="C17" s="25" t="s">
        <v>4</v>
      </c>
      <c r="D17" s="25"/>
      <c r="E17" s="30">
        <f>E11*16.7%</f>
        <v>80.16</v>
      </c>
      <c r="F17" s="188"/>
      <c r="G17" s="188">
        <v>100</v>
      </c>
    </row>
    <row r="18" spans="1:7" ht="15.75">
      <c r="A18" s="539"/>
      <c r="B18" s="26"/>
      <c r="C18" s="25" t="s">
        <v>220</v>
      </c>
      <c r="D18" s="25"/>
      <c r="E18" s="30"/>
      <c r="F18" s="188"/>
      <c r="G18" s="188">
        <v>116</v>
      </c>
    </row>
    <row r="19" spans="1:7" ht="15.75">
      <c r="A19" s="539"/>
      <c r="B19" s="27">
        <v>53</v>
      </c>
      <c r="C19" s="28" t="s">
        <v>70</v>
      </c>
      <c r="D19" s="28">
        <v>2020</v>
      </c>
      <c r="E19" s="29">
        <f>SUM(E16:E17)</f>
        <v>1859.5950000000003</v>
      </c>
      <c r="F19" s="188"/>
      <c r="G19" s="189">
        <f>SUM(G16:G18)</f>
        <v>2142.1800000000003</v>
      </c>
    </row>
    <row r="20" spans="1:7" ht="15.75">
      <c r="A20" s="539"/>
      <c r="B20" s="27"/>
      <c r="C20" s="28"/>
      <c r="D20" s="28"/>
      <c r="E20" s="29"/>
      <c r="F20" s="188"/>
      <c r="G20" s="188"/>
    </row>
    <row r="21" spans="1:7" ht="15.75">
      <c r="A21" s="539"/>
      <c r="B21" s="27"/>
      <c r="C21" s="28"/>
      <c r="D21" s="28"/>
      <c r="E21" s="30"/>
      <c r="F21" s="188"/>
      <c r="G21" s="188"/>
    </row>
    <row r="22" spans="1:7" ht="15.75">
      <c r="A22" s="539"/>
      <c r="B22" s="26">
        <v>5412</v>
      </c>
      <c r="C22" s="25" t="s">
        <v>388</v>
      </c>
      <c r="D22" s="25">
        <v>5743</v>
      </c>
      <c r="E22" s="30">
        <v>7776</v>
      </c>
      <c r="F22" s="188"/>
      <c r="G22" s="188">
        <v>10696</v>
      </c>
    </row>
    <row r="23" spans="1:7" ht="15.75">
      <c r="A23" s="539"/>
      <c r="B23" s="26">
        <v>5432</v>
      </c>
      <c r="C23" s="25" t="s">
        <v>387</v>
      </c>
      <c r="D23" s="25">
        <v>100</v>
      </c>
      <c r="E23" s="30">
        <v>120</v>
      </c>
      <c r="F23" s="188">
        <v>51</v>
      </c>
      <c r="G23" s="188">
        <v>120</v>
      </c>
    </row>
    <row r="24" spans="1:7" ht="15.75">
      <c r="A24" s="539"/>
      <c r="B24" s="26">
        <v>54422</v>
      </c>
      <c r="C24" s="25" t="s">
        <v>386</v>
      </c>
      <c r="D24" s="25">
        <v>10</v>
      </c>
      <c r="E24" s="30">
        <v>10</v>
      </c>
      <c r="F24" s="188">
        <v>10</v>
      </c>
      <c r="G24" s="188">
        <v>10</v>
      </c>
    </row>
    <row r="25" spans="1:11" ht="15.75">
      <c r="A25" s="539"/>
      <c r="B25" s="26">
        <v>54721</v>
      </c>
      <c r="C25" s="25" t="s">
        <v>385</v>
      </c>
      <c r="D25" s="25">
        <v>150</v>
      </c>
      <c r="E25" s="30">
        <v>800</v>
      </c>
      <c r="F25" s="188">
        <v>920</v>
      </c>
      <c r="G25" s="188">
        <v>400</v>
      </c>
      <c r="H25" s="182" t="s">
        <v>705</v>
      </c>
      <c r="I25" s="182"/>
      <c r="J25" s="182"/>
      <c r="K25" s="182"/>
    </row>
    <row r="26" spans="1:11" ht="15.75">
      <c r="A26" s="539"/>
      <c r="B26" s="26">
        <v>5482</v>
      </c>
      <c r="C26" s="25" t="s">
        <v>384</v>
      </c>
      <c r="D26" s="25">
        <v>74</v>
      </c>
      <c r="E26" s="30">
        <v>74</v>
      </c>
      <c r="F26" s="188">
        <v>74</v>
      </c>
      <c r="G26" s="188">
        <v>74</v>
      </c>
      <c r="H26" s="182"/>
      <c r="I26" s="182"/>
      <c r="J26" s="182"/>
      <c r="K26" s="182"/>
    </row>
    <row r="27" spans="1:11" ht="15.75">
      <c r="A27" s="539"/>
      <c r="B27" s="26">
        <v>54921</v>
      </c>
      <c r="C27" s="25" t="s">
        <v>383</v>
      </c>
      <c r="D27" s="25">
        <v>100</v>
      </c>
      <c r="E27" s="30">
        <v>120</v>
      </c>
      <c r="F27" s="188">
        <v>22</v>
      </c>
      <c r="G27" s="188">
        <v>120</v>
      </c>
      <c r="H27" s="182" t="s">
        <v>706</v>
      </c>
      <c r="I27" s="182"/>
      <c r="J27" s="182"/>
      <c r="K27" s="182"/>
    </row>
    <row r="28" spans="1:11" ht="15.75">
      <c r="A28" s="539"/>
      <c r="B28" s="26">
        <v>54923</v>
      </c>
      <c r="C28" s="25" t="s">
        <v>382</v>
      </c>
      <c r="D28" s="25">
        <v>380</v>
      </c>
      <c r="E28" s="30">
        <v>400</v>
      </c>
      <c r="F28" s="188">
        <v>360</v>
      </c>
      <c r="G28" s="188">
        <v>400</v>
      </c>
      <c r="H28" s="182"/>
      <c r="I28" s="182"/>
      <c r="J28" s="182"/>
      <c r="K28" s="182"/>
    </row>
    <row r="29" spans="1:11" ht="15.75">
      <c r="A29" s="539"/>
      <c r="B29" s="26"/>
      <c r="C29" s="25"/>
      <c r="D29" s="25"/>
      <c r="E29" s="30"/>
      <c r="F29" s="188"/>
      <c r="G29" s="188"/>
      <c r="H29" s="182"/>
      <c r="I29" s="182"/>
      <c r="J29" s="182"/>
      <c r="K29" s="182"/>
    </row>
    <row r="30" spans="1:11" ht="15.75">
      <c r="A30" s="539"/>
      <c r="B30" s="27">
        <v>54</v>
      </c>
      <c r="C30" s="28" t="s">
        <v>381</v>
      </c>
      <c r="D30" s="28">
        <f>SUM(D22:D29)</f>
        <v>6557</v>
      </c>
      <c r="E30" s="27">
        <f>SUM(E22:E29)</f>
        <v>9300</v>
      </c>
      <c r="F30" s="27">
        <f>SUM(F22:F29)</f>
        <v>1437</v>
      </c>
      <c r="G30" s="27">
        <f>SUM(G22:G29)</f>
        <v>11820</v>
      </c>
      <c r="H30" s="182"/>
      <c r="I30" s="182"/>
      <c r="J30" s="182"/>
      <c r="K30" s="182"/>
    </row>
    <row r="31" spans="1:11" ht="15.75">
      <c r="A31" s="539"/>
      <c r="B31" s="26"/>
      <c r="C31" s="25"/>
      <c r="D31" s="25"/>
      <c r="E31" s="30"/>
      <c r="F31" s="188"/>
      <c r="G31" s="188"/>
      <c r="H31" s="182"/>
      <c r="I31" s="182"/>
      <c r="J31" s="182"/>
      <c r="K31" s="182"/>
    </row>
    <row r="32" spans="1:11" ht="15.75">
      <c r="A32" s="539"/>
      <c r="B32" s="26">
        <v>55121</v>
      </c>
      <c r="C32" s="25" t="s">
        <v>380</v>
      </c>
      <c r="D32" s="25">
        <v>130</v>
      </c>
      <c r="E32" s="30">
        <v>150</v>
      </c>
      <c r="F32" s="188">
        <v>100</v>
      </c>
      <c r="G32" s="188">
        <v>120</v>
      </c>
      <c r="H32" s="182"/>
      <c r="I32" s="182"/>
      <c r="J32" s="182"/>
      <c r="K32" s="182"/>
    </row>
    <row r="33" spans="1:11" ht="15.75">
      <c r="A33" s="539"/>
      <c r="B33" s="26">
        <v>55224</v>
      </c>
      <c r="C33" s="25" t="s">
        <v>379</v>
      </c>
      <c r="D33" s="25">
        <v>900</v>
      </c>
      <c r="E33" s="30">
        <v>1100</v>
      </c>
      <c r="F33" s="188">
        <v>1019</v>
      </c>
      <c r="G33" s="188">
        <v>1100</v>
      </c>
      <c r="H33" s="182"/>
      <c r="I33" s="182"/>
      <c r="J33" s="182"/>
      <c r="K33" s="182"/>
    </row>
    <row r="34" spans="1:11" ht="15.75">
      <c r="A34" s="539"/>
      <c r="B34" s="26">
        <v>55225</v>
      </c>
      <c r="C34" s="25" t="s">
        <v>378</v>
      </c>
      <c r="D34" s="25">
        <v>750</v>
      </c>
      <c r="E34" s="30">
        <v>600</v>
      </c>
      <c r="F34" s="188">
        <v>518</v>
      </c>
      <c r="G34" s="188">
        <v>600</v>
      </c>
      <c r="H34" s="182"/>
      <c r="I34" s="182"/>
      <c r="J34" s="182"/>
      <c r="K34" s="182"/>
    </row>
    <row r="35" spans="1:11" ht="15.75">
      <c r="A35" s="539"/>
      <c r="B35" s="26">
        <v>55227</v>
      </c>
      <c r="C35" s="25" t="s">
        <v>377</v>
      </c>
      <c r="D35" s="25">
        <v>480</v>
      </c>
      <c r="E35" s="30">
        <v>650</v>
      </c>
      <c r="F35" s="188">
        <v>640</v>
      </c>
      <c r="G35" s="188">
        <v>670</v>
      </c>
      <c r="H35" s="182"/>
      <c r="I35" s="182"/>
      <c r="J35" s="182"/>
      <c r="K35" s="182"/>
    </row>
    <row r="36" spans="1:11" ht="15.75">
      <c r="A36" s="539"/>
      <c r="B36" s="26">
        <v>5522.81</v>
      </c>
      <c r="C36" s="25" t="s">
        <v>376</v>
      </c>
      <c r="D36" s="25">
        <v>115</v>
      </c>
      <c r="E36" s="30">
        <v>50</v>
      </c>
      <c r="F36" s="188">
        <v>102</v>
      </c>
      <c r="G36" s="188">
        <v>130</v>
      </c>
      <c r="H36" s="182" t="s">
        <v>708</v>
      </c>
      <c r="I36" s="182"/>
      <c r="J36" s="182"/>
      <c r="K36" s="182"/>
    </row>
    <row r="37" spans="1:11" ht="15.75">
      <c r="A37" s="539"/>
      <c r="B37" s="26">
        <v>552282</v>
      </c>
      <c r="C37" s="25" t="s">
        <v>375</v>
      </c>
      <c r="D37" s="25">
        <v>100</v>
      </c>
      <c r="E37" s="30">
        <v>80</v>
      </c>
      <c r="F37" s="188">
        <v>18</v>
      </c>
      <c r="G37" s="188">
        <v>80</v>
      </c>
      <c r="H37" s="182"/>
      <c r="I37" s="182"/>
      <c r="J37" s="182"/>
      <c r="K37" s="182"/>
    </row>
    <row r="38" spans="1:11" ht="15.75">
      <c r="A38" s="539"/>
      <c r="B38" s="26">
        <v>55229</v>
      </c>
      <c r="C38" s="25" t="s">
        <v>374</v>
      </c>
      <c r="D38" s="25">
        <v>81</v>
      </c>
      <c r="E38" s="30">
        <v>120</v>
      </c>
      <c r="F38" s="182">
        <v>85</v>
      </c>
      <c r="G38" s="188">
        <v>120</v>
      </c>
      <c r="H38" s="188" t="s">
        <v>373</v>
      </c>
      <c r="I38" s="182"/>
      <c r="J38" s="182"/>
      <c r="K38" s="182"/>
    </row>
    <row r="39" spans="1:11" ht="15.75">
      <c r="A39" s="539"/>
      <c r="B39" s="26">
        <v>552291</v>
      </c>
      <c r="C39" s="25" t="s">
        <v>15</v>
      </c>
      <c r="D39" s="25">
        <v>5</v>
      </c>
      <c r="E39" s="30">
        <v>5</v>
      </c>
      <c r="F39" s="188"/>
      <c r="G39" s="188"/>
      <c r="H39" s="182"/>
      <c r="I39" s="182"/>
      <c r="J39" s="182"/>
      <c r="K39" s="182"/>
    </row>
    <row r="40" spans="1:11" ht="15.75">
      <c r="A40" s="539"/>
      <c r="B40" s="26">
        <v>55322</v>
      </c>
      <c r="C40" s="25" t="s">
        <v>372</v>
      </c>
      <c r="D40" s="25">
        <v>204</v>
      </c>
      <c r="E40" s="30">
        <v>230</v>
      </c>
      <c r="F40" s="188">
        <v>230</v>
      </c>
      <c r="G40" s="188">
        <v>230</v>
      </c>
      <c r="H40" s="182"/>
      <c r="I40" s="182"/>
      <c r="J40" s="182"/>
      <c r="K40" s="182"/>
    </row>
    <row r="41" spans="1:7" ht="15.75">
      <c r="A41" s="539"/>
      <c r="B41" s="27">
        <v>55</v>
      </c>
      <c r="C41" s="28" t="s">
        <v>16</v>
      </c>
      <c r="D41" s="29">
        <f>SUM(D32:D40)</f>
        <v>2765</v>
      </c>
      <c r="E41" s="29">
        <f>SUM(E32:E40)</f>
        <v>2985</v>
      </c>
      <c r="F41" s="29">
        <f>SUM(F32:F40)</f>
        <v>2712</v>
      </c>
      <c r="G41" s="29">
        <f>SUM(G32:G40)</f>
        <v>3050</v>
      </c>
    </row>
    <row r="42" spans="1:7" ht="15.75">
      <c r="A42" s="539"/>
      <c r="B42" s="26"/>
      <c r="C42" s="25"/>
      <c r="D42" s="25"/>
      <c r="E42" s="30"/>
      <c r="F42" s="188"/>
      <c r="G42" s="188"/>
    </row>
    <row r="43" spans="1:7" ht="15.75">
      <c r="A43" s="539"/>
      <c r="B43" s="26">
        <v>56121</v>
      </c>
      <c r="C43" s="25" t="s">
        <v>371</v>
      </c>
      <c r="D43" s="30">
        <f>(D30+D41)*0.27</f>
        <v>2516.94</v>
      </c>
      <c r="E43" s="30">
        <f>2100+(E41+E30-E22)*27%</f>
        <v>3317.4300000000003</v>
      </c>
      <c r="F43" s="188">
        <v>1120</v>
      </c>
      <c r="G43" s="189">
        <f>(G41+G30)*27%</f>
        <v>4014.9</v>
      </c>
    </row>
    <row r="44" spans="1:7" ht="15.75">
      <c r="A44" s="539"/>
      <c r="B44" s="26">
        <v>56221</v>
      </c>
      <c r="C44" s="25" t="s">
        <v>18</v>
      </c>
      <c r="D44" s="25">
        <v>40</v>
      </c>
      <c r="E44" s="30">
        <v>30</v>
      </c>
      <c r="F44" s="188">
        <v>14</v>
      </c>
      <c r="G44" s="188">
        <v>30</v>
      </c>
    </row>
    <row r="45" spans="1:7" ht="15.75">
      <c r="A45" s="539"/>
      <c r="B45" s="27">
        <v>56</v>
      </c>
      <c r="C45" s="28" t="s">
        <v>56</v>
      </c>
      <c r="D45" s="29">
        <f>SUM(D43:D44)</f>
        <v>2556.94</v>
      </c>
      <c r="E45" s="29">
        <f>SUM(E43:E44)</f>
        <v>3347.4300000000003</v>
      </c>
      <c r="F45" s="29">
        <f>SUM(F43:F44)</f>
        <v>1134</v>
      </c>
      <c r="G45" s="29">
        <f>SUM(G43:G44)</f>
        <v>4044.9</v>
      </c>
    </row>
    <row r="46" spans="1:7" ht="15.75">
      <c r="A46" s="539"/>
      <c r="B46" s="26"/>
      <c r="C46" s="25"/>
      <c r="D46" s="30"/>
      <c r="E46" s="30"/>
      <c r="F46" s="188"/>
      <c r="G46" s="188"/>
    </row>
    <row r="47" spans="1:7" ht="15.75">
      <c r="A47" s="539"/>
      <c r="B47" s="26">
        <v>57211</v>
      </c>
      <c r="C47" s="25" t="s">
        <v>370</v>
      </c>
      <c r="D47" s="30">
        <v>92</v>
      </c>
      <c r="E47" s="30">
        <f>E11*19.04%</f>
        <v>91.392</v>
      </c>
      <c r="F47" s="188"/>
      <c r="G47" s="188"/>
    </row>
    <row r="48" spans="1:7" ht="15.75">
      <c r="A48" s="539"/>
      <c r="B48" s="26">
        <v>57219</v>
      </c>
      <c r="C48" s="25" t="s">
        <v>369</v>
      </c>
      <c r="D48" s="30"/>
      <c r="E48" s="30"/>
      <c r="F48" s="188"/>
      <c r="G48" s="188"/>
    </row>
    <row r="49" spans="1:7" s="542" customFormat="1" ht="15.75">
      <c r="A49" s="541"/>
      <c r="B49" s="27">
        <v>57</v>
      </c>
      <c r="C49" s="28" t="s">
        <v>368</v>
      </c>
      <c r="D49" s="29">
        <f>SUM(D47:D48)</f>
        <v>92</v>
      </c>
      <c r="E49" s="29">
        <f>SUM(E47:E48)</f>
        <v>91.392</v>
      </c>
      <c r="F49" s="356"/>
      <c r="G49" s="356"/>
    </row>
    <row r="50" spans="1:7" ht="15.75">
      <c r="A50" s="539"/>
      <c r="B50" s="26"/>
      <c r="C50" s="28" t="s">
        <v>71</v>
      </c>
      <c r="D50" s="29"/>
      <c r="E50" s="29">
        <f>E49+E45+E41+E30</f>
        <v>15723.822</v>
      </c>
      <c r="F50" s="29">
        <f>F49+F45+F41+F30</f>
        <v>5283</v>
      </c>
      <c r="G50" s="29">
        <f>G49+G45+G41+G30</f>
        <v>18914.9</v>
      </c>
    </row>
    <row r="51" spans="1:7" ht="15.75">
      <c r="A51" s="539"/>
      <c r="B51" s="26"/>
      <c r="C51" s="25"/>
      <c r="D51" s="30"/>
      <c r="E51" s="30"/>
      <c r="F51" s="188"/>
      <c r="G51" s="188"/>
    </row>
    <row r="52" spans="1:7" ht="15.75">
      <c r="A52" s="539"/>
      <c r="B52" s="26"/>
      <c r="C52" s="25" t="s">
        <v>43</v>
      </c>
      <c r="D52" s="30"/>
      <c r="E52" s="30">
        <f>E50+E19+E14</f>
        <v>24683.917</v>
      </c>
      <c r="F52" s="30">
        <f>F50+F19+F14</f>
        <v>5283</v>
      </c>
      <c r="G52" s="30">
        <f>G50+G19+G14</f>
        <v>28811.08</v>
      </c>
    </row>
    <row r="53" spans="1:7" ht="15.75">
      <c r="A53" s="539"/>
      <c r="B53" s="26"/>
      <c r="C53" s="25"/>
      <c r="D53" s="30"/>
      <c r="E53" s="30"/>
      <c r="F53" s="188"/>
      <c r="G53" s="188"/>
    </row>
    <row r="54" spans="1:7" ht="15.75">
      <c r="A54" s="539"/>
      <c r="B54" s="26"/>
      <c r="C54" s="28" t="s">
        <v>707</v>
      </c>
      <c r="D54" s="28"/>
      <c r="E54" s="30"/>
      <c r="F54" s="188"/>
      <c r="G54" s="188">
        <v>250</v>
      </c>
    </row>
    <row r="55" spans="1:7" ht="15.75">
      <c r="A55" s="539"/>
      <c r="B55" s="26"/>
      <c r="C55" s="25" t="s">
        <v>236</v>
      </c>
      <c r="D55" s="25"/>
      <c r="E55" s="30"/>
      <c r="F55" s="188"/>
      <c r="G55" s="188">
        <v>68</v>
      </c>
    </row>
    <row r="56" spans="1:7" ht="15.75">
      <c r="A56" s="539"/>
      <c r="B56" s="26"/>
      <c r="C56" s="25" t="s">
        <v>63</v>
      </c>
      <c r="D56" s="25"/>
      <c r="E56" s="30"/>
      <c r="F56" s="188"/>
      <c r="G56" s="188">
        <f>SUM(G54:G55)</f>
        <v>318</v>
      </c>
    </row>
    <row r="57" spans="1:7" ht="15.75">
      <c r="A57" s="539"/>
      <c r="B57" s="26"/>
      <c r="C57" s="25"/>
      <c r="D57" s="25"/>
      <c r="E57" s="30"/>
      <c r="F57" s="188"/>
      <c r="G57" s="188"/>
    </row>
    <row r="58" spans="1:7" ht="15.75">
      <c r="A58" s="539"/>
      <c r="B58" s="27"/>
      <c r="C58" s="28" t="s">
        <v>119</v>
      </c>
      <c r="D58" s="28"/>
      <c r="E58" s="29">
        <f>E52+E54</f>
        <v>24683.917</v>
      </c>
      <c r="F58" s="29">
        <f>F52+F54</f>
        <v>5283</v>
      </c>
      <c r="G58" s="29">
        <f>G52+G56</f>
        <v>29129.08</v>
      </c>
    </row>
    <row r="59" spans="1:7" ht="15.75">
      <c r="A59" s="539"/>
      <c r="B59" s="26"/>
      <c r="C59" s="25"/>
      <c r="D59" s="25"/>
      <c r="E59" s="181"/>
      <c r="F59" s="188"/>
      <c r="G59" s="188"/>
    </row>
    <row r="60" spans="1:7" ht="15.75">
      <c r="A60" s="539"/>
      <c r="B60" s="26"/>
      <c r="C60" s="25"/>
      <c r="D60" s="25"/>
      <c r="E60" s="30"/>
      <c r="F60" s="188"/>
      <c r="G60" s="188"/>
    </row>
    <row r="61" spans="1:7" ht="15.75">
      <c r="A61" s="539"/>
      <c r="B61" s="26"/>
      <c r="C61" s="25" t="s">
        <v>367</v>
      </c>
      <c r="D61" s="25"/>
      <c r="E61" s="248">
        <v>3040</v>
      </c>
      <c r="F61" s="188"/>
      <c r="G61" s="189">
        <f>D176/1000</f>
        <v>5365.224</v>
      </c>
    </row>
    <row r="62" spans="1:7" ht="15.75">
      <c r="A62" s="539"/>
      <c r="B62" s="26"/>
      <c r="C62" s="25" t="s">
        <v>236</v>
      </c>
      <c r="D62" s="25"/>
      <c r="E62" s="248">
        <v>821</v>
      </c>
      <c r="F62" s="188"/>
      <c r="G62" s="189">
        <f>D177/1000</f>
        <v>1448.61048</v>
      </c>
    </row>
    <row r="63" spans="1:7" ht="15.75">
      <c r="A63" s="539"/>
      <c r="B63" s="27">
        <v>91</v>
      </c>
      <c r="C63" s="28" t="s">
        <v>366</v>
      </c>
      <c r="D63" s="28"/>
      <c r="E63" s="29">
        <f>SUM(E61:E62)</f>
        <v>3861</v>
      </c>
      <c r="F63" s="29">
        <f>SUM(F61:F62)</f>
        <v>0</v>
      </c>
      <c r="G63" s="29">
        <f>SUM(G61:G62)</f>
        <v>6813.83448</v>
      </c>
    </row>
    <row r="64" spans="1:7" ht="15.75">
      <c r="A64" s="539"/>
      <c r="B64" s="26"/>
      <c r="C64" s="25"/>
      <c r="D64" s="25"/>
      <c r="E64" s="248"/>
      <c r="F64" s="188"/>
      <c r="G64" s="188"/>
    </row>
    <row r="65" spans="1:7" ht="15.75">
      <c r="A65" s="539"/>
      <c r="B65" s="27"/>
      <c r="C65" s="28" t="s">
        <v>332</v>
      </c>
      <c r="D65" s="28"/>
      <c r="E65" s="543"/>
      <c r="F65" s="188"/>
      <c r="G65" s="544">
        <f>SUM(G63)</f>
        <v>6813.83448</v>
      </c>
    </row>
    <row r="66" spans="1:7" ht="15.75">
      <c r="A66" s="539"/>
      <c r="B66" s="26"/>
      <c r="C66" s="25"/>
      <c r="D66" s="25"/>
      <c r="E66" s="248"/>
      <c r="F66" s="30"/>
      <c r="G66" s="188"/>
    </row>
    <row r="67" spans="2:5" ht="15.75">
      <c r="B67" s="534"/>
      <c r="C67" s="199" t="s">
        <v>690</v>
      </c>
      <c r="D67" s="182"/>
      <c r="E67" s="182"/>
    </row>
    <row r="68" spans="3:5" ht="15.75">
      <c r="C68" s="182" t="s">
        <v>523</v>
      </c>
      <c r="D68" s="182"/>
      <c r="E68" s="182"/>
    </row>
    <row r="69" spans="3:5" ht="15.75">
      <c r="C69" s="182" t="s">
        <v>691</v>
      </c>
      <c r="D69" s="183">
        <f>44*65*400</f>
        <v>1144000</v>
      </c>
      <c r="E69" s="182"/>
    </row>
    <row r="70" spans="3:5" ht="15.75">
      <c r="C70" s="182" t="s">
        <v>54</v>
      </c>
      <c r="D70" s="183">
        <f>D69*0.27</f>
        <v>308880</v>
      </c>
      <c r="E70" s="182"/>
    </row>
    <row r="71" spans="3:5" ht="15.75">
      <c r="C71" s="182" t="s">
        <v>100</v>
      </c>
      <c r="D71" s="183">
        <f>D69*1.27</f>
        <v>1452880</v>
      </c>
      <c r="E71" s="182"/>
    </row>
    <row r="72" spans="3:5" ht="15.75">
      <c r="C72" s="182"/>
      <c r="D72" s="182"/>
      <c r="E72" s="182"/>
    </row>
    <row r="73" spans="3:5" ht="15.75">
      <c r="C73" s="182" t="s">
        <v>522</v>
      </c>
      <c r="D73" s="182"/>
      <c r="E73" s="182"/>
    </row>
    <row r="74" spans="3:5" ht="15.75">
      <c r="C74" s="182" t="s">
        <v>692</v>
      </c>
      <c r="D74" s="183">
        <f>41*44*450</f>
        <v>811800</v>
      </c>
      <c r="E74" s="182"/>
    </row>
    <row r="75" spans="3:5" ht="15.75">
      <c r="C75" s="182" t="s">
        <v>54</v>
      </c>
      <c r="D75" s="183">
        <f>D74*0.27</f>
        <v>219186</v>
      </c>
      <c r="E75" s="182"/>
    </row>
    <row r="76" spans="3:5" ht="15.75">
      <c r="C76" s="182" t="s">
        <v>100</v>
      </c>
      <c r="D76" s="183">
        <f>D74*1.27</f>
        <v>1030986</v>
      </c>
      <c r="E76" s="182"/>
    </row>
    <row r="77" spans="3:5" ht="15.75">
      <c r="C77" s="182"/>
      <c r="D77" s="182"/>
      <c r="E77" s="182"/>
    </row>
    <row r="78" spans="3:5" ht="15.75">
      <c r="C78" s="182" t="s">
        <v>521</v>
      </c>
      <c r="D78" s="182"/>
      <c r="E78" s="182"/>
    </row>
    <row r="79" spans="3:5" ht="15.75">
      <c r="C79" s="182" t="s">
        <v>693</v>
      </c>
      <c r="D79" s="182">
        <f>41*11*255</f>
        <v>115005</v>
      </c>
      <c r="E79" s="182"/>
    </row>
    <row r="80" spans="3:5" ht="15.75">
      <c r="C80" s="182" t="s">
        <v>54</v>
      </c>
      <c r="D80" s="183">
        <f>D79*0.27</f>
        <v>31051.350000000002</v>
      </c>
      <c r="E80" s="182"/>
    </row>
    <row r="81" spans="3:5" ht="15.75">
      <c r="C81" s="182" t="s">
        <v>100</v>
      </c>
      <c r="D81" s="183">
        <f>D79*1.27</f>
        <v>146056.35</v>
      </c>
      <c r="E81" s="182"/>
    </row>
    <row r="82" spans="3:5" ht="15.75">
      <c r="C82" s="182"/>
      <c r="D82" s="182"/>
      <c r="E82" s="182"/>
    </row>
    <row r="83" spans="3:5" ht="15.75">
      <c r="C83" s="182" t="s">
        <v>520</v>
      </c>
      <c r="D83" s="182"/>
      <c r="E83" s="182"/>
    </row>
    <row r="84" spans="3:5" ht="15.75">
      <c r="C84" s="182" t="s">
        <v>694</v>
      </c>
      <c r="D84" s="183">
        <f>41*21*295</f>
        <v>253995</v>
      </c>
      <c r="E84" s="182"/>
    </row>
    <row r="85" spans="3:5" ht="15.75">
      <c r="C85" s="182" t="s">
        <v>54</v>
      </c>
      <c r="D85" s="183">
        <f>D84*0.27</f>
        <v>68578.65000000001</v>
      </c>
      <c r="E85" s="182"/>
    </row>
    <row r="86" spans="3:5" ht="15.75">
      <c r="C86" s="182" t="s">
        <v>100</v>
      </c>
      <c r="D86" s="183">
        <f>D84*1.27</f>
        <v>322573.65</v>
      </c>
      <c r="E86" s="182"/>
    </row>
    <row r="87" spans="3:5" ht="15.75">
      <c r="C87" s="182"/>
      <c r="D87" s="182"/>
      <c r="E87" s="182"/>
    </row>
    <row r="88" spans="3:5" ht="15.75">
      <c r="C88" s="182" t="s">
        <v>519</v>
      </c>
      <c r="D88" s="182"/>
      <c r="E88" s="182"/>
    </row>
    <row r="89" spans="3:5" ht="15.75">
      <c r="C89" s="182" t="s">
        <v>695</v>
      </c>
      <c r="D89" s="183">
        <f>41*5*80</f>
        <v>16400</v>
      </c>
      <c r="E89" s="182"/>
    </row>
    <row r="90" spans="3:5" ht="15.75">
      <c r="C90" s="182" t="s">
        <v>54</v>
      </c>
      <c r="D90" s="183">
        <f>D89*0.27</f>
        <v>4428</v>
      </c>
      <c r="E90" s="182"/>
    </row>
    <row r="91" spans="3:5" ht="15.75">
      <c r="C91" s="182" t="s">
        <v>100</v>
      </c>
      <c r="D91" s="183">
        <f>D89*1.27</f>
        <v>20828</v>
      </c>
      <c r="E91" s="182"/>
    </row>
    <row r="92" spans="3:5" ht="15.75">
      <c r="C92" s="182"/>
      <c r="D92" s="182"/>
      <c r="E92" s="182"/>
    </row>
    <row r="93" spans="3:5" ht="15.75">
      <c r="C93" s="86"/>
      <c r="D93" s="86"/>
      <c r="E93" s="86"/>
    </row>
    <row r="94" spans="3:5" ht="15.75">
      <c r="C94" s="86"/>
      <c r="D94" s="86"/>
      <c r="E94" s="86"/>
    </row>
    <row r="95" spans="3:5" ht="15.75">
      <c r="C95" s="199" t="s">
        <v>696</v>
      </c>
      <c r="D95" s="182"/>
      <c r="E95" s="182"/>
    </row>
    <row r="96" spans="3:5" ht="15.75">
      <c r="C96" s="182" t="s">
        <v>523</v>
      </c>
      <c r="D96" s="182"/>
      <c r="E96" s="182"/>
    </row>
    <row r="97" spans="3:5" ht="15.75">
      <c r="C97" s="182" t="s">
        <v>697</v>
      </c>
      <c r="D97" s="183">
        <f>144*65*420</f>
        <v>3931200</v>
      </c>
      <c r="E97" s="182"/>
    </row>
    <row r="98" spans="3:5" ht="15.75">
      <c r="C98" s="182" t="s">
        <v>54</v>
      </c>
      <c r="D98" s="183">
        <f>D97*0.27</f>
        <v>1061424</v>
      </c>
      <c r="E98" s="182"/>
    </row>
    <row r="99" spans="3:6" ht="15.75">
      <c r="C99" s="182" t="s">
        <v>100</v>
      </c>
      <c r="D99" s="183">
        <f>D97*1.27</f>
        <v>4992624</v>
      </c>
      <c r="E99" s="182"/>
      <c r="F99" s="86"/>
    </row>
    <row r="100" spans="3:5" ht="15.75">
      <c r="C100" s="182"/>
      <c r="D100" s="182"/>
      <c r="E100" s="182"/>
    </row>
    <row r="101" spans="3:5" ht="15.75">
      <c r="C101" s="182" t="s">
        <v>522</v>
      </c>
      <c r="D101" s="182"/>
      <c r="E101" s="182"/>
    </row>
    <row r="102" spans="3:5" ht="15.75">
      <c r="C102" s="182" t="s">
        <v>698</v>
      </c>
      <c r="D102" s="183">
        <f>144*44*470</f>
        <v>2977920</v>
      </c>
      <c r="E102" s="182"/>
    </row>
    <row r="103" spans="3:6" ht="15.75">
      <c r="C103" s="182" t="s">
        <v>54</v>
      </c>
      <c r="D103" s="183">
        <f>D102*0.27</f>
        <v>804038.4</v>
      </c>
      <c r="E103" s="182"/>
      <c r="F103" s="86"/>
    </row>
    <row r="104" spans="3:5" ht="15.75">
      <c r="C104" s="182" t="s">
        <v>100</v>
      </c>
      <c r="D104" s="183">
        <f>D102*1.27</f>
        <v>3781958.4</v>
      </c>
      <c r="E104" s="182"/>
    </row>
    <row r="105" spans="3:5" ht="15.75">
      <c r="C105" s="182"/>
      <c r="D105" s="182"/>
      <c r="E105" s="182"/>
    </row>
    <row r="106" spans="3:5" ht="15.75">
      <c r="C106" s="182" t="s">
        <v>521</v>
      </c>
      <c r="D106" s="182"/>
      <c r="E106" s="182"/>
    </row>
    <row r="107" spans="3:5" ht="15.75">
      <c r="C107" s="182" t="s">
        <v>699</v>
      </c>
      <c r="D107" s="182">
        <f>144*11*275</f>
        <v>435600</v>
      </c>
      <c r="E107" s="182"/>
    </row>
    <row r="108" spans="3:5" ht="15.75">
      <c r="C108" s="182" t="s">
        <v>54</v>
      </c>
      <c r="D108" s="183">
        <f>D107*0.27</f>
        <v>117612.00000000001</v>
      </c>
      <c r="E108" s="182"/>
    </row>
    <row r="109" spans="3:6" ht="15.75">
      <c r="C109" s="182" t="s">
        <v>100</v>
      </c>
      <c r="D109" s="183">
        <f>D107*1.27</f>
        <v>553212</v>
      </c>
      <c r="E109" s="182"/>
      <c r="F109" s="86"/>
    </row>
    <row r="110" spans="3:5" ht="15.75">
      <c r="C110" s="182"/>
      <c r="D110" s="182"/>
      <c r="E110" s="182"/>
    </row>
    <row r="111" spans="3:5" ht="15.75">
      <c r="C111" s="182" t="s">
        <v>520</v>
      </c>
      <c r="D111" s="182"/>
      <c r="E111" s="182"/>
    </row>
    <row r="112" spans="3:5" ht="15.75">
      <c r="C112" s="182" t="s">
        <v>700</v>
      </c>
      <c r="D112" s="183">
        <f>144*21*315</f>
        <v>952560</v>
      </c>
      <c r="E112" s="182"/>
    </row>
    <row r="113" spans="3:6" ht="15.75">
      <c r="C113" s="182" t="s">
        <v>54</v>
      </c>
      <c r="D113" s="183">
        <f>D112*0.27</f>
        <v>257191.2</v>
      </c>
      <c r="E113" s="182"/>
      <c r="F113" s="86"/>
    </row>
    <row r="114" spans="3:5" ht="15.75">
      <c r="C114" s="182" t="s">
        <v>100</v>
      </c>
      <c r="D114" s="183">
        <f>D112*1.27</f>
        <v>1209751.2</v>
      </c>
      <c r="E114" s="182"/>
    </row>
    <row r="115" spans="3:5" ht="15.75">
      <c r="C115" s="182"/>
      <c r="D115" s="182"/>
      <c r="E115" s="182"/>
    </row>
    <row r="116" spans="3:5" ht="15.75">
      <c r="C116" s="182" t="s">
        <v>519</v>
      </c>
      <c r="D116" s="182"/>
      <c r="E116" s="182"/>
    </row>
    <row r="117" spans="3:5" ht="15.75">
      <c r="C117" s="182" t="s">
        <v>701</v>
      </c>
      <c r="D117" s="183">
        <f>144*5*80</f>
        <v>57600</v>
      </c>
      <c r="E117" s="182"/>
    </row>
    <row r="118" spans="3:6" ht="15.75">
      <c r="C118" s="182" t="s">
        <v>54</v>
      </c>
      <c r="D118" s="183">
        <f>D117*0.27</f>
        <v>15552.000000000002</v>
      </c>
      <c r="E118" s="182"/>
      <c r="F118" s="86"/>
    </row>
    <row r="119" spans="3:6" ht="15.75">
      <c r="C119" s="182" t="s">
        <v>100</v>
      </c>
      <c r="D119" s="183">
        <f>D117*1.27</f>
        <v>73152</v>
      </c>
      <c r="E119" s="182"/>
      <c r="F119" s="86"/>
    </row>
    <row r="120" spans="3:5" ht="15.75">
      <c r="C120" s="182"/>
      <c r="D120" s="182"/>
      <c r="E120" s="182"/>
    </row>
    <row r="121" spans="3:5" ht="15.75">
      <c r="C121" s="182"/>
      <c r="D121" s="182"/>
      <c r="E121" s="182"/>
    </row>
    <row r="122" spans="3:5" ht="15.75">
      <c r="C122" s="199" t="s">
        <v>702</v>
      </c>
      <c r="D122" s="182"/>
      <c r="E122" s="182"/>
    </row>
    <row r="123" spans="3:5" ht="15.75">
      <c r="C123" s="182" t="s">
        <v>523</v>
      </c>
      <c r="D123" s="182"/>
      <c r="E123" s="182"/>
    </row>
    <row r="124" spans="3:5" ht="15.75">
      <c r="C124" s="182" t="s">
        <v>691</v>
      </c>
      <c r="D124" s="183">
        <f>44*65*400</f>
        <v>1144000</v>
      </c>
      <c r="E124" s="182"/>
    </row>
    <row r="125" spans="3:5" ht="15.75">
      <c r="C125" s="182" t="s">
        <v>54</v>
      </c>
      <c r="D125" s="183">
        <f>D124*0.27</f>
        <v>308880</v>
      </c>
      <c r="E125" s="182"/>
    </row>
    <row r="126" spans="3:5" ht="15.75">
      <c r="C126" s="182" t="s">
        <v>100</v>
      </c>
      <c r="D126" s="183">
        <f>D124*1.27</f>
        <v>1452880</v>
      </c>
      <c r="E126" s="182"/>
    </row>
    <row r="127" spans="3:5" ht="15.75">
      <c r="C127" s="182"/>
      <c r="D127" s="182"/>
      <c r="E127" s="182"/>
    </row>
    <row r="128" spans="3:5" ht="15.75">
      <c r="C128" s="182" t="s">
        <v>522</v>
      </c>
      <c r="D128" s="182"/>
      <c r="E128" s="182"/>
    </row>
    <row r="129" spans="3:5" ht="15.75">
      <c r="C129" s="182" t="s">
        <v>692</v>
      </c>
      <c r="D129" s="183">
        <f>41*44*450</f>
        <v>811800</v>
      </c>
      <c r="E129" s="182"/>
    </row>
    <row r="130" spans="3:5" ht="15.75">
      <c r="C130" s="182" t="s">
        <v>54</v>
      </c>
      <c r="D130" s="183">
        <f>D129*0.27</f>
        <v>219186</v>
      </c>
      <c r="E130" s="182"/>
    </row>
    <row r="131" spans="3:5" ht="15.75">
      <c r="C131" s="182" t="s">
        <v>100</v>
      </c>
      <c r="D131" s="183">
        <f>D129*1.27</f>
        <v>1030986</v>
      </c>
      <c r="E131" s="182"/>
    </row>
    <row r="132" spans="3:5" ht="15.75">
      <c r="C132" s="182"/>
      <c r="D132" s="182"/>
      <c r="E132" s="182"/>
    </row>
    <row r="133" spans="3:5" ht="15.75">
      <c r="C133" s="182" t="s">
        <v>521</v>
      </c>
      <c r="D133" s="182"/>
      <c r="E133" s="182"/>
    </row>
    <row r="134" spans="3:5" ht="15.75">
      <c r="C134" s="182" t="s">
        <v>693</v>
      </c>
      <c r="D134" s="182">
        <f>41*11*255</f>
        <v>115005</v>
      </c>
      <c r="E134" s="182"/>
    </row>
    <row r="135" spans="3:5" ht="15.75">
      <c r="C135" s="182" t="s">
        <v>54</v>
      </c>
      <c r="D135" s="183">
        <f>D134*0.27</f>
        <v>31051.350000000002</v>
      </c>
      <c r="E135" s="182"/>
    </row>
    <row r="136" spans="3:5" ht="15.75">
      <c r="C136" s="182" t="s">
        <v>100</v>
      </c>
      <c r="D136" s="183">
        <f>D134*1.27</f>
        <v>146056.35</v>
      </c>
      <c r="E136" s="182"/>
    </row>
    <row r="137" spans="3:5" ht="15.75">
      <c r="C137" s="182"/>
      <c r="D137" s="182"/>
      <c r="E137" s="182"/>
    </row>
    <row r="138" spans="3:5" ht="15.75">
      <c r="C138" s="182" t="s">
        <v>520</v>
      </c>
      <c r="D138" s="182"/>
      <c r="E138" s="182"/>
    </row>
    <row r="139" spans="3:5" ht="15.75">
      <c r="C139" s="182" t="s">
        <v>694</v>
      </c>
      <c r="D139" s="183">
        <f>41*21*295</f>
        <v>253995</v>
      </c>
      <c r="E139" s="182"/>
    </row>
    <row r="140" spans="3:5" ht="15.75">
      <c r="C140" s="182" t="s">
        <v>54</v>
      </c>
      <c r="D140" s="183">
        <f>D139*0.27</f>
        <v>68578.65000000001</v>
      </c>
      <c r="E140" s="182"/>
    </row>
    <row r="141" spans="3:5" ht="15.75">
      <c r="C141" s="182" t="s">
        <v>100</v>
      </c>
      <c r="D141" s="183">
        <f>D139*1.27</f>
        <v>322573.65</v>
      </c>
      <c r="E141" s="182"/>
    </row>
    <row r="142" spans="3:5" ht="15.75">
      <c r="C142" s="182"/>
      <c r="D142" s="182"/>
      <c r="E142" s="182"/>
    </row>
    <row r="143" spans="3:5" ht="15.75">
      <c r="C143" s="182" t="s">
        <v>519</v>
      </c>
      <c r="D143" s="182"/>
      <c r="E143" s="182"/>
    </row>
    <row r="144" spans="3:5" ht="15.75">
      <c r="C144" s="182" t="s">
        <v>695</v>
      </c>
      <c r="D144" s="183">
        <f>41*5*80</f>
        <v>16400</v>
      </c>
      <c r="E144" s="182"/>
    </row>
    <row r="145" spans="3:5" ht="15.75">
      <c r="C145" s="182" t="s">
        <v>54</v>
      </c>
      <c r="D145" s="183">
        <f>D144*0.27</f>
        <v>4428</v>
      </c>
      <c r="E145" s="182"/>
    </row>
    <row r="146" spans="3:5" ht="15.75">
      <c r="C146" s="182" t="s">
        <v>100</v>
      </c>
      <c r="D146" s="183">
        <f>D144*1.27</f>
        <v>20828</v>
      </c>
      <c r="E146" s="182"/>
    </row>
    <row r="147" spans="3:5" ht="15.75">
      <c r="C147" s="182"/>
      <c r="D147" s="182"/>
      <c r="E147" s="182"/>
    </row>
    <row r="148" spans="3:5" ht="15.75">
      <c r="C148" s="86"/>
      <c r="D148" s="86"/>
      <c r="E148" s="86"/>
    </row>
    <row r="149" spans="3:5" ht="15.75">
      <c r="C149" s="86"/>
      <c r="D149" s="86"/>
      <c r="E149" s="86"/>
    </row>
    <row r="150" spans="3:5" ht="15.75">
      <c r="C150" s="199" t="s">
        <v>703</v>
      </c>
      <c r="D150" s="182"/>
      <c r="E150" s="182"/>
    </row>
    <row r="151" spans="3:5" ht="15.75">
      <c r="C151" s="182" t="s">
        <v>523</v>
      </c>
      <c r="D151" s="182"/>
      <c r="E151" s="182"/>
    </row>
    <row r="152" spans="3:5" ht="15.75">
      <c r="C152" s="182" t="s">
        <v>697</v>
      </c>
      <c r="D152" s="183">
        <f>144*65*420</f>
        <v>3931200</v>
      </c>
      <c r="E152" s="182"/>
    </row>
    <row r="153" spans="3:5" ht="15.75">
      <c r="C153" s="182" t="s">
        <v>54</v>
      </c>
      <c r="D153" s="183">
        <f>D152*0.27</f>
        <v>1061424</v>
      </c>
      <c r="E153" s="182"/>
    </row>
    <row r="154" spans="3:5" ht="15.75">
      <c r="C154" s="182" t="s">
        <v>100</v>
      </c>
      <c r="D154" s="183">
        <f>D152*1.27</f>
        <v>4992624</v>
      </c>
      <c r="E154" s="182"/>
    </row>
    <row r="155" spans="3:5" ht="15.75">
      <c r="C155" s="182"/>
      <c r="D155" s="182"/>
      <c r="E155" s="182"/>
    </row>
    <row r="156" spans="3:5" ht="15.75">
      <c r="C156" s="182" t="s">
        <v>522</v>
      </c>
      <c r="D156" s="182"/>
      <c r="E156" s="182"/>
    </row>
    <row r="157" spans="3:5" ht="15.75">
      <c r="C157" s="182" t="s">
        <v>698</v>
      </c>
      <c r="D157" s="183">
        <f>144*44*470</f>
        <v>2977920</v>
      </c>
      <c r="E157" s="182"/>
    </row>
    <row r="158" spans="3:5" ht="15.75">
      <c r="C158" s="182" t="s">
        <v>54</v>
      </c>
      <c r="D158" s="183">
        <f>D157*0.27</f>
        <v>804038.4</v>
      </c>
      <c r="E158" s="182"/>
    </row>
    <row r="159" spans="3:5" ht="15.75">
      <c r="C159" s="182" t="s">
        <v>100</v>
      </c>
      <c r="D159" s="183">
        <f>D157*1.27</f>
        <v>3781958.4</v>
      </c>
      <c r="E159" s="182"/>
    </row>
    <row r="160" spans="3:5" ht="15.75">
      <c r="C160" s="182"/>
      <c r="D160" s="182"/>
      <c r="E160" s="182"/>
    </row>
    <row r="161" spans="3:5" ht="15.75">
      <c r="C161" s="182" t="s">
        <v>521</v>
      </c>
      <c r="D161" s="182"/>
      <c r="E161" s="182"/>
    </row>
    <row r="162" spans="3:5" ht="15.75">
      <c r="C162" s="182" t="s">
        <v>699</v>
      </c>
      <c r="D162" s="182">
        <f>144*11*275</f>
        <v>435600</v>
      </c>
      <c r="E162" s="182"/>
    </row>
    <row r="163" spans="3:5" ht="15.75">
      <c r="C163" s="182" t="s">
        <v>54</v>
      </c>
      <c r="D163" s="183">
        <f>D162*0.27</f>
        <v>117612.00000000001</v>
      </c>
      <c r="E163" s="182"/>
    </row>
    <row r="164" spans="3:5" ht="15.75">
      <c r="C164" s="182" t="s">
        <v>100</v>
      </c>
      <c r="D164" s="183">
        <f>D162*1.27</f>
        <v>553212</v>
      </c>
      <c r="E164" s="182"/>
    </row>
    <row r="165" spans="3:5" ht="15.75">
      <c r="C165" s="182"/>
      <c r="D165" s="182"/>
      <c r="E165" s="182"/>
    </row>
    <row r="166" spans="3:5" ht="15.75">
      <c r="C166" s="182" t="s">
        <v>520</v>
      </c>
      <c r="D166" s="182"/>
      <c r="E166" s="182"/>
    </row>
    <row r="167" spans="3:5" ht="15.75">
      <c r="C167" s="182" t="s">
        <v>700</v>
      </c>
      <c r="D167" s="183">
        <f>144*21*315</f>
        <v>952560</v>
      </c>
      <c r="E167" s="182"/>
    </row>
    <row r="168" spans="3:5" ht="15.75">
      <c r="C168" s="182" t="s">
        <v>54</v>
      </c>
      <c r="D168" s="183">
        <f>D167*0.27</f>
        <v>257191.2</v>
      </c>
      <c r="E168" s="182"/>
    </row>
    <row r="169" spans="3:5" ht="15.75">
      <c r="C169" s="182" t="s">
        <v>100</v>
      </c>
      <c r="D169" s="183">
        <f>D167*1.27</f>
        <v>1209751.2</v>
      </c>
      <c r="E169" s="182"/>
    </row>
    <row r="170" spans="3:5" ht="15.75">
      <c r="C170" s="182"/>
      <c r="D170" s="182"/>
      <c r="E170" s="182"/>
    </row>
    <row r="171" spans="3:5" ht="15.75">
      <c r="C171" s="182" t="s">
        <v>519</v>
      </c>
      <c r="D171" s="182"/>
      <c r="E171" s="182"/>
    </row>
    <row r="172" spans="3:5" ht="15.75">
      <c r="C172" s="182" t="s">
        <v>701</v>
      </c>
      <c r="D172" s="183">
        <f>144*5*80</f>
        <v>57600</v>
      </c>
      <c r="E172" s="182"/>
    </row>
    <row r="173" spans="3:5" ht="15.75">
      <c r="C173" s="182" t="s">
        <v>54</v>
      </c>
      <c r="D173" s="183">
        <f>D172*0.27</f>
        <v>15552.000000000002</v>
      </c>
      <c r="E173" s="182"/>
    </row>
    <row r="174" spans="3:5" ht="15.75">
      <c r="C174" s="182" t="s">
        <v>100</v>
      </c>
      <c r="D174" s="183">
        <f>D172*1.27</f>
        <v>73152</v>
      </c>
      <c r="E174" s="182"/>
    </row>
    <row r="175" spans="3:5" ht="15.75">
      <c r="C175" s="182"/>
      <c r="D175" s="182"/>
      <c r="E175" s="182"/>
    </row>
    <row r="176" spans="3:4" ht="15.75">
      <c r="C176" s="199" t="s">
        <v>688</v>
      </c>
      <c r="D176" s="199">
        <v>5365224</v>
      </c>
    </row>
    <row r="177" spans="3:4" ht="15.75">
      <c r="C177" s="199" t="s">
        <v>236</v>
      </c>
      <c r="D177" s="199">
        <f>D176*27%</f>
        <v>1448610.48</v>
      </c>
    </row>
    <row r="178" spans="3:4" ht="15.75">
      <c r="C178" s="199" t="s">
        <v>704</v>
      </c>
      <c r="D178" s="199">
        <f>SUM(D176:D177)</f>
        <v>6813834.48</v>
      </c>
    </row>
  </sheetData>
  <sheetProtection/>
  <mergeCells count="2">
    <mergeCell ref="C2:D2"/>
    <mergeCell ref="B3:C3"/>
  </mergeCells>
  <printOptions/>
  <pageMargins left="0.7" right="0.7" top="0.75" bottom="0.75" header="0.3" footer="0.3"/>
  <pageSetup horizontalDpi="300" verticalDpi="300" orientation="portrait" paperSize="9" scale="55" r:id="rId1"/>
  <rowBreaks count="2" manualBreakCount="2">
    <brk id="66" max="10" man="1"/>
    <brk id="12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F70"/>
  <sheetViews>
    <sheetView view="pageBreakPreview" zoomScale="60" zoomScalePageLayoutView="0" workbookViewId="0" topLeftCell="A28">
      <selection activeCell="F13" sqref="F13"/>
    </sheetView>
  </sheetViews>
  <sheetFormatPr defaultColWidth="8.66015625" defaultRowHeight="18"/>
  <cols>
    <col min="1" max="1" width="9" style="182" bestFit="1" customWidth="1"/>
    <col min="2" max="2" width="25.91015625" style="182" customWidth="1"/>
    <col min="3" max="3" width="10" style="182" customWidth="1"/>
    <col min="4" max="4" width="9.75" style="182" bestFit="1" customWidth="1"/>
    <col min="5" max="16384" width="8.91015625" style="182" customWidth="1"/>
  </cols>
  <sheetData>
    <row r="2" spans="1:6" ht="32.25" thickBot="1">
      <c r="A2" s="203">
        <v>562916</v>
      </c>
      <c r="B2" s="204" t="s">
        <v>399</v>
      </c>
      <c r="C2" s="204" t="s">
        <v>266</v>
      </c>
      <c r="D2" s="359">
        <v>41695</v>
      </c>
      <c r="E2" s="182" t="s">
        <v>663</v>
      </c>
      <c r="F2" s="182" t="s">
        <v>653</v>
      </c>
    </row>
    <row r="3" spans="1:4" ht="16.5" thickTop="1">
      <c r="A3" s="202"/>
      <c r="B3" s="202"/>
      <c r="C3" s="202"/>
      <c r="D3" s="199"/>
    </row>
    <row r="4" ht="15.75">
      <c r="D4" s="199"/>
    </row>
    <row r="5" spans="1:4" ht="15.75">
      <c r="A5" s="182">
        <v>5412</v>
      </c>
      <c r="B5" s="182" t="s">
        <v>396</v>
      </c>
      <c r="C5" s="182">
        <v>2097</v>
      </c>
      <c r="D5" s="199"/>
    </row>
    <row r="6" spans="1:6" ht="15.75">
      <c r="A6" s="193">
        <v>54</v>
      </c>
      <c r="B6" s="193" t="s">
        <v>363</v>
      </c>
      <c r="C6" s="193"/>
      <c r="D6" s="199">
        <f>1752+391</f>
        <v>2143</v>
      </c>
      <c r="F6" s="182">
        <v>2592</v>
      </c>
    </row>
    <row r="7" spans="1:4" ht="15.75">
      <c r="A7" s="193"/>
      <c r="B7" s="193"/>
      <c r="C7" s="193"/>
      <c r="D7" s="199"/>
    </row>
    <row r="8" spans="1:4" s="193" customFormat="1" ht="15.75">
      <c r="A8" s="193">
        <v>56121</v>
      </c>
      <c r="B8" s="193" t="s">
        <v>362</v>
      </c>
      <c r="C8" s="193">
        <v>566</v>
      </c>
      <c r="D8" s="192"/>
    </row>
    <row r="9" spans="1:6" s="192" customFormat="1" ht="15.75">
      <c r="A9" s="193">
        <v>56</v>
      </c>
      <c r="B9" s="193" t="s">
        <v>585</v>
      </c>
      <c r="C9" s="193"/>
      <c r="D9" s="192">
        <f>473+105</f>
        <v>578</v>
      </c>
      <c r="F9" s="481">
        <f>F6*27%</f>
        <v>699.84</v>
      </c>
    </row>
    <row r="10" spans="1:4" ht="16.5" thickBot="1">
      <c r="A10" s="193"/>
      <c r="B10" s="193"/>
      <c r="C10" s="193"/>
      <c r="D10" s="199"/>
    </row>
    <row r="11" spans="1:6" ht="17.25" thickBot="1" thickTop="1">
      <c r="A11" s="363"/>
      <c r="B11" s="363" t="s">
        <v>0</v>
      </c>
      <c r="C11" s="363">
        <f>SUM(C5:C10)</f>
        <v>2663</v>
      </c>
      <c r="D11" s="201">
        <f>D6+D9</f>
        <v>2721</v>
      </c>
      <c r="E11" s="201">
        <f>E6+E9</f>
        <v>0</v>
      </c>
      <c r="F11" s="201">
        <f>F6+F9</f>
        <v>3291.84</v>
      </c>
    </row>
    <row r="12" ht="16.5" thickTop="1">
      <c r="D12" s="199"/>
    </row>
    <row r="13" ht="15.75">
      <c r="D13" s="199"/>
    </row>
    <row r="14" spans="1:6" ht="15.75">
      <c r="A14" s="182">
        <v>91121</v>
      </c>
      <c r="B14" s="182" t="s">
        <v>360</v>
      </c>
      <c r="C14" s="182">
        <v>4029</v>
      </c>
      <c r="D14" s="199">
        <f>3141+637</f>
        <v>3778</v>
      </c>
      <c r="F14" s="183">
        <f>(C21+C26+C42+C47+C52)/1000</f>
        <v>5032.195</v>
      </c>
    </row>
    <row r="15" spans="4:6" ht="15.75">
      <c r="D15" s="199"/>
      <c r="F15" s="183"/>
    </row>
    <row r="16" spans="1:6" ht="15.75">
      <c r="A16" s="182">
        <v>919231</v>
      </c>
      <c r="B16" s="182" t="s">
        <v>359</v>
      </c>
      <c r="C16" s="182">
        <v>1088</v>
      </c>
      <c r="D16" s="199">
        <f>848+172</f>
        <v>1020</v>
      </c>
      <c r="F16" s="183">
        <f>(F14*27%)</f>
        <v>1358.69265</v>
      </c>
    </row>
    <row r="17" ht="15.75">
      <c r="D17" s="199"/>
    </row>
    <row r="18" spans="1:6" s="184" customFormat="1" ht="15.75">
      <c r="A18" s="364">
        <v>91</v>
      </c>
      <c r="B18" s="365" t="s">
        <v>358</v>
      </c>
      <c r="C18" s="365">
        <f>SUM(C14:C17)</f>
        <v>5117</v>
      </c>
      <c r="D18" s="200">
        <f>SUM(D14:D17)</f>
        <v>4798</v>
      </c>
      <c r="F18" s="200">
        <f>SUM(F14:F16)</f>
        <v>6390.88765</v>
      </c>
    </row>
    <row r="20" spans="2:3" ht="15.75">
      <c r="B20" s="205" t="s">
        <v>709</v>
      </c>
      <c r="C20" s="205"/>
    </row>
    <row r="21" spans="2:5" ht="15.75">
      <c r="B21" s="205" t="s">
        <v>710</v>
      </c>
      <c r="C21" s="205">
        <f>5*41*579</f>
        <v>118695</v>
      </c>
      <c r="D21" s="205"/>
      <c r="E21" s="205"/>
    </row>
    <row r="22" spans="2:5" ht="15.75">
      <c r="B22" s="205" t="s">
        <v>54</v>
      </c>
      <c r="C22" s="206">
        <f>C21*0.27</f>
        <v>32047.65</v>
      </c>
      <c r="D22" s="205"/>
      <c r="E22" s="205"/>
    </row>
    <row r="23" spans="2:5" ht="15.75">
      <c r="B23" s="207" t="s">
        <v>63</v>
      </c>
      <c r="C23" s="206">
        <f>C21*1.27</f>
        <v>150742.65</v>
      </c>
      <c r="D23" s="206"/>
      <c r="E23" s="205"/>
    </row>
    <row r="24" spans="2:5" ht="15.75">
      <c r="B24" s="205"/>
      <c r="C24" s="205"/>
      <c r="D24" s="206"/>
      <c r="E24" s="205"/>
    </row>
    <row r="25" spans="2:5" ht="18.75">
      <c r="B25" s="205" t="s">
        <v>711</v>
      </c>
      <c r="C25" s="205"/>
      <c r="D25"/>
      <c r="E25"/>
    </row>
    <row r="26" spans="2:5" ht="15.75">
      <c r="B26" s="205" t="s">
        <v>712</v>
      </c>
      <c r="C26" s="205">
        <f>5*180*595</f>
        <v>535500</v>
      </c>
      <c r="D26" s="205"/>
      <c r="E26" s="205"/>
    </row>
    <row r="27" spans="2:5" ht="15.75">
      <c r="B27" s="205" t="s">
        <v>54</v>
      </c>
      <c r="C27" s="206">
        <f>C26*0.27</f>
        <v>144585</v>
      </c>
      <c r="D27" s="205"/>
      <c r="E27" s="205"/>
    </row>
    <row r="28" spans="2:5" ht="15.75">
      <c r="B28" s="207" t="s">
        <v>63</v>
      </c>
      <c r="C28" s="206">
        <f>C26*1.27</f>
        <v>680085</v>
      </c>
      <c r="D28" s="206"/>
      <c r="E28" s="205"/>
    </row>
    <row r="29" spans="2:5" ht="15.75">
      <c r="B29" s="205"/>
      <c r="C29" s="205"/>
      <c r="D29" s="206"/>
      <c r="E29" s="205"/>
    </row>
    <row r="30" spans="2:5" ht="15.75">
      <c r="B30" s="205"/>
      <c r="C30" s="205"/>
      <c r="D30" s="205"/>
      <c r="E30" s="205"/>
    </row>
    <row r="31" spans="2:5" ht="15.75">
      <c r="B31" s="205" t="s">
        <v>713</v>
      </c>
      <c r="C31" s="205"/>
      <c r="D31" s="205"/>
      <c r="E31" s="205"/>
    </row>
    <row r="32" spans="2:5" ht="15.75">
      <c r="B32" s="205" t="s">
        <v>714</v>
      </c>
      <c r="C32" s="205">
        <f>5*41*355</f>
        <v>72775</v>
      </c>
      <c r="D32" s="205"/>
      <c r="E32" s="205"/>
    </row>
    <row r="33" spans="2:5" ht="15.75">
      <c r="B33" s="205" t="s">
        <v>54</v>
      </c>
      <c r="C33" s="206">
        <f>C32*0.27</f>
        <v>19649.25</v>
      </c>
      <c r="D33" s="206"/>
      <c r="E33" s="205"/>
    </row>
    <row r="34" spans="2:5" ht="15.75">
      <c r="B34" s="207" t="s">
        <v>63</v>
      </c>
      <c r="C34" s="206">
        <f>C32*1.27</f>
        <v>92424.25</v>
      </c>
      <c r="D34" s="206"/>
      <c r="E34" s="205"/>
    </row>
    <row r="35" spans="2:5" ht="15.75">
      <c r="B35" s="205"/>
      <c r="C35" s="205"/>
      <c r="D35" s="205"/>
      <c r="E35" s="205"/>
    </row>
    <row r="36" spans="2:5" ht="15.75">
      <c r="B36" s="205" t="s">
        <v>715</v>
      </c>
      <c r="C36" s="205"/>
      <c r="D36" s="205"/>
      <c r="E36" s="205"/>
    </row>
    <row r="37" spans="2:5" ht="15.75">
      <c r="B37" s="205" t="s">
        <v>716</v>
      </c>
      <c r="C37" s="205">
        <f>5*180*375</f>
        <v>337500</v>
      </c>
      <c r="D37" s="205"/>
      <c r="E37" s="205"/>
    </row>
    <row r="38" spans="2:5" ht="15.75">
      <c r="B38" s="205" t="s">
        <v>54</v>
      </c>
      <c r="C38" s="206">
        <f>C37*0.27</f>
        <v>91125</v>
      </c>
      <c r="D38" s="206"/>
      <c r="E38" s="205"/>
    </row>
    <row r="39" spans="2:5" ht="15.75">
      <c r="B39" s="207" t="s">
        <v>63</v>
      </c>
      <c r="C39" s="206">
        <f>C37*1.27</f>
        <v>428625</v>
      </c>
      <c r="D39" s="206"/>
      <c r="E39" s="205"/>
    </row>
    <row r="40" spans="2:5" ht="15.75">
      <c r="B40" s="207"/>
      <c r="C40" s="206"/>
      <c r="D40" s="206"/>
      <c r="E40" s="205"/>
    </row>
    <row r="41" spans="2:5" ht="15.75">
      <c r="B41" s="205" t="s">
        <v>717</v>
      </c>
      <c r="C41" s="205"/>
      <c r="D41" s="205"/>
      <c r="E41" s="205"/>
    </row>
    <row r="42" spans="2:3" ht="15.75">
      <c r="B42" s="205" t="s">
        <v>718</v>
      </c>
      <c r="C42" s="205">
        <f>2400*615</f>
        <v>1476000</v>
      </c>
    </row>
    <row r="43" spans="2:3" ht="15.75">
      <c r="B43" s="205" t="s">
        <v>54</v>
      </c>
      <c r="C43" s="206">
        <f>C42*0.27</f>
        <v>398520</v>
      </c>
    </row>
    <row r="44" spans="2:5" ht="15.75">
      <c r="B44" s="207" t="s">
        <v>100</v>
      </c>
      <c r="C44" s="206">
        <f>C42*1.27</f>
        <v>1874520</v>
      </c>
      <c r="D44" s="205"/>
      <c r="E44" s="205"/>
    </row>
    <row r="45" spans="2:5" ht="18.75">
      <c r="B45"/>
      <c r="C45"/>
      <c r="D45" s="205"/>
      <c r="E45" s="205"/>
    </row>
    <row r="46" spans="2:5" ht="15.75">
      <c r="B46" s="205" t="s">
        <v>719</v>
      </c>
      <c r="C46" s="205"/>
      <c r="D46" s="206"/>
      <c r="E46" s="205"/>
    </row>
    <row r="47" spans="2:5" ht="15.75">
      <c r="B47" s="205" t="s">
        <v>720</v>
      </c>
      <c r="C47" s="205">
        <f>1700*635</f>
        <v>1079500</v>
      </c>
      <c r="D47" s="206"/>
      <c r="E47" s="205"/>
    </row>
    <row r="48" spans="2:5" ht="15.75">
      <c r="B48" s="205" t="s">
        <v>54</v>
      </c>
      <c r="C48" s="206">
        <f>C47*0.27</f>
        <v>291465</v>
      </c>
      <c r="D48" s="205"/>
      <c r="E48" s="205"/>
    </row>
    <row r="49" spans="2:5" ht="15.75">
      <c r="B49" s="207" t="s">
        <v>100</v>
      </c>
      <c r="C49" s="206">
        <f>C47*1.27</f>
        <v>1370965</v>
      </c>
      <c r="D49" s="205"/>
      <c r="E49" s="205"/>
    </row>
    <row r="50" spans="2:5" ht="18.75">
      <c r="B50"/>
      <c r="C50"/>
      <c r="D50" s="205"/>
      <c r="E50" s="205"/>
    </row>
    <row r="51" spans="2:5" ht="15.75">
      <c r="B51" s="205" t="s">
        <v>395</v>
      </c>
      <c r="C51" s="205"/>
      <c r="D51" s="206"/>
      <c r="E51" s="205"/>
    </row>
    <row r="52" spans="2:5" ht="15.75">
      <c r="B52" s="205" t="s">
        <v>721</v>
      </c>
      <c r="C52" s="205">
        <f>45*20*2025</f>
        <v>1822500</v>
      </c>
      <c r="D52" s="206"/>
      <c r="E52" s="205"/>
    </row>
    <row r="53" spans="2:5" ht="15.75">
      <c r="B53" s="205" t="s">
        <v>54</v>
      </c>
      <c r="C53" s="206">
        <f>C52*0.27</f>
        <v>492075.00000000006</v>
      </c>
      <c r="D53" s="205"/>
      <c r="E53" s="205"/>
    </row>
    <row r="54" spans="2:3" ht="15.75">
      <c r="B54" s="207" t="s">
        <v>63</v>
      </c>
      <c r="C54" s="206">
        <f>C52*1.27</f>
        <v>2314575</v>
      </c>
    </row>
    <row r="55" spans="2:3" ht="18.75">
      <c r="B55"/>
      <c r="C55"/>
    </row>
    <row r="56" spans="2:3" ht="15.75">
      <c r="B56" s="205" t="s">
        <v>722</v>
      </c>
      <c r="C56" s="205"/>
    </row>
    <row r="57" spans="2:3" ht="15.75">
      <c r="B57" s="205" t="s">
        <v>723</v>
      </c>
      <c r="C57" s="205">
        <f>100*355</f>
        <v>35500</v>
      </c>
    </row>
    <row r="58" spans="2:3" ht="15.75">
      <c r="B58" s="205" t="s">
        <v>54</v>
      </c>
      <c r="C58" s="206">
        <f>C57*0.27</f>
        <v>9585</v>
      </c>
    </row>
    <row r="59" spans="2:3" ht="15.75">
      <c r="B59" s="207" t="s">
        <v>63</v>
      </c>
      <c r="C59" s="206">
        <f>C57*1.27</f>
        <v>45085</v>
      </c>
    </row>
    <row r="60" spans="2:3" ht="18.75">
      <c r="B60"/>
      <c r="C60"/>
    </row>
    <row r="61" spans="2:3" ht="15.75">
      <c r="B61" s="205" t="s">
        <v>724</v>
      </c>
      <c r="C61" s="205"/>
    </row>
    <row r="62" spans="2:3" ht="15.75">
      <c r="B62" s="205" t="s">
        <v>725</v>
      </c>
      <c r="C62" s="205">
        <f>1700*375</f>
        <v>637500</v>
      </c>
    </row>
    <row r="63" spans="2:3" ht="15.75">
      <c r="B63" s="205" t="s">
        <v>54</v>
      </c>
      <c r="C63" s="206">
        <f>C62*0.27</f>
        <v>172125</v>
      </c>
    </row>
    <row r="64" spans="2:3" ht="15.75">
      <c r="B64" s="207" t="s">
        <v>63</v>
      </c>
      <c r="C64" s="206">
        <f>C62*1.27</f>
        <v>809625</v>
      </c>
    </row>
    <row r="65" spans="2:3" ht="15.75">
      <c r="B65" s="205"/>
      <c r="C65" s="205"/>
    </row>
    <row r="66" spans="2:3" ht="15.75">
      <c r="B66" s="205" t="s">
        <v>394</v>
      </c>
      <c r="C66" s="205"/>
    </row>
    <row r="67" spans="2:3" ht="15.75">
      <c r="B67" s="205" t="s">
        <v>726</v>
      </c>
      <c r="C67" s="205">
        <f>45*20*1220</f>
        <v>1098000</v>
      </c>
    </row>
    <row r="68" spans="2:3" ht="15.75">
      <c r="B68" s="205" t="s">
        <v>54</v>
      </c>
      <c r="C68" s="206">
        <f>C67*0.27</f>
        <v>296460</v>
      </c>
    </row>
    <row r="69" spans="2:3" ht="15.75">
      <c r="B69" s="207" t="s">
        <v>63</v>
      </c>
      <c r="C69" s="206">
        <f>C67*1.27</f>
        <v>1394460</v>
      </c>
    </row>
    <row r="70" spans="2:3" ht="15.75">
      <c r="B70" s="205"/>
      <c r="C70" s="205"/>
    </row>
  </sheetData>
  <sheetProtection/>
  <printOptions/>
  <pageMargins left="0.7" right="0.7" top="0.75" bottom="0.75" header="0.3" footer="0.3"/>
  <pageSetup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G41"/>
  <sheetViews>
    <sheetView view="pageBreakPreview" zoomScale="60" zoomScalePageLayoutView="0" workbookViewId="0" topLeftCell="A1">
      <selection activeCell="I24" sqref="I23:I24"/>
    </sheetView>
  </sheetViews>
  <sheetFormatPr defaultColWidth="8.66015625" defaultRowHeight="18"/>
  <cols>
    <col min="1" max="1" width="9" style="182" bestFit="1" customWidth="1"/>
    <col min="2" max="2" width="27.41015625" style="182" customWidth="1"/>
    <col min="3" max="3" width="8.58203125" style="182" customWidth="1"/>
    <col min="4" max="4" width="9" style="182" bestFit="1" customWidth="1"/>
    <col min="5" max="5" width="10.08203125" style="182" customWidth="1"/>
    <col min="6" max="16384" width="8.91015625" style="182" customWidth="1"/>
  </cols>
  <sheetData>
    <row r="2" spans="1:7" ht="15.75">
      <c r="A2" s="191">
        <v>562917</v>
      </c>
      <c r="B2" s="191" t="s">
        <v>281</v>
      </c>
      <c r="C2" s="35" t="s">
        <v>266</v>
      </c>
      <c r="D2" s="35"/>
      <c r="E2" s="360">
        <v>41695</v>
      </c>
      <c r="F2" s="188" t="s">
        <v>663</v>
      </c>
      <c r="G2" s="188" t="s">
        <v>653</v>
      </c>
    </row>
    <row r="3" spans="1:7" ht="15.75">
      <c r="A3" s="191"/>
      <c r="B3" s="191"/>
      <c r="C3" s="191"/>
      <c r="D3" s="191"/>
      <c r="E3" s="356"/>
      <c r="F3" s="188"/>
      <c r="G3" s="188"/>
    </row>
    <row r="4" spans="1:7" ht="15.75">
      <c r="A4" s="188"/>
      <c r="B4" s="188"/>
      <c r="C4" s="188"/>
      <c r="D4" s="188"/>
      <c r="E4" s="356"/>
      <c r="F4" s="188"/>
      <c r="G4" s="188"/>
    </row>
    <row r="5" spans="1:7" ht="15.75">
      <c r="A5" s="188">
        <v>5412</v>
      </c>
      <c r="B5" s="188" t="s">
        <v>398</v>
      </c>
      <c r="C5" s="188">
        <v>2184</v>
      </c>
      <c r="D5" s="189">
        <f>D28</f>
        <v>0</v>
      </c>
      <c r="E5" s="356"/>
      <c r="F5" s="188"/>
      <c r="G5" s="188"/>
    </row>
    <row r="6" spans="1:7" ht="15.75">
      <c r="A6" s="194">
        <v>54</v>
      </c>
      <c r="B6" s="194" t="s">
        <v>363</v>
      </c>
      <c r="C6" s="194"/>
      <c r="D6" s="194">
        <f>SUM(D5:D5)</f>
        <v>0</v>
      </c>
      <c r="E6" s="356">
        <v>2157</v>
      </c>
      <c r="F6" s="188"/>
      <c r="G6" s="189">
        <f>(C33+C38)/1000</f>
        <v>2253.525</v>
      </c>
    </row>
    <row r="7" spans="1:7" ht="15.75">
      <c r="A7" s="194"/>
      <c r="B7" s="194"/>
      <c r="C7" s="194"/>
      <c r="D7" s="194"/>
      <c r="E7" s="356"/>
      <c r="F7" s="188"/>
      <c r="G7" s="188"/>
    </row>
    <row r="8" spans="1:7" ht="15.75">
      <c r="A8" s="194">
        <v>56121</v>
      </c>
      <c r="B8" s="194" t="s">
        <v>362</v>
      </c>
      <c r="C8" s="194">
        <v>589</v>
      </c>
      <c r="D8" s="195">
        <f>D29</f>
        <v>0</v>
      </c>
      <c r="E8" s="356"/>
      <c r="F8" s="188"/>
      <c r="G8" s="189">
        <f>G6*27%</f>
        <v>608.4517500000001</v>
      </c>
    </row>
    <row r="9" spans="1:7" ht="15.75">
      <c r="A9" s="194">
        <v>56</v>
      </c>
      <c r="B9" s="194" t="s">
        <v>361</v>
      </c>
      <c r="C9" s="194"/>
      <c r="D9" s="194">
        <f>SUM(D8)</f>
        <v>0</v>
      </c>
      <c r="E9" s="356">
        <v>582</v>
      </c>
      <c r="F9" s="188"/>
      <c r="G9" s="188"/>
    </row>
    <row r="10" spans="1:7" ht="15.75">
      <c r="A10" s="194"/>
      <c r="B10" s="194"/>
      <c r="C10" s="194"/>
      <c r="D10" s="194"/>
      <c r="E10" s="356"/>
      <c r="F10" s="188"/>
      <c r="G10" s="188"/>
    </row>
    <row r="11" spans="1:7" ht="15.75">
      <c r="A11" s="357"/>
      <c r="B11" s="357" t="s">
        <v>0</v>
      </c>
      <c r="C11" s="357">
        <f>SUM(C5:C10)</f>
        <v>2773</v>
      </c>
      <c r="D11" s="357">
        <f>SUM(D6,D9)</f>
        <v>0</v>
      </c>
      <c r="E11" s="190">
        <f>SUM(E6,E9)</f>
        <v>2739</v>
      </c>
      <c r="F11" s="190">
        <f>SUM(F6,F9)</f>
        <v>0</v>
      </c>
      <c r="G11" s="190">
        <f>SUM(G6,G8)</f>
        <v>2861.9767500000003</v>
      </c>
    </row>
    <row r="12" spans="1:7" ht="15.75">
      <c r="A12" s="188"/>
      <c r="B12" s="188"/>
      <c r="C12" s="188"/>
      <c r="D12" s="188"/>
      <c r="E12" s="356"/>
      <c r="F12" s="188"/>
      <c r="G12" s="188"/>
    </row>
    <row r="13" spans="1:7" ht="15.75">
      <c r="A13" s="188"/>
      <c r="B13" s="188"/>
      <c r="C13" s="188"/>
      <c r="D13" s="188"/>
      <c r="E13" s="356"/>
      <c r="F13" s="188"/>
      <c r="G13" s="188"/>
    </row>
    <row r="14" spans="1:7" ht="15.75">
      <c r="A14" s="188">
        <v>91121</v>
      </c>
      <c r="B14" s="188" t="s">
        <v>360</v>
      </c>
      <c r="C14" s="188">
        <v>3796</v>
      </c>
      <c r="D14" s="188">
        <f>D23</f>
        <v>0</v>
      </c>
      <c r="E14" s="356">
        <v>3517</v>
      </c>
      <c r="F14" s="188"/>
      <c r="G14" s="189">
        <f>(C22+C27)/1000</f>
        <v>3594.945</v>
      </c>
    </row>
    <row r="15" spans="1:7" ht="15.75">
      <c r="A15" s="188"/>
      <c r="B15" s="188"/>
      <c r="C15" s="188"/>
      <c r="D15" s="188"/>
      <c r="E15" s="356"/>
      <c r="F15" s="188"/>
      <c r="G15" s="188"/>
    </row>
    <row r="16" spans="1:7" ht="15.75">
      <c r="A16" s="188">
        <v>919231</v>
      </c>
      <c r="B16" s="188" t="s">
        <v>359</v>
      </c>
      <c r="C16" s="188">
        <v>1025</v>
      </c>
      <c r="D16" s="188">
        <f>D24</f>
        <v>0</v>
      </c>
      <c r="E16" s="356">
        <v>950</v>
      </c>
      <c r="F16" s="188"/>
      <c r="G16" s="189">
        <f>G14*27%</f>
        <v>970.6351500000001</v>
      </c>
    </row>
    <row r="17" spans="1:7" ht="15.75">
      <c r="A17" s="188"/>
      <c r="B17" s="188"/>
      <c r="C17" s="188"/>
      <c r="D17" s="188"/>
      <c r="E17" s="356"/>
      <c r="F17" s="188"/>
      <c r="G17" s="188"/>
    </row>
    <row r="18" spans="1:7" s="193" customFormat="1" ht="15.75">
      <c r="A18" s="194">
        <v>91</v>
      </c>
      <c r="B18" s="194" t="s">
        <v>358</v>
      </c>
      <c r="C18" s="194">
        <f>SUM(C14:C17)</f>
        <v>4821</v>
      </c>
      <c r="D18" s="194">
        <f>D25</f>
        <v>0</v>
      </c>
      <c r="E18" s="187">
        <f>SUM(E14:E17)</f>
        <v>4467</v>
      </c>
      <c r="F18" s="187">
        <f>SUM(F14:F17)</f>
        <v>0</v>
      </c>
      <c r="G18" s="186">
        <f>SUM(G14:G17)</f>
        <v>4565.58015</v>
      </c>
    </row>
    <row r="19" spans="1:7" ht="15.75">
      <c r="A19" s="188"/>
      <c r="B19" s="188"/>
      <c r="C19" s="188"/>
      <c r="D19" s="188"/>
      <c r="E19" s="356"/>
      <c r="F19" s="188"/>
      <c r="G19" s="188"/>
    </row>
    <row r="20" spans="1:5" ht="15.75">
      <c r="A20" s="482"/>
      <c r="B20" s="482"/>
      <c r="C20" s="482"/>
      <c r="D20" s="482"/>
      <c r="E20" s="483"/>
    </row>
    <row r="21" spans="2:4" ht="15.75">
      <c r="B21" s="205" t="s">
        <v>727</v>
      </c>
      <c r="C21" s="205"/>
      <c r="D21" s="205"/>
    </row>
    <row r="22" spans="2:6" ht="15.75">
      <c r="B22" s="205" t="s">
        <v>728</v>
      </c>
      <c r="C22" s="205">
        <f>41*30*579</f>
        <v>712170</v>
      </c>
      <c r="D22" s="205" t="s">
        <v>397</v>
      </c>
      <c r="E22" s="205"/>
      <c r="F22" s="205"/>
    </row>
    <row r="23" spans="2:6" ht="15.75">
      <c r="B23" s="205" t="s">
        <v>54</v>
      </c>
      <c r="C23" s="206">
        <f>C22*0.27</f>
        <v>192285.90000000002</v>
      </c>
      <c r="D23" s="205"/>
      <c r="E23" s="205"/>
      <c r="F23" s="205"/>
    </row>
    <row r="24" spans="2:6" ht="15.75">
      <c r="B24" s="205" t="s">
        <v>63</v>
      </c>
      <c r="C24" s="206">
        <f>C22*1.27</f>
        <v>904455.9</v>
      </c>
      <c r="D24" s="205"/>
      <c r="E24" s="206"/>
      <c r="F24" s="205"/>
    </row>
    <row r="25" spans="2:6" ht="15.75">
      <c r="B25" s="205"/>
      <c r="C25" s="205"/>
      <c r="D25" s="205"/>
      <c r="E25" s="206"/>
      <c r="F25" s="205"/>
    </row>
    <row r="26" spans="2:6" ht="15.75">
      <c r="B26" s="205" t="s">
        <v>729</v>
      </c>
      <c r="C26" s="205"/>
      <c r="D26" s="205"/>
      <c r="E26" s="205"/>
      <c r="F26" s="205"/>
    </row>
    <row r="27" spans="2:6" ht="15.75">
      <c r="B27" s="205" t="s">
        <v>730</v>
      </c>
      <c r="C27" s="205">
        <f>(144*30+35*15)*595</f>
        <v>2882775</v>
      </c>
      <c r="D27" s="205" t="s">
        <v>397</v>
      </c>
      <c r="E27" s="205"/>
      <c r="F27" s="205"/>
    </row>
    <row r="28" spans="2:6" ht="15.75">
      <c r="B28" s="205" t="s">
        <v>54</v>
      </c>
      <c r="C28" s="206">
        <f>C27*0.27</f>
        <v>778349.25</v>
      </c>
      <c r="D28" s="205"/>
      <c r="E28" s="206"/>
      <c r="F28" s="205"/>
    </row>
    <row r="29" spans="2:6" ht="15.75">
      <c r="B29" s="205" t="s">
        <v>63</v>
      </c>
      <c r="C29" s="206">
        <f>C27*1.27</f>
        <v>3661124.25</v>
      </c>
      <c r="D29" s="205"/>
      <c r="E29" s="206"/>
      <c r="F29" s="205"/>
    </row>
    <row r="30" spans="2:6" ht="18.75">
      <c r="B30"/>
      <c r="C30"/>
      <c r="D30"/>
      <c r="E30" s="206"/>
      <c r="F30" s="205"/>
    </row>
    <row r="31" spans="2:6" ht="15.75">
      <c r="B31" s="205"/>
      <c r="C31" s="205"/>
      <c r="D31" s="205"/>
      <c r="E31" s="205"/>
      <c r="F31" s="205"/>
    </row>
    <row r="32" spans="2:6" ht="15.75">
      <c r="B32" s="205" t="s">
        <v>731</v>
      </c>
      <c r="C32" s="205"/>
      <c r="D32" s="205"/>
      <c r="E32" s="205"/>
      <c r="F32" s="205"/>
    </row>
    <row r="33" spans="2:4" ht="15.75">
      <c r="B33" s="205" t="s">
        <v>732</v>
      </c>
      <c r="C33" s="206">
        <f>41*30*355</f>
        <v>436650</v>
      </c>
      <c r="D33" s="205" t="s">
        <v>397</v>
      </c>
    </row>
    <row r="34" spans="2:4" ht="15.75">
      <c r="B34" s="205" t="s">
        <v>54</v>
      </c>
      <c r="C34" s="206">
        <f>C33*0.27</f>
        <v>117895.50000000001</v>
      </c>
      <c r="D34" s="205"/>
    </row>
    <row r="35" spans="2:4" ht="15.75">
      <c r="B35" s="205" t="s">
        <v>63</v>
      </c>
      <c r="C35" s="206">
        <f>C33*1.27</f>
        <v>554545.5</v>
      </c>
      <c r="D35" s="205"/>
    </row>
    <row r="36" spans="2:4" ht="15.75">
      <c r="B36" s="205"/>
      <c r="C36" s="205"/>
      <c r="D36" s="205"/>
    </row>
    <row r="37" spans="2:4" ht="15.75">
      <c r="B37" s="205" t="s">
        <v>733</v>
      </c>
      <c r="C37" s="205"/>
      <c r="D37" s="205"/>
    </row>
    <row r="38" spans="2:4" ht="15.75">
      <c r="B38" s="205" t="s">
        <v>734</v>
      </c>
      <c r="C38" s="206">
        <f>(144*30+35*15)*375</f>
        <v>1816875</v>
      </c>
      <c r="D38" s="205" t="s">
        <v>397</v>
      </c>
    </row>
    <row r="39" spans="2:4" ht="15.75">
      <c r="B39" s="205" t="s">
        <v>54</v>
      </c>
      <c r="C39" s="206">
        <f>C38*0.27</f>
        <v>490556.25000000006</v>
      </c>
      <c r="D39" s="205"/>
    </row>
    <row r="40" spans="2:4" ht="15.75">
      <c r="B40" s="205" t="s">
        <v>63</v>
      </c>
      <c r="C40" s="206">
        <f>C38*1.27</f>
        <v>2307431.25</v>
      </c>
      <c r="D40" s="205"/>
    </row>
    <row r="41" spans="2:4" ht="15.75">
      <c r="B41" s="205"/>
      <c r="C41" s="205"/>
      <c r="D41" s="205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Rack Mária</cp:lastModifiedBy>
  <cp:lastPrinted>2015-01-22T13:24:10Z</cp:lastPrinted>
  <dcterms:created xsi:type="dcterms:W3CDTF">2000-12-13T12:06:22Z</dcterms:created>
  <dcterms:modified xsi:type="dcterms:W3CDTF">2015-01-22T13:42:45Z</dcterms:modified>
  <cp:category/>
  <cp:version/>
  <cp:contentType/>
  <cp:contentStatus/>
</cp:coreProperties>
</file>